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985" yWindow="-15" windowWidth="12030" windowHeight="8625" tabRatio="942"/>
  </bookViews>
  <sheets>
    <sheet name="Data for Bill Impacts" sheetId="3" r:id="rId1"/>
    <sheet name="Data for Bill Impacts_HONI Avg " sheetId="167" r:id="rId2"/>
    <sheet name="Bill Impact Summary_HONI" sheetId="7" r:id="rId3"/>
    <sheet name="Bill Impact Summary_Acq" sheetId="179" r:id="rId4"/>
    <sheet name="BI_UR_Low" sheetId="4" r:id="rId5"/>
    <sheet name="BI_UR_Typical" sheetId="46" r:id="rId6"/>
    <sheet name="BI_UR_Avg" sheetId="180" r:id="rId7"/>
    <sheet name="BI_UR_High" sheetId="47" r:id="rId8"/>
    <sheet name="BI_R1_Low" sheetId="48" r:id="rId9"/>
    <sheet name="BI_R1_Typical" sheetId="49" r:id="rId10"/>
    <sheet name="BI_R1_Avg" sheetId="182" r:id="rId11"/>
    <sheet name="BI_R1_High" sheetId="50" r:id="rId12"/>
    <sheet name="BI_R2_Low" sheetId="51" r:id="rId13"/>
    <sheet name="BI_R2_Typical" sheetId="52" r:id="rId14"/>
    <sheet name="BI_R2_Avg" sheetId="181" r:id="rId15"/>
    <sheet name="BI_R2_High" sheetId="53" r:id="rId16"/>
    <sheet name="BI_Seas_Low" sheetId="54" r:id="rId17"/>
    <sheet name="BI_Seas_Typical" sheetId="104" r:id="rId18"/>
    <sheet name="BI_Seas_Avg" sheetId="168" r:id="rId19"/>
    <sheet name="BI_Seas_High" sheetId="56" r:id="rId20"/>
    <sheet name="BI_UGe_Low" sheetId="60" r:id="rId21"/>
    <sheet name="BI_UGe_Typical" sheetId="61" r:id="rId22"/>
    <sheet name="BI_UGe_Avg" sheetId="183" r:id="rId23"/>
    <sheet name="BI_UGe_High" sheetId="62" r:id="rId24"/>
    <sheet name="BI_GSe_Low" sheetId="57" r:id="rId25"/>
    <sheet name="BI_GSe_Typical" sheetId="58" r:id="rId26"/>
    <sheet name="BI_GSe_Avg" sheetId="184" r:id="rId27"/>
    <sheet name="BI_GSe_High" sheetId="59" r:id="rId28"/>
    <sheet name="BI_UGd_Low" sheetId="73" r:id="rId29"/>
    <sheet name="BI_UGd_Avg" sheetId="170" r:id="rId30"/>
    <sheet name="BI_UGd_High" sheetId="75" r:id="rId31"/>
    <sheet name="BI_GSd_Low" sheetId="5" r:id="rId32"/>
    <sheet name="BI_GSd_Avg" sheetId="171" r:id="rId33"/>
    <sheet name="BI_GSd_High" sheetId="72" r:id="rId34"/>
    <sheet name="BI_DGen_Low" sheetId="76" r:id="rId35"/>
    <sheet name="BI_DGen_Avg" sheetId="172" r:id="rId36"/>
    <sheet name="BI_DGen_High" sheetId="78" r:id="rId37"/>
    <sheet name="BI_ST_Low" sheetId="79" r:id="rId38"/>
    <sheet name="BI_ST_Avg" sheetId="173" r:id="rId39"/>
    <sheet name="BI_ST_High" sheetId="81" r:id="rId40"/>
    <sheet name="BI_USL_Low" sheetId="68" r:id="rId41"/>
    <sheet name="BI_USL_Avg" sheetId="175" r:id="rId42"/>
    <sheet name="BI_USL_High" sheetId="70" r:id="rId43"/>
    <sheet name="BI_SenLgt_Low" sheetId="65" r:id="rId44"/>
    <sheet name="BI_SenLgt_Avg" sheetId="174" r:id="rId45"/>
    <sheet name="BI_SenLgt_High" sheetId="67" r:id="rId46"/>
    <sheet name="BI_StLgt_Low" sheetId="25" r:id="rId47"/>
    <sheet name="BI_StLgt_Avg" sheetId="169" r:id="rId48"/>
    <sheet name="BI_StLgt_High" sheetId="64" r:id="rId49"/>
    <sheet name="BI_AUR_Low" sheetId="112" r:id="rId50"/>
    <sheet name="BI_AUR_Avg" sheetId="113" r:id="rId51"/>
    <sheet name="BI_AUR_Typical" sheetId="185" r:id="rId52"/>
    <sheet name="BI_AUR_High" sheetId="115" r:id="rId53"/>
    <sheet name="BI_AUGE_Low" sheetId="116" r:id="rId54"/>
    <sheet name="BI_AUGE_Avg" sheetId="117" r:id="rId55"/>
    <sheet name="BI_AUGE_Typical" sheetId="186" r:id="rId56"/>
    <sheet name="BI_AUGE_High" sheetId="118" r:id="rId57"/>
    <sheet name="BI_AUGd_Low" sheetId="119" r:id="rId58"/>
    <sheet name="BI_AUGd_Avg" sheetId="120" r:id="rId59"/>
    <sheet name="BI_AUGd_High" sheetId="121" r:id="rId60"/>
    <sheet name="WHSI_BI_ST_Low" sheetId="146" r:id="rId61"/>
    <sheet name="WHSI_BI_ST_Avg" sheetId="199" r:id="rId62"/>
    <sheet name="WHSI_BI_ST_High" sheetId="148" r:id="rId63"/>
    <sheet name="NPDI_BI_AR_Low" sheetId="122" r:id="rId64"/>
    <sheet name="NPDI_BI_AR_Avg" sheetId="123" r:id="rId65"/>
    <sheet name="NPDI_BI_AR_Typical" sheetId="187" r:id="rId66"/>
    <sheet name="NPDI_BI_AR_High" sheetId="124" r:id="rId67"/>
    <sheet name="HCHI_BI_AR_Low" sheetId="125" r:id="rId68"/>
    <sheet name="HCHI_BI_AR_Avg" sheetId="126" r:id="rId69"/>
    <sheet name="HCHI_BI_AR_Typical" sheetId="188" r:id="rId70"/>
    <sheet name="HCHI_BI_AR_High" sheetId="127" r:id="rId71"/>
    <sheet name="NPDI_BI_AGSE_Low" sheetId="128" r:id="rId72"/>
    <sheet name="NPDI_BI_AGSE_Avg" sheetId="129" r:id="rId73"/>
    <sheet name="NPDI_BI_AGSE_Typical" sheetId="189" r:id="rId74"/>
    <sheet name="NPDI_BI_AGSE_High" sheetId="130" r:id="rId75"/>
    <sheet name="HCHI_BI_AGSE_Low" sheetId="131" r:id="rId76"/>
    <sheet name="HCHI_BI_AGSE_Avg" sheetId="132" r:id="rId77"/>
    <sheet name="HCHI_BI_AGSE_Typical" sheetId="190" r:id="rId78"/>
    <sheet name="HCHI_BI_AGSE_High" sheetId="133" r:id="rId79"/>
    <sheet name="NPDI_BI_AGSD_Low" sheetId="134" r:id="rId80"/>
    <sheet name="NPDI_BI_AGSd_Avg" sheetId="135" r:id="rId81"/>
    <sheet name="NPDI_BI_AGSd_High" sheetId="136" r:id="rId82"/>
    <sheet name="HCHI_BI_AGSd_Low" sheetId="137" r:id="rId83"/>
    <sheet name="HCHI_BI_AGSd_Avg" sheetId="138" r:id="rId84"/>
    <sheet name="HCHI_BI_AGSd_High" sheetId="139" r:id="rId85"/>
    <sheet name="WHSI_BI_USL_Avg" sheetId="141" r:id="rId86"/>
    <sheet name="NPDI_BI_USL_Avg" sheetId="151" r:id="rId87"/>
    <sheet name="HCHI_BI_USL_Avg" sheetId="154" r:id="rId88"/>
    <sheet name="WHSI_BI_St Lgt_Avg" sheetId="144" r:id="rId89"/>
    <sheet name="NPDI_BI_St Lgt_Avg" sheetId="160" r:id="rId90"/>
    <sheet name="HCHI_BI_St Lgt_Avg" sheetId="157" r:id="rId91"/>
    <sheet name="NPDI_BI_SenLgt_Avg" sheetId="197" r:id="rId92"/>
    <sheet name="HCHI_BI_SenLgt_Avg" sheetId="198" r:id="rId93"/>
  </sheets>
  <externalReferences>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s>
  <definedNames>
    <definedName name="_xlnm.Print_Area" localSheetId="2">'Bill Impact Summary_HONI'!$A$1:$I$46</definedName>
  </definedNames>
  <calcPr calcId="145621"/>
</workbook>
</file>

<file path=xl/calcChain.xml><?xml version="1.0" encoding="utf-8"?>
<calcChain xmlns="http://schemas.openxmlformats.org/spreadsheetml/2006/main">
  <c r="X13" i="3" l="1"/>
  <c r="G34" i="3" l="1"/>
  <c r="G28" i="3"/>
  <c r="E17" i="157" l="1"/>
  <c r="E16" i="157"/>
  <c r="B17" i="157"/>
  <c r="B16" i="157"/>
  <c r="B15" i="157"/>
  <c r="E17" i="160"/>
  <c r="E16" i="160"/>
  <c r="B17" i="160"/>
  <c r="B16" i="160"/>
  <c r="B15" i="160"/>
  <c r="E17" i="144"/>
  <c r="B17" i="144"/>
  <c r="E16" i="144"/>
  <c r="B16" i="144"/>
  <c r="B15" i="144"/>
  <c r="Q15" i="3" l="1"/>
  <c r="C54" i="167" l="1"/>
  <c r="E34" i="167" l="1"/>
  <c r="F34" i="167"/>
  <c r="C34" i="167"/>
  <c r="C53" i="167" l="1"/>
  <c r="D53" i="167"/>
  <c r="B53" i="167" l="1"/>
  <c r="C5" i="197" s="1"/>
  <c r="B4" i="197"/>
  <c r="D49" i="167"/>
  <c r="C49" i="167"/>
  <c r="B60" i="167"/>
  <c r="B4" i="141" l="1"/>
  <c r="B49" i="167"/>
  <c r="B59" i="167"/>
  <c r="B58" i="167"/>
  <c r="B4" i="151" s="1"/>
  <c r="D47" i="167"/>
  <c r="B47" i="167"/>
  <c r="C47" i="167"/>
  <c r="D48" i="167"/>
  <c r="D54" i="167" s="1"/>
  <c r="B54" i="167" s="1"/>
  <c r="B4" i="198"/>
  <c r="B4" i="154" l="1"/>
  <c r="C5" i="198"/>
  <c r="C48" i="167"/>
  <c r="B48" i="167"/>
  <c r="C28" i="179" l="1"/>
  <c r="C24" i="179"/>
  <c r="C20" i="179"/>
  <c r="C7" i="179"/>
  <c r="C11" i="179"/>
  <c r="C16" i="167" l="1"/>
  <c r="E11" i="167" l="1"/>
  <c r="E10" i="167"/>
  <c r="E9" i="167"/>
  <c r="E8" i="167"/>
  <c r="E7" i="167"/>
  <c r="E6" i="167"/>
  <c r="E5" i="167"/>
  <c r="E4" i="167"/>
  <c r="E3" i="167"/>
  <c r="J34" i="3"/>
  <c r="J28" i="3"/>
  <c r="J22" i="3"/>
  <c r="G22" i="3"/>
  <c r="J19" i="3"/>
  <c r="G19" i="3"/>
  <c r="J16" i="3"/>
  <c r="G16" i="3"/>
  <c r="T15" i="3"/>
  <c r="T14" i="3"/>
  <c r="T13" i="3"/>
  <c r="T12" i="3"/>
  <c r="T11" i="3"/>
  <c r="T10" i="3"/>
  <c r="T9" i="3"/>
  <c r="T8" i="3"/>
  <c r="T7" i="3"/>
  <c r="T6" i="3"/>
  <c r="T5" i="3"/>
  <c r="T4" i="3"/>
  <c r="T3" i="3"/>
  <c r="P15" i="3"/>
  <c r="O15" i="3"/>
  <c r="N15" i="3"/>
  <c r="M15" i="3"/>
  <c r="J15" i="3"/>
  <c r="G15" i="3"/>
  <c r="P14" i="3"/>
  <c r="O14" i="3"/>
  <c r="N14" i="3"/>
  <c r="M14" i="3"/>
  <c r="J14" i="3"/>
  <c r="G14" i="3"/>
  <c r="P13" i="3"/>
  <c r="O13" i="3"/>
  <c r="N13" i="3"/>
  <c r="M13" i="3"/>
  <c r="J13" i="3"/>
  <c r="G13" i="3"/>
  <c r="P12" i="3"/>
  <c r="O12" i="3"/>
  <c r="N12" i="3"/>
  <c r="M12" i="3"/>
  <c r="J12" i="3"/>
  <c r="G12" i="3"/>
  <c r="P11" i="3"/>
  <c r="O11" i="3"/>
  <c r="N11" i="3"/>
  <c r="M11" i="3"/>
  <c r="J11" i="3"/>
  <c r="G11" i="3"/>
  <c r="P10" i="3"/>
  <c r="O10" i="3"/>
  <c r="N10" i="3"/>
  <c r="M10" i="3"/>
  <c r="J10" i="3"/>
  <c r="G10" i="3"/>
  <c r="P9" i="3"/>
  <c r="O9" i="3"/>
  <c r="N9" i="3"/>
  <c r="M9" i="3"/>
  <c r="J9" i="3"/>
  <c r="G9" i="3"/>
  <c r="P8" i="3"/>
  <c r="O8" i="3"/>
  <c r="N8" i="3"/>
  <c r="M8" i="3"/>
  <c r="J8" i="3"/>
  <c r="G8" i="3"/>
  <c r="P7" i="3"/>
  <c r="O7" i="3"/>
  <c r="N7" i="3"/>
  <c r="M7" i="3"/>
  <c r="J7" i="3"/>
  <c r="G7" i="3"/>
  <c r="P6" i="3"/>
  <c r="O6" i="3"/>
  <c r="N6" i="3"/>
  <c r="M6" i="3"/>
  <c r="J6" i="3"/>
  <c r="G6" i="3"/>
  <c r="P5" i="3"/>
  <c r="O5" i="3"/>
  <c r="N5" i="3"/>
  <c r="M5" i="3"/>
  <c r="J5" i="3"/>
  <c r="G5" i="3"/>
  <c r="P4" i="3"/>
  <c r="O4" i="3"/>
  <c r="N4" i="3"/>
  <c r="M4" i="3"/>
  <c r="J4" i="3"/>
  <c r="G4" i="3"/>
  <c r="P3" i="3"/>
  <c r="O3" i="3"/>
  <c r="N3" i="3"/>
  <c r="M3" i="3"/>
  <c r="J3" i="3"/>
  <c r="G3" i="3"/>
  <c r="Y9" i="3"/>
  <c r="X9" i="3"/>
  <c r="Y21" i="3"/>
  <c r="X21" i="3"/>
  <c r="Y20" i="3"/>
  <c r="X20" i="3"/>
  <c r="Y19" i="3"/>
  <c r="X19" i="3"/>
  <c r="Y18" i="3"/>
  <c r="X18" i="3"/>
  <c r="Y17" i="3"/>
  <c r="X17" i="3"/>
  <c r="Y16" i="3"/>
  <c r="X16" i="3"/>
  <c r="Y15" i="3"/>
  <c r="X15" i="3"/>
  <c r="Y14" i="3"/>
  <c r="X14" i="3"/>
  <c r="Y13" i="3"/>
  <c r="Y12" i="3"/>
  <c r="X12" i="3"/>
  <c r="Y11" i="3"/>
  <c r="X11" i="3"/>
  <c r="Y8" i="3"/>
  <c r="X8" i="3"/>
  <c r="Y7" i="3"/>
  <c r="X7" i="3"/>
  <c r="Y6" i="3"/>
  <c r="X6" i="3"/>
  <c r="Y5" i="3"/>
  <c r="X5" i="3"/>
  <c r="Y4" i="3"/>
  <c r="X4" i="3"/>
  <c r="Y3" i="3"/>
  <c r="X3" i="3"/>
  <c r="C3" i="179" l="1"/>
  <c r="B4" i="113" l="1"/>
  <c r="C4" i="139"/>
  <c r="C5" i="139"/>
  <c r="B6" i="139"/>
  <c r="B9" i="139" s="1"/>
  <c r="E27" i="139" s="1"/>
  <c r="C6" i="139"/>
  <c r="C9" i="139" s="1"/>
  <c r="B7" i="139"/>
  <c r="C7" i="139"/>
  <c r="B8" i="139"/>
  <c r="C10" i="139"/>
  <c r="B19" i="139" s="1"/>
  <c r="F13" i="139"/>
  <c r="D14" i="139"/>
  <c r="E14" i="139"/>
  <c r="G14" i="139" s="1"/>
  <c r="F14" i="139"/>
  <c r="E16" i="139"/>
  <c r="G17" i="139"/>
  <c r="E18" i="139"/>
  <c r="E19" i="139"/>
  <c r="G19" i="139"/>
  <c r="E20" i="139"/>
  <c r="G20" i="139"/>
  <c r="B22" i="139"/>
  <c r="E22" i="139"/>
  <c r="B23" i="139"/>
  <c r="E23" i="139"/>
  <c r="D29" i="139"/>
  <c r="E29" i="139"/>
  <c r="G29" i="139" s="1"/>
  <c r="F29" i="139"/>
  <c r="B31" i="139"/>
  <c r="D31" i="139"/>
  <c r="E31" i="139"/>
  <c r="F31" i="139"/>
  <c r="G31" i="139"/>
  <c r="H31" i="139"/>
  <c r="I31" i="139" s="1"/>
  <c r="F33" i="139"/>
  <c r="F35" i="139"/>
  <c r="E30" i="121"/>
  <c r="E30" i="119"/>
  <c r="E22" i="121"/>
  <c r="E22" i="119"/>
  <c r="E21" i="121"/>
  <c r="E21" i="119"/>
  <c r="E19" i="121"/>
  <c r="E19" i="119"/>
  <c r="B22" i="121"/>
  <c r="B22" i="119"/>
  <c r="B21" i="121"/>
  <c r="B21" i="119"/>
  <c r="B19" i="121"/>
  <c r="B19" i="119"/>
  <c r="B18" i="121"/>
  <c r="B18" i="119"/>
  <c r="E18" i="121"/>
  <c r="E18" i="119"/>
  <c r="C8" i="120"/>
  <c r="C8" i="121"/>
  <c r="C8" i="119"/>
  <c r="C6" i="120"/>
  <c r="C6" i="121"/>
  <c r="C9" i="121" s="1"/>
  <c r="B13" i="121" s="1"/>
  <c r="C6" i="119"/>
  <c r="C9" i="119" s="1"/>
  <c r="B26" i="119" s="1"/>
  <c r="C7" i="121"/>
  <c r="C7" i="119"/>
  <c r="C6" i="116"/>
  <c r="C8" i="116" s="1"/>
  <c r="C6" i="117"/>
  <c r="C6" i="186"/>
  <c r="C8" i="186" s="1"/>
  <c r="C6" i="118"/>
  <c r="C8" i="118" s="1"/>
  <c r="E39" i="112"/>
  <c r="E39" i="185"/>
  <c r="E39" i="115"/>
  <c r="E40" i="186"/>
  <c r="E40" i="118"/>
  <c r="E40" i="116"/>
  <c r="E17" i="112"/>
  <c r="E17" i="185"/>
  <c r="E17" i="115"/>
  <c r="E17" i="186"/>
  <c r="E17" i="118"/>
  <c r="E17" i="116"/>
  <c r="E16" i="112"/>
  <c r="E16" i="185"/>
  <c r="E16" i="115"/>
  <c r="E16" i="186"/>
  <c r="E16" i="118"/>
  <c r="E16" i="116"/>
  <c r="E15" i="112"/>
  <c r="E15" i="185"/>
  <c r="E15" i="115"/>
  <c r="E15" i="186"/>
  <c r="E15" i="118"/>
  <c r="E15" i="116"/>
  <c r="D17" i="112"/>
  <c r="D16" i="185"/>
  <c r="D17" i="115"/>
  <c r="D16" i="186"/>
  <c r="D17" i="186"/>
  <c r="D16" i="118"/>
  <c r="D17" i="118"/>
  <c r="D16" i="116"/>
  <c r="D17" i="116"/>
  <c r="D15" i="112"/>
  <c r="D15" i="185"/>
  <c r="D15" i="115"/>
  <c r="D15" i="186"/>
  <c r="D15" i="118"/>
  <c r="D15" i="116"/>
  <c r="B39" i="112"/>
  <c r="B17" i="112"/>
  <c r="B16" i="112"/>
  <c r="D16" i="112" s="1"/>
  <c r="B15" i="112"/>
  <c r="B39" i="113"/>
  <c r="B39" i="185"/>
  <c r="B17" i="185"/>
  <c r="D17" i="185" s="1"/>
  <c r="B16" i="185"/>
  <c r="B15" i="185"/>
  <c r="B40" i="116"/>
  <c r="B17" i="116"/>
  <c r="B16" i="116"/>
  <c r="B15" i="116"/>
  <c r="B40" i="186"/>
  <c r="B17" i="186"/>
  <c r="B16" i="186"/>
  <c r="B15" i="186"/>
  <c r="B40" i="118"/>
  <c r="B17" i="118"/>
  <c r="B16" i="118"/>
  <c r="B15" i="118"/>
  <c r="B30" i="119"/>
  <c r="B30" i="121"/>
  <c r="B39" i="115"/>
  <c r="B17" i="115"/>
  <c r="B16" i="115"/>
  <c r="D16" i="115" s="1"/>
  <c r="B15" i="115"/>
  <c r="C9" i="113"/>
  <c r="C7" i="113"/>
  <c r="C5" i="113"/>
  <c r="C4" i="113"/>
  <c r="B17" i="113" s="1"/>
  <c r="D17" i="113" s="1"/>
  <c r="C9" i="185"/>
  <c r="B22" i="185" s="1"/>
  <c r="C7" i="185"/>
  <c r="B12" i="185" s="1"/>
  <c r="D12" i="185" s="1"/>
  <c r="C5" i="185"/>
  <c r="C9" i="115"/>
  <c r="B21" i="115" s="1"/>
  <c r="C7" i="115"/>
  <c r="B12" i="115" s="1"/>
  <c r="D12" i="115" s="1"/>
  <c r="C5" i="115"/>
  <c r="C9" i="116"/>
  <c r="B21" i="116" s="1"/>
  <c r="C7" i="116"/>
  <c r="B13" i="116" s="1"/>
  <c r="D13" i="116" s="1"/>
  <c r="C5" i="116"/>
  <c r="C9" i="117"/>
  <c r="C7" i="117"/>
  <c r="C5" i="117"/>
  <c r="C9" i="186"/>
  <c r="B22" i="186" s="1"/>
  <c r="C7" i="186"/>
  <c r="B12" i="186" s="1"/>
  <c r="D12" i="186" s="1"/>
  <c r="C9" i="118"/>
  <c r="B22" i="118" s="1"/>
  <c r="C7" i="118"/>
  <c r="B13" i="118" s="1"/>
  <c r="D13" i="118" s="1"/>
  <c r="C5" i="118"/>
  <c r="C9" i="112"/>
  <c r="B21" i="112" s="1"/>
  <c r="C7" i="112"/>
  <c r="B13" i="112" s="1"/>
  <c r="C5" i="112"/>
  <c r="D18" i="179"/>
  <c r="D16" i="179"/>
  <c r="B22" i="113" l="1"/>
  <c r="B12" i="116"/>
  <c r="D12" i="116" s="1"/>
  <c r="B18" i="139"/>
  <c r="B12" i="112"/>
  <c r="D12" i="112" s="1"/>
  <c r="B22" i="115"/>
  <c r="B25" i="119"/>
  <c r="B25" i="121"/>
  <c r="B21" i="113"/>
  <c r="B21" i="118"/>
  <c r="B12" i="113"/>
  <c r="D12" i="113" s="1"/>
  <c r="B31" i="118"/>
  <c r="B35" i="118"/>
  <c r="B26" i="121"/>
  <c r="E28" i="139"/>
  <c r="B27" i="119"/>
  <c r="B21" i="186"/>
  <c r="B13" i="119"/>
  <c r="B22" i="116"/>
  <c r="B12" i="118"/>
  <c r="D12" i="118" s="1"/>
  <c r="B27" i="121"/>
  <c r="B13" i="186"/>
  <c r="D13" i="186" s="1"/>
  <c r="B13" i="115"/>
  <c r="D13" i="115" s="1"/>
  <c r="B21" i="185"/>
  <c r="B13" i="185"/>
  <c r="D13" i="185" s="1"/>
  <c r="B13" i="113"/>
  <c r="B15" i="113"/>
  <c r="D15" i="113" s="1"/>
  <c r="B16" i="113"/>
  <c r="D16" i="113" s="1"/>
  <c r="B22" i="112"/>
  <c r="H14" i="139"/>
  <c r="I14" i="139" s="1"/>
  <c r="B13" i="139"/>
  <c r="D13" i="139" s="1"/>
  <c r="D15" i="139" s="1"/>
  <c r="B27" i="139"/>
  <c r="D27" i="139" s="1"/>
  <c r="B26" i="139"/>
  <c r="D26" i="139" s="1"/>
  <c r="B28" i="139"/>
  <c r="G27" i="139"/>
  <c r="E26" i="139"/>
  <c r="G26" i="139" s="1"/>
  <c r="E13" i="139"/>
  <c r="G13" i="139" s="1"/>
  <c r="H29" i="139"/>
  <c r="I29" i="139" s="1"/>
  <c r="B20" i="139"/>
  <c r="B35" i="186"/>
  <c r="B36" i="186"/>
  <c r="B27" i="116"/>
  <c r="B26" i="116"/>
  <c r="B36" i="118"/>
  <c r="B37" i="186"/>
  <c r="B30" i="116"/>
  <c r="B37" i="118"/>
  <c r="B31" i="116"/>
  <c r="B26" i="186"/>
  <c r="B35" i="116"/>
  <c r="B26" i="118"/>
  <c r="B27" i="186"/>
  <c r="B36" i="116"/>
  <c r="B27" i="118"/>
  <c r="B30" i="186"/>
  <c r="B37" i="116"/>
  <c r="B30" i="118"/>
  <c r="B31" i="186"/>
  <c r="H13" i="139" l="1"/>
  <c r="I13" i="139" s="1"/>
  <c r="G15" i="139"/>
  <c r="H26" i="139"/>
  <c r="I26" i="139" s="1"/>
  <c r="H27" i="139"/>
  <c r="I27" i="139" s="1"/>
  <c r="D28" i="139"/>
  <c r="D30" i="139" s="1"/>
  <c r="G28" i="139"/>
  <c r="H15" i="139" l="1"/>
  <c r="I15" i="139" s="1"/>
  <c r="H28" i="139"/>
  <c r="I28" i="139" s="1"/>
  <c r="G30" i="139"/>
  <c r="H30" i="139" l="1"/>
  <c r="I30" i="139" s="1"/>
  <c r="E20" i="198" l="1"/>
  <c r="E19" i="198"/>
  <c r="G19" i="198" s="1"/>
  <c r="B20" i="198"/>
  <c r="B19" i="198"/>
  <c r="E20" i="197"/>
  <c r="E19" i="197"/>
  <c r="G19" i="197" s="1"/>
  <c r="B20" i="197"/>
  <c r="B19" i="197"/>
  <c r="G16" i="154"/>
  <c r="E19" i="154"/>
  <c r="G19" i="154" s="1"/>
  <c r="G16" i="151"/>
  <c r="D17" i="141"/>
  <c r="E19" i="137" l="1"/>
  <c r="E19" i="136"/>
  <c r="E19" i="134"/>
  <c r="E22" i="190"/>
  <c r="E22" i="133"/>
  <c r="E22" i="131"/>
  <c r="B22" i="190"/>
  <c r="B22" i="133"/>
  <c r="B22" i="131"/>
  <c r="E22" i="189"/>
  <c r="E22" i="130"/>
  <c r="E22" i="128"/>
  <c r="B22" i="189"/>
  <c r="B22" i="130"/>
  <c r="B22" i="128"/>
  <c r="C23" i="126"/>
  <c r="C23" i="188"/>
  <c r="C23" i="127"/>
  <c r="C23" i="125"/>
  <c r="C20" i="126"/>
  <c r="C20" i="188"/>
  <c r="C20" i="127"/>
  <c r="C20" i="125"/>
  <c r="C23" i="123"/>
  <c r="C23" i="187"/>
  <c r="C23" i="124"/>
  <c r="C23" i="122"/>
  <c r="C20" i="123"/>
  <c r="C20" i="187"/>
  <c r="C20" i="124"/>
  <c r="C20" i="122"/>
  <c r="L24" i="3"/>
  <c r="L25" i="3"/>
  <c r="C20" i="146" s="1"/>
  <c r="L26" i="3"/>
  <c r="C19" i="141" s="1"/>
  <c r="L27" i="3"/>
  <c r="L23" i="3"/>
  <c r="C22" i="118" s="1"/>
  <c r="C20" i="113"/>
  <c r="C20" i="185"/>
  <c r="C20" i="115"/>
  <c r="C20" i="112"/>
  <c r="K23" i="3"/>
  <c r="C20" i="116" s="1"/>
  <c r="C19" i="119" l="1"/>
  <c r="C20" i="118"/>
  <c r="C19" i="144"/>
  <c r="C20" i="186"/>
  <c r="C19" i="121"/>
  <c r="C20" i="148"/>
  <c r="C20" i="117"/>
  <c r="C19" i="120"/>
  <c r="C22" i="186"/>
  <c r="C20" i="199"/>
  <c r="C22" i="117"/>
  <c r="C22" i="116"/>
  <c r="H35" i="3"/>
  <c r="H36" i="3"/>
  <c r="H37" i="3"/>
  <c r="H38" i="3"/>
  <c r="H39" i="3"/>
  <c r="H34" i="3"/>
  <c r="K35" i="3"/>
  <c r="L35" i="3"/>
  <c r="K36" i="3"/>
  <c r="L36" i="3"/>
  <c r="K37" i="3"/>
  <c r="L37" i="3"/>
  <c r="K38" i="3"/>
  <c r="L38" i="3"/>
  <c r="K39" i="3"/>
  <c r="L39" i="3"/>
  <c r="K24" i="3"/>
  <c r="K25" i="3"/>
  <c r="K26" i="3"/>
  <c r="K27" i="3"/>
  <c r="H28" i="3"/>
  <c r="H29" i="3"/>
  <c r="H30" i="3"/>
  <c r="C19" i="139" s="1"/>
  <c r="D19" i="139" s="1"/>
  <c r="H19" i="139" s="1"/>
  <c r="I19" i="139" s="1"/>
  <c r="H31" i="3"/>
  <c r="H32" i="3"/>
  <c r="H33" i="3"/>
  <c r="K29" i="3"/>
  <c r="L29" i="3"/>
  <c r="K30" i="3"/>
  <c r="C17" i="139" s="1"/>
  <c r="D17" i="139" s="1"/>
  <c r="H17" i="139" s="1"/>
  <c r="I17" i="139" s="1"/>
  <c r="L30" i="3"/>
  <c r="C20" i="139" s="1"/>
  <c r="D20" i="139" s="1"/>
  <c r="H20" i="139" s="1"/>
  <c r="I20" i="139" s="1"/>
  <c r="K31" i="3"/>
  <c r="L31" i="3"/>
  <c r="K32" i="3"/>
  <c r="L32" i="3"/>
  <c r="K33" i="3"/>
  <c r="L33" i="3"/>
  <c r="C19" i="157" l="1"/>
  <c r="C16" i="198"/>
  <c r="C20" i="197"/>
  <c r="C19" i="160"/>
  <c r="C20" i="157"/>
  <c r="C16" i="144"/>
  <c r="C20" i="151"/>
  <c r="C19" i="197"/>
  <c r="D19" i="197" s="1"/>
  <c r="H19" i="197" s="1"/>
  <c r="I19" i="197" s="1"/>
  <c r="C20" i="198"/>
  <c r="C19" i="198"/>
  <c r="D19" i="198" s="1"/>
  <c r="H19" i="198" s="1"/>
  <c r="I19" i="198" s="1"/>
  <c r="C19" i="154"/>
  <c r="C16" i="197"/>
  <c r="C16" i="157"/>
  <c r="C16" i="151"/>
  <c r="D16" i="151" s="1"/>
  <c r="H16" i="151" s="1"/>
  <c r="I16" i="151" s="1"/>
  <c r="C19" i="151"/>
  <c r="C20" i="154"/>
  <c r="C20" i="160"/>
  <c r="C16" i="154"/>
  <c r="D16" i="154" s="1"/>
  <c r="H16" i="154" s="1"/>
  <c r="I16" i="154" s="1"/>
  <c r="C16" i="160"/>
  <c r="C17" i="120"/>
  <c r="C17" i="121"/>
  <c r="C17" i="119"/>
  <c r="C17" i="135"/>
  <c r="C17" i="136"/>
  <c r="C17" i="134"/>
  <c r="C20" i="128"/>
  <c r="C20" i="129"/>
  <c r="C20" i="189"/>
  <c r="C20" i="130"/>
  <c r="C20" i="137"/>
  <c r="C20" i="138"/>
  <c r="C22" i="123"/>
  <c r="C22" i="187"/>
  <c r="C22" i="124"/>
  <c r="C22" i="122"/>
  <c r="C17" i="138"/>
  <c r="C17" i="137"/>
  <c r="C20" i="132"/>
  <c r="C20" i="190"/>
  <c r="C20" i="133"/>
  <c r="C20" i="131"/>
  <c r="C16" i="141"/>
  <c r="C23" i="129"/>
  <c r="C23" i="189"/>
  <c r="C23" i="130"/>
  <c r="C23" i="128"/>
  <c r="C22" i="132"/>
  <c r="C22" i="190"/>
  <c r="C22" i="133"/>
  <c r="C22" i="131"/>
  <c r="C22" i="126"/>
  <c r="C22" i="188"/>
  <c r="C22" i="127"/>
  <c r="C22" i="125"/>
  <c r="C23" i="132"/>
  <c r="C23" i="190"/>
  <c r="C23" i="133"/>
  <c r="C23" i="131"/>
  <c r="C17" i="199"/>
  <c r="C17" i="148"/>
  <c r="C17" i="146"/>
  <c r="C20" i="135"/>
  <c r="C20" i="136"/>
  <c r="C20" i="134"/>
  <c r="C19" i="134"/>
  <c r="C19" i="135"/>
  <c r="C19" i="136"/>
  <c r="C22" i="129"/>
  <c r="C22" i="189"/>
  <c r="C22" i="130"/>
  <c r="C22" i="128"/>
  <c r="C19" i="138"/>
  <c r="C19" i="137"/>
  <c r="E20" i="167" l="1"/>
  <c r="E19" i="167"/>
  <c r="E17" i="167"/>
  <c r="E16" i="167"/>
  <c r="C23" i="7" l="1"/>
  <c r="C27" i="3" l="1"/>
  <c r="C32" i="3"/>
  <c r="C33" i="3"/>
  <c r="C38" i="3"/>
  <c r="C39" i="3"/>
  <c r="C5" i="157"/>
  <c r="C5" i="160"/>
  <c r="B20" i="160" s="1"/>
  <c r="D20" i="160" s="1"/>
  <c r="C4" i="160"/>
  <c r="B4" i="160" s="1"/>
  <c r="C5" i="144"/>
  <c r="C20" i="144"/>
  <c r="C21" i="160"/>
  <c r="C21" i="157"/>
  <c r="C21" i="197"/>
  <c r="C21" i="198"/>
  <c r="C17" i="144"/>
  <c r="C17" i="160"/>
  <c r="C17" i="157"/>
  <c r="C17" i="197"/>
  <c r="C17" i="198"/>
  <c r="B9" i="144"/>
  <c r="C7" i="144"/>
  <c r="B7" i="144"/>
  <c r="B6" i="144"/>
  <c r="B9" i="160"/>
  <c r="C7" i="160"/>
  <c r="B7" i="160"/>
  <c r="B6" i="160"/>
  <c r="B9" i="157"/>
  <c r="C7" i="157"/>
  <c r="B7" i="157"/>
  <c r="B6" i="157"/>
  <c r="B9" i="197"/>
  <c r="C7" i="197"/>
  <c r="B7" i="197"/>
  <c r="B9" i="198"/>
  <c r="C7" i="198"/>
  <c r="B7" i="198"/>
  <c r="B12" i="160" l="1"/>
  <c r="E20" i="160"/>
  <c r="G20" i="160" s="1"/>
  <c r="H20" i="160" s="1"/>
  <c r="I20" i="160" s="1"/>
  <c r="D14" i="179"/>
  <c r="B19" i="144"/>
  <c r="D31" i="179"/>
  <c r="D46" i="179"/>
  <c r="B19" i="157"/>
  <c r="D19" i="157" s="1"/>
  <c r="C4" i="144"/>
  <c r="B4" i="144" s="1"/>
  <c r="C4" i="157"/>
  <c r="B4" i="157" s="1"/>
  <c r="C46" i="179" s="1"/>
  <c r="B12" i="144" l="1"/>
  <c r="E19" i="157"/>
  <c r="G19" i="157" s="1"/>
  <c r="H19" i="157" s="1"/>
  <c r="I19" i="157" s="1"/>
  <c r="B12" i="157"/>
  <c r="C21" i="151"/>
  <c r="C21" i="154"/>
  <c r="C17" i="151"/>
  <c r="D17" i="151" s="1"/>
  <c r="C17" i="154"/>
  <c r="D17" i="154" s="1"/>
  <c r="B9" i="151" l="1"/>
  <c r="B7" i="151"/>
  <c r="B6" i="151"/>
  <c r="B5" i="151"/>
  <c r="B9" i="154"/>
  <c r="B7" i="154"/>
  <c r="B6" i="154"/>
  <c r="B8" i="154" s="1"/>
  <c r="B5" i="154"/>
  <c r="B9" i="141"/>
  <c r="B7" i="141"/>
  <c r="B6" i="141"/>
  <c r="B5" i="141"/>
  <c r="E31" i="167"/>
  <c r="C4" i="138" s="1"/>
  <c r="B4" i="138" s="1"/>
  <c r="E32" i="167"/>
  <c r="C4" i="135"/>
  <c r="B4" i="135" s="1"/>
  <c r="C4" i="132"/>
  <c r="B4" i="132" s="1"/>
  <c r="C4" i="123"/>
  <c r="B4" i="123" s="1"/>
  <c r="F32" i="167"/>
  <c r="C5" i="135" s="1"/>
  <c r="D29" i="179" s="1"/>
  <c r="F31" i="167"/>
  <c r="C5" i="138" s="1"/>
  <c r="B5" i="138" s="1"/>
  <c r="E19" i="138" s="1"/>
  <c r="E28" i="167"/>
  <c r="E29" i="167"/>
  <c r="E30" i="167"/>
  <c r="C4" i="129" s="1"/>
  <c r="E27" i="167"/>
  <c r="C4" i="126" s="1"/>
  <c r="B4" i="126" s="1"/>
  <c r="D34" i="167"/>
  <c r="C5" i="199" s="1"/>
  <c r="B5" i="199" s="1"/>
  <c r="D17" i="179" s="1"/>
  <c r="C4" i="199"/>
  <c r="B4" i="199" s="1"/>
  <c r="B22" i="132" l="1"/>
  <c r="E22" i="132"/>
  <c r="B4" i="129"/>
  <c r="E22" i="129" s="1"/>
  <c r="B22" i="129"/>
  <c r="B5" i="135"/>
  <c r="E19" i="135" s="1"/>
  <c r="E18" i="134"/>
  <c r="E18" i="135"/>
  <c r="E18" i="136"/>
  <c r="E18" i="137"/>
  <c r="E18" i="138"/>
  <c r="E23" i="134"/>
  <c r="E23" i="136"/>
  <c r="E23" i="137"/>
  <c r="E23" i="138"/>
  <c r="E22" i="134"/>
  <c r="E22" i="136"/>
  <c r="E22" i="137"/>
  <c r="E22" i="138"/>
  <c r="B23" i="135"/>
  <c r="B23" i="136"/>
  <c r="B23" i="138"/>
  <c r="B22" i="135"/>
  <c r="B22" i="138"/>
  <c r="C10" i="135"/>
  <c r="C10" i="136"/>
  <c r="B19" i="136" s="1"/>
  <c r="D19" i="136" s="1"/>
  <c r="C10" i="137"/>
  <c r="B19" i="137" s="1"/>
  <c r="D19" i="137" s="1"/>
  <c r="C10" i="138"/>
  <c r="C10" i="134"/>
  <c r="C8" i="135"/>
  <c r="C8" i="136"/>
  <c r="C8" i="137"/>
  <c r="C8" i="134"/>
  <c r="C6" i="135"/>
  <c r="C6" i="136"/>
  <c r="C6" i="137"/>
  <c r="C6" i="138"/>
  <c r="C6" i="134"/>
  <c r="B8" i="135"/>
  <c r="B6" i="135"/>
  <c r="B8" i="136"/>
  <c r="B6" i="136"/>
  <c r="G19" i="136" s="1"/>
  <c r="F20" i="137"/>
  <c r="B8" i="137"/>
  <c r="B6" i="137"/>
  <c r="G19" i="137" s="1"/>
  <c r="F20" i="138"/>
  <c r="B8" i="138"/>
  <c r="B6" i="138"/>
  <c r="G19" i="138" s="1"/>
  <c r="B8" i="134"/>
  <c r="B6" i="134"/>
  <c r="G19" i="134" s="1"/>
  <c r="C5" i="136"/>
  <c r="D30" i="179" s="1"/>
  <c r="C5" i="137"/>
  <c r="B22" i="137" s="1"/>
  <c r="C5" i="134"/>
  <c r="D28" i="179" s="1"/>
  <c r="C4" i="136"/>
  <c r="C4" i="137"/>
  <c r="C4" i="134"/>
  <c r="C27" i="187"/>
  <c r="C27" i="124"/>
  <c r="C27" i="125"/>
  <c r="C27" i="126"/>
  <c r="C27" i="188"/>
  <c r="C27" i="127"/>
  <c r="C27" i="123"/>
  <c r="B21" i="190"/>
  <c r="B21" i="128"/>
  <c r="E21" i="189"/>
  <c r="E21" i="130"/>
  <c r="E21" i="131"/>
  <c r="E21" i="190"/>
  <c r="E21" i="133"/>
  <c r="E21" i="128"/>
  <c r="C25" i="129"/>
  <c r="C25" i="189"/>
  <c r="C25" i="130"/>
  <c r="C25" i="131"/>
  <c r="C25" i="132"/>
  <c r="C25" i="190"/>
  <c r="C25" i="133"/>
  <c r="C25" i="128"/>
  <c r="C9" i="129"/>
  <c r="C9" i="189"/>
  <c r="C9" i="130"/>
  <c r="C9" i="131"/>
  <c r="C9" i="132"/>
  <c r="C9" i="190"/>
  <c r="C9" i="133"/>
  <c r="C9" i="128"/>
  <c r="C6" i="129"/>
  <c r="C6" i="189"/>
  <c r="C6" i="130"/>
  <c r="C6" i="131"/>
  <c r="C8" i="131" s="1"/>
  <c r="B27" i="131" s="1"/>
  <c r="C6" i="132"/>
  <c r="C6" i="190"/>
  <c r="C6" i="133"/>
  <c r="C6" i="128"/>
  <c r="F25" i="128"/>
  <c r="B9" i="128"/>
  <c r="B7" i="128"/>
  <c r="F26" i="128" s="1"/>
  <c r="B6" i="128"/>
  <c r="B5" i="128"/>
  <c r="F25" i="129"/>
  <c r="B9" i="129"/>
  <c r="B7" i="129"/>
  <c r="C7" i="129" s="1"/>
  <c r="B6" i="129"/>
  <c r="B5" i="129"/>
  <c r="F25" i="189"/>
  <c r="B9" i="189"/>
  <c r="B7" i="189"/>
  <c r="F26" i="189" s="1"/>
  <c r="B6" i="189"/>
  <c r="B5" i="189"/>
  <c r="F25" i="130"/>
  <c r="B9" i="130"/>
  <c r="B7" i="130"/>
  <c r="F26" i="130" s="1"/>
  <c r="B6" i="130"/>
  <c r="B5" i="130"/>
  <c r="F25" i="131"/>
  <c r="B9" i="131"/>
  <c r="B7" i="131"/>
  <c r="F26" i="131" s="1"/>
  <c r="B6" i="131"/>
  <c r="B5" i="131"/>
  <c r="F25" i="132"/>
  <c r="B9" i="132"/>
  <c r="B7" i="132"/>
  <c r="C7" i="132" s="1"/>
  <c r="B6" i="132"/>
  <c r="B5" i="132"/>
  <c r="F25" i="190"/>
  <c r="B9" i="190"/>
  <c r="B7" i="190"/>
  <c r="F26" i="190" s="1"/>
  <c r="B6" i="190"/>
  <c r="B5" i="190"/>
  <c r="F25" i="133"/>
  <c r="B9" i="133"/>
  <c r="B7" i="133"/>
  <c r="C7" i="133" s="1"/>
  <c r="B6" i="133"/>
  <c r="B5" i="133"/>
  <c r="C4" i="128"/>
  <c r="C4" i="189"/>
  <c r="B21" i="189" s="1"/>
  <c r="C4" i="130"/>
  <c r="B21" i="130" s="1"/>
  <c r="C4" i="131"/>
  <c r="B21" i="131" s="1"/>
  <c r="C4" i="190"/>
  <c r="C4" i="133"/>
  <c r="B21" i="133" s="1"/>
  <c r="E40" i="123"/>
  <c r="E40" i="187"/>
  <c r="E40" i="124"/>
  <c r="E40" i="125"/>
  <c r="E40" i="126"/>
  <c r="E40" i="188"/>
  <c r="E40" i="127"/>
  <c r="E40" i="122"/>
  <c r="B40" i="123"/>
  <c r="B40" i="126"/>
  <c r="C25" i="123"/>
  <c r="C25" i="187"/>
  <c r="C25" i="124"/>
  <c r="C25" i="125"/>
  <c r="C25" i="126"/>
  <c r="C25" i="188"/>
  <c r="C25" i="127"/>
  <c r="C25" i="122"/>
  <c r="E22" i="135" l="1"/>
  <c r="E23" i="135"/>
  <c r="G19" i="135"/>
  <c r="B18" i="138"/>
  <c r="B19" i="138"/>
  <c r="D19" i="138" s="1"/>
  <c r="H19" i="138" s="1"/>
  <c r="I19" i="138" s="1"/>
  <c r="H19" i="137"/>
  <c r="I19" i="137" s="1"/>
  <c r="B18" i="137"/>
  <c r="B23" i="137"/>
  <c r="B18" i="135"/>
  <c r="B19" i="135"/>
  <c r="D19" i="135" s="1"/>
  <c r="H19" i="135" s="1"/>
  <c r="I19" i="135" s="1"/>
  <c r="H19" i="136"/>
  <c r="I19" i="136" s="1"/>
  <c r="B18" i="134"/>
  <c r="B19" i="134"/>
  <c r="D19" i="134" s="1"/>
  <c r="H19" i="134" s="1"/>
  <c r="I19" i="134" s="1"/>
  <c r="B18" i="136"/>
  <c r="B22" i="136"/>
  <c r="B23" i="134"/>
  <c r="C7" i="134"/>
  <c r="B22" i="134"/>
  <c r="C5" i="190"/>
  <c r="D22" i="190" s="1"/>
  <c r="G22" i="190"/>
  <c r="C5" i="131"/>
  <c r="D22" i="131" s="1"/>
  <c r="G22" i="131"/>
  <c r="C5" i="132"/>
  <c r="D22" i="132" s="1"/>
  <c r="G22" i="132"/>
  <c r="C5" i="133"/>
  <c r="D22" i="133" s="1"/>
  <c r="G22" i="133"/>
  <c r="C8" i="133"/>
  <c r="C26" i="133"/>
  <c r="C8" i="190"/>
  <c r="C5" i="130"/>
  <c r="D22" i="130" s="1"/>
  <c r="G22" i="130"/>
  <c r="C5" i="189"/>
  <c r="D22" i="189" s="1"/>
  <c r="G22" i="189"/>
  <c r="C5" i="129"/>
  <c r="D22" i="129" s="1"/>
  <c r="G22" i="129"/>
  <c r="C5" i="128"/>
  <c r="D22" i="128" s="1"/>
  <c r="G22" i="128"/>
  <c r="C8" i="128"/>
  <c r="B31" i="128" s="1"/>
  <c r="C7" i="190"/>
  <c r="C26" i="190" s="1"/>
  <c r="F26" i="133"/>
  <c r="C7" i="131"/>
  <c r="C26" i="131" s="1"/>
  <c r="C8" i="130"/>
  <c r="C8" i="189"/>
  <c r="C7" i="136"/>
  <c r="C7" i="137"/>
  <c r="C9" i="134"/>
  <c r="C9" i="137"/>
  <c r="C9" i="136"/>
  <c r="B26" i="131"/>
  <c r="B37" i="131"/>
  <c r="B36" i="131"/>
  <c r="B35" i="131"/>
  <c r="B31" i="131"/>
  <c r="B30" i="131"/>
  <c r="C7" i="128"/>
  <c r="C26" i="128" s="1"/>
  <c r="C7" i="130"/>
  <c r="C26" i="130" s="1"/>
  <c r="C7" i="189"/>
  <c r="C26" i="189" s="1"/>
  <c r="C9" i="187"/>
  <c r="B22" i="187" s="1"/>
  <c r="C9" i="124"/>
  <c r="B22" i="124" s="1"/>
  <c r="C9" i="125"/>
  <c r="C9" i="126"/>
  <c r="C9" i="188"/>
  <c r="C9" i="127"/>
  <c r="C9" i="122"/>
  <c r="C9" i="123"/>
  <c r="B22" i="123" s="1"/>
  <c r="F25" i="123"/>
  <c r="B9" i="123"/>
  <c r="B7" i="123"/>
  <c r="C7" i="123" s="1"/>
  <c r="B6" i="123"/>
  <c r="B5" i="123"/>
  <c r="C5" i="123" s="1"/>
  <c r="F25" i="187"/>
  <c r="B9" i="187"/>
  <c r="B7" i="187"/>
  <c r="C7" i="187" s="1"/>
  <c r="B6" i="187"/>
  <c r="B5" i="187"/>
  <c r="C5" i="187" s="1"/>
  <c r="F25" i="124"/>
  <c r="B9" i="124"/>
  <c r="B7" i="124"/>
  <c r="C7" i="124" s="1"/>
  <c r="B6" i="124"/>
  <c r="B5" i="124"/>
  <c r="C5" i="124" s="1"/>
  <c r="F25" i="125"/>
  <c r="B9" i="125"/>
  <c r="B7" i="125"/>
  <c r="C7" i="125" s="1"/>
  <c r="B6" i="125"/>
  <c r="B5" i="125"/>
  <c r="C5" i="125" s="1"/>
  <c r="F25" i="126"/>
  <c r="B9" i="126"/>
  <c r="B7" i="126"/>
  <c r="C7" i="126" s="1"/>
  <c r="B6" i="126"/>
  <c r="B5" i="126"/>
  <c r="C5" i="126" s="1"/>
  <c r="F25" i="188"/>
  <c r="B9" i="188"/>
  <c r="B7" i="188"/>
  <c r="C7" i="188" s="1"/>
  <c r="B6" i="188"/>
  <c r="B5" i="188"/>
  <c r="C5" i="188" s="1"/>
  <c r="F25" i="127"/>
  <c r="B9" i="127"/>
  <c r="B7" i="127"/>
  <c r="C7" i="127" s="1"/>
  <c r="B6" i="127"/>
  <c r="B5" i="127"/>
  <c r="C5" i="127" s="1"/>
  <c r="F25" i="122"/>
  <c r="B9" i="122"/>
  <c r="B7" i="122"/>
  <c r="C7" i="122" s="1"/>
  <c r="B6" i="122"/>
  <c r="B5" i="122"/>
  <c r="C5" i="122" s="1"/>
  <c r="C6" i="123"/>
  <c r="C8" i="123" s="1"/>
  <c r="C6" i="187"/>
  <c r="C8" i="187" s="1"/>
  <c r="C6" i="124"/>
  <c r="C8" i="124" s="1"/>
  <c r="C6" i="122"/>
  <c r="C4" i="187"/>
  <c r="B40" i="187" s="1"/>
  <c r="C4" i="124"/>
  <c r="B40" i="124" s="1"/>
  <c r="C4" i="125"/>
  <c r="B40" i="125" s="1"/>
  <c r="C4" i="188"/>
  <c r="B40" i="188" s="1"/>
  <c r="C4" i="127"/>
  <c r="B40" i="127" s="1"/>
  <c r="C4" i="122"/>
  <c r="B40" i="122" s="1"/>
  <c r="C21" i="199"/>
  <c r="C21" i="148"/>
  <c r="C21" i="146"/>
  <c r="C22" i="199"/>
  <c r="C22" i="148"/>
  <c r="C22" i="146"/>
  <c r="F20" i="117"/>
  <c r="F20" i="186"/>
  <c r="F20" i="118"/>
  <c r="F20" i="116"/>
  <c r="B37" i="190" l="1"/>
  <c r="B27" i="190"/>
  <c r="B30" i="133"/>
  <c r="B27" i="133"/>
  <c r="B37" i="130"/>
  <c r="B27" i="130"/>
  <c r="B35" i="189"/>
  <c r="B27" i="189"/>
  <c r="B36" i="190"/>
  <c r="B26" i="190"/>
  <c r="B35" i="128"/>
  <c r="B30" i="190"/>
  <c r="B31" i="190"/>
  <c r="B35" i="190"/>
  <c r="B31" i="133"/>
  <c r="B35" i="133"/>
  <c r="B26" i="128"/>
  <c r="B36" i="133"/>
  <c r="B37" i="133"/>
  <c r="B26" i="133"/>
  <c r="B30" i="128"/>
  <c r="H22" i="133"/>
  <c r="I22" i="133" s="1"/>
  <c r="H22" i="132"/>
  <c r="I22" i="132" s="1"/>
  <c r="H22" i="131"/>
  <c r="I22" i="131" s="1"/>
  <c r="H22" i="190"/>
  <c r="I22" i="190" s="1"/>
  <c r="H22" i="189"/>
  <c r="I22" i="189" s="1"/>
  <c r="H22" i="130"/>
  <c r="I22" i="130" s="1"/>
  <c r="H22" i="128"/>
  <c r="I22" i="128" s="1"/>
  <c r="H22" i="129"/>
  <c r="I22" i="129" s="1"/>
  <c r="B36" i="128"/>
  <c r="B37" i="128"/>
  <c r="D22" i="187"/>
  <c r="E22" i="187"/>
  <c r="G22" i="187" s="1"/>
  <c r="B22" i="122"/>
  <c r="D22" i="124"/>
  <c r="E22" i="124"/>
  <c r="G22" i="124" s="1"/>
  <c r="D22" i="123"/>
  <c r="E22" i="123"/>
  <c r="G22" i="123" s="1"/>
  <c r="C8" i="122"/>
  <c r="B37" i="122" s="1"/>
  <c r="B30" i="130"/>
  <c r="B26" i="189"/>
  <c r="B26" i="130"/>
  <c r="B31" i="130"/>
  <c r="B35" i="130"/>
  <c r="B30" i="189"/>
  <c r="C26" i="124"/>
  <c r="B21" i="122"/>
  <c r="B23" i="126"/>
  <c r="B21" i="126"/>
  <c r="B27" i="124"/>
  <c r="B37" i="124"/>
  <c r="B36" i="124"/>
  <c r="B35" i="124"/>
  <c r="B31" i="124"/>
  <c r="B30" i="124"/>
  <c r="B26" i="124"/>
  <c r="B23" i="125"/>
  <c r="B21" i="125"/>
  <c r="B31" i="189"/>
  <c r="B36" i="130"/>
  <c r="B30" i="187"/>
  <c r="B26" i="187"/>
  <c r="B27" i="187"/>
  <c r="B37" i="187"/>
  <c r="B36" i="187"/>
  <c r="B35" i="187"/>
  <c r="B31" i="187"/>
  <c r="B27" i="123"/>
  <c r="B37" i="123"/>
  <c r="B36" i="123"/>
  <c r="B35" i="123"/>
  <c r="B31" i="123"/>
  <c r="B30" i="123"/>
  <c r="B26" i="123"/>
  <c r="C26" i="123"/>
  <c r="B21" i="187"/>
  <c r="B36" i="189"/>
  <c r="C26" i="188"/>
  <c r="B21" i="123"/>
  <c r="B37" i="189"/>
  <c r="B27" i="134"/>
  <c r="B13" i="134"/>
  <c r="B28" i="134"/>
  <c r="B26" i="134"/>
  <c r="B23" i="188"/>
  <c r="B21" i="188"/>
  <c r="C26" i="187"/>
  <c r="C26" i="125"/>
  <c r="B21" i="124"/>
  <c r="B23" i="127"/>
  <c r="B21" i="127"/>
  <c r="C26" i="126"/>
  <c r="C26" i="127"/>
  <c r="B27" i="136"/>
  <c r="B13" i="136"/>
  <c r="B28" i="136"/>
  <c r="B26" i="136"/>
  <c r="B13" i="137"/>
  <c r="B28" i="137"/>
  <c r="B27" i="137"/>
  <c r="B26" i="137"/>
  <c r="B27" i="122" l="1"/>
  <c r="B36" i="122"/>
  <c r="B31" i="122"/>
  <c r="B35" i="122"/>
  <c r="B26" i="122"/>
  <c r="D22" i="122"/>
  <c r="E22" i="122"/>
  <c r="G22" i="122" s="1"/>
  <c r="B30" i="122"/>
  <c r="H22" i="187"/>
  <c r="I22" i="187" s="1"/>
  <c r="H22" i="123"/>
  <c r="I22" i="123" s="1"/>
  <c r="H22" i="124"/>
  <c r="I22" i="124" s="1"/>
  <c r="F37" i="72"/>
  <c r="F35" i="72"/>
  <c r="F33" i="72"/>
  <c r="B33" i="72"/>
  <c r="D33" i="72" s="1"/>
  <c r="H22" i="122" l="1"/>
  <c r="I22" i="122" s="1"/>
  <c r="E33" i="72"/>
  <c r="G33" i="72" s="1"/>
  <c r="H33" i="72" l="1"/>
  <c r="I33" i="72" s="1"/>
  <c r="B33" i="75" l="1"/>
  <c r="F37" i="75"/>
  <c r="F35" i="75"/>
  <c r="F33" i="75"/>
  <c r="E33" i="75"/>
  <c r="G33" i="75" s="1"/>
  <c r="F37" i="170"/>
  <c r="F35" i="170"/>
  <c r="F33" i="170"/>
  <c r="F22" i="139" l="1"/>
  <c r="G22" i="139" s="1"/>
  <c r="F23" i="139"/>
  <c r="G23" i="139" s="1"/>
  <c r="F22" i="136"/>
  <c r="F22" i="137"/>
  <c r="F22" i="135"/>
  <c r="F22" i="138"/>
  <c r="F22" i="134"/>
  <c r="F23" i="136"/>
  <c r="F23" i="135"/>
  <c r="F23" i="138"/>
  <c r="F23" i="137"/>
  <c r="F23" i="134"/>
  <c r="D33" i="75"/>
  <c r="G24" i="139" l="1"/>
  <c r="H33" i="75"/>
  <c r="I33" i="75" s="1"/>
  <c r="F30" i="186" l="1"/>
  <c r="F30" i="116"/>
  <c r="F30" i="118"/>
  <c r="F29" i="115"/>
  <c r="F29" i="185"/>
  <c r="F29" i="113"/>
  <c r="F29" i="112"/>
  <c r="F24" i="144"/>
  <c r="F25" i="160"/>
  <c r="F25" i="157"/>
  <c r="F25" i="144"/>
  <c r="F26" i="160"/>
  <c r="F26" i="157"/>
  <c r="F26" i="151"/>
  <c r="F26" i="154"/>
  <c r="F25" i="141"/>
  <c r="F25" i="151"/>
  <c r="F25" i="154"/>
  <c r="F24" i="141"/>
  <c r="F30" i="131"/>
  <c r="F30" i="128"/>
  <c r="F30" i="129"/>
  <c r="F30" i="132"/>
  <c r="F30" i="133"/>
  <c r="F30" i="190"/>
  <c r="F30" i="189"/>
  <c r="F30" i="130"/>
  <c r="F30" i="127"/>
  <c r="F30" i="122"/>
  <c r="F30" i="123"/>
  <c r="F30" i="126"/>
  <c r="F30" i="125"/>
  <c r="F30" i="187"/>
  <c r="F30" i="124"/>
  <c r="F30" i="188"/>
  <c r="F31" i="132"/>
  <c r="F31" i="190"/>
  <c r="F31" i="189"/>
  <c r="F31" i="133"/>
  <c r="F31" i="128"/>
  <c r="F31" i="131"/>
  <c r="F31" i="129"/>
  <c r="F31" i="130"/>
  <c r="F31" i="187"/>
  <c r="F31" i="124"/>
  <c r="F31" i="125"/>
  <c r="F31" i="126"/>
  <c r="F31" i="122"/>
  <c r="F31" i="127"/>
  <c r="F31" i="188"/>
  <c r="F31" i="123"/>
  <c r="C20" i="75" l="1"/>
  <c r="C20" i="72"/>
  <c r="U3" i="3" l="1"/>
  <c r="U11" i="3"/>
  <c r="U4" i="3"/>
  <c r="U8" i="3"/>
  <c r="U6" i="3"/>
  <c r="U7" i="3"/>
  <c r="U5" i="3"/>
  <c r="U10" i="3"/>
  <c r="U9" i="3"/>
  <c r="C22" i="76"/>
  <c r="C22" i="78"/>
  <c r="C22" i="172"/>
  <c r="U14" i="3"/>
  <c r="C22" i="171"/>
  <c r="U12" i="3"/>
  <c r="C22" i="72"/>
  <c r="C22" i="5"/>
  <c r="C22" i="79"/>
  <c r="C22" i="173"/>
  <c r="C22" i="81"/>
  <c r="U15" i="3"/>
  <c r="C21" i="75"/>
  <c r="C22" i="170"/>
  <c r="U13" i="3"/>
  <c r="C22" i="73"/>
  <c r="V4" i="3"/>
  <c r="W4" i="3"/>
  <c r="V5" i="3"/>
  <c r="W5" i="3"/>
  <c r="V6" i="3"/>
  <c r="W6" i="3"/>
  <c r="V7" i="3"/>
  <c r="W7" i="3"/>
  <c r="V8" i="3"/>
  <c r="W8" i="3"/>
  <c r="V9" i="3"/>
  <c r="W9" i="3"/>
  <c r="V10" i="3"/>
  <c r="W10" i="3"/>
  <c r="V11" i="3"/>
  <c r="W11" i="3"/>
  <c r="V12" i="3"/>
  <c r="W12" i="3"/>
  <c r="V13" i="3"/>
  <c r="W13" i="3"/>
  <c r="V14" i="3"/>
  <c r="W14" i="3"/>
  <c r="V15" i="3"/>
  <c r="W15" i="3"/>
  <c r="W3" i="3"/>
  <c r="V3" i="3"/>
  <c r="F20" i="141" l="1"/>
  <c r="G20" i="141" s="1"/>
  <c r="F17" i="141"/>
  <c r="G17" i="141" s="1"/>
  <c r="H17" i="141" s="1"/>
  <c r="I17" i="141" s="1"/>
  <c r="F19" i="76"/>
  <c r="F19" i="172"/>
  <c r="F19" i="78"/>
  <c r="F19" i="81"/>
  <c r="F19" i="173"/>
  <c r="F19" i="79"/>
  <c r="F19" i="73"/>
  <c r="F19" i="170"/>
  <c r="F19" i="75"/>
  <c r="F19" i="72"/>
  <c r="F19" i="171"/>
  <c r="F19" i="5"/>
  <c r="F17" i="197"/>
  <c r="F17" i="198"/>
  <c r="F17" i="144"/>
  <c r="F17" i="160"/>
  <c r="F17" i="157"/>
  <c r="F21" i="198"/>
  <c r="F21" i="197"/>
  <c r="F20" i="144"/>
  <c r="F21" i="160"/>
  <c r="F21" i="157"/>
  <c r="F17" i="154"/>
  <c r="G17" i="154" s="1"/>
  <c r="F17" i="151"/>
  <c r="G17" i="151" s="1"/>
  <c r="F21" i="151"/>
  <c r="F21" i="154"/>
  <c r="F22" i="146"/>
  <c r="F22" i="199"/>
  <c r="F22" i="148"/>
  <c r="F21" i="75"/>
  <c r="F22" i="170"/>
  <c r="F22" i="73"/>
  <c r="F22" i="5"/>
  <c r="F22" i="72"/>
  <c r="F22" i="171"/>
  <c r="F22" i="78"/>
  <c r="F22" i="76"/>
  <c r="F22" i="172"/>
  <c r="F22" i="81"/>
  <c r="F22" i="79"/>
  <c r="F22" i="173"/>
  <c r="H17" i="154" l="1"/>
  <c r="I17" i="154" s="1"/>
  <c r="H17" i="151"/>
  <c r="I17" i="151" s="1"/>
  <c r="C48" i="179"/>
  <c r="D44" i="179"/>
  <c r="C40" i="179"/>
  <c r="C36" i="179"/>
  <c r="C37" i="179"/>
  <c r="C25" i="179"/>
  <c r="C22" i="179"/>
  <c r="C15" i="179"/>
  <c r="C14" i="179"/>
  <c r="C8" i="179"/>
  <c r="C4" i="179"/>
  <c r="D45" i="7"/>
  <c r="D42" i="7"/>
  <c r="D30" i="7"/>
  <c r="D27" i="7"/>
  <c r="C18" i="179" l="1"/>
  <c r="C16" i="179"/>
  <c r="C5" i="148"/>
  <c r="F37" i="199"/>
  <c r="F35" i="199"/>
  <c r="F33" i="199"/>
  <c r="G31" i="199"/>
  <c r="F31" i="199"/>
  <c r="E31" i="199"/>
  <c r="D31" i="199"/>
  <c r="E18" i="199"/>
  <c r="C18" i="199"/>
  <c r="D18" i="199" s="1"/>
  <c r="E17" i="199"/>
  <c r="G17" i="199" s="1"/>
  <c r="D17" i="199"/>
  <c r="E16" i="199"/>
  <c r="F14" i="199"/>
  <c r="E14" i="199"/>
  <c r="D14" i="199"/>
  <c r="F13" i="199"/>
  <c r="C10" i="199"/>
  <c r="B20" i="199" s="1"/>
  <c r="E20" i="199" s="1"/>
  <c r="G20" i="199" s="1"/>
  <c r="C8" i="199"/>
  <c r="B8" i="199"/>
  <c r="B6" i="199"/>
  <c r="B9" i="199" s="1"/>
  <c r="E13" i="199" s="1"/>
  <c r="F37" i="148"/>
  <c r="F35" i="148"/>
  <c r="F33" i="148"/>
  <c r="F31" i="148"/>
  <c r="E31" i="148"/>
  <c r="G31" i="148" s="1"/>
  <c r="D31" i="148"/>
  <c r="E25" i="148"/>
  <c r="E24" i="148"/>
  <c r="B24" i="148"/>
  <c r="E21" i="148"/>
  <c r="E19" i="148"/>
  <c r="E18" i="148"/>
  <c r="C18" i="148"/>
  <c r="D18" i="148" s="1"/>
  <c r="E17" i="148"/>
  <c r="G17" i="148" s="1"/>
  <c r="D17" i="148"/>
  <c r="E16" i="148"/>
  <c r="F14" i="148"/>
  <c r="E14" i="148"/>
  <c r="D14" i="148"/>
  <c r="F13" i="148"/>
  <c r="C10" i="148"/>
  <c r="C8" i="148"/>
  <c r="B8" i="148"/>
  <c r="B7" i="148"/>
  <c r="B6" i="148"/>
  <c r="B9" i="148" s="1"/>
  <c r="B25" i="148"/>
  <c r="C4" i="148"/>
  <c r="B33" i="148"/>
  <c r="F37" i="146"/>
  <c r="F35" i="146"/>
  <c r="F33" i="146"/>
  <c r="F31" i="146"/>
  <c r="E31" i="146"/>
  <c r="D31" i="146"/>
  <c r="E25" i="146"/>
  <c r="E24" i="146"/>
  <c r="B24" i="146"/>
  <c r="E21" i="146"/>
  <c r="E19" i="146"/>
  <c r="E18" i="146"/>
  <c r="D18" i="146"/>
  <c r="E17" i="146"/>
  <c r="G17" i="146" s="1"/>
  <c r="D17" i="146"/>
  <c r="E16" i="146"/>
  <c r="F14" i="146"/>
  <c r="E14" i="146"/>
  <c r="G14" i="146" s="1"/>
  <c r="D14" i="146"/>
  <c r="F13" i="146"/>
  <c r="C10" i="146"/>
  <c r="C8" i="146"/>
  <c r="B8" i="146"/>
  <c r="B6" i="146"/>
  <c r="B9" i="146" s="1"/>
  <c r="B25" i="146"/>
  <c r="F38" i="154"/>
  <c r="F36" i="154"/>
  <c r="F34" i="154"/>
  <c r="F32" i="154"/>
  <c r="E32" i="154"/>
  <c r="D32" i="154"/>
  <c r="E18" i="154"/>
  <c r="E17" i="154"/>
  <c r="E15" i="154"/>
  <c r="F13" i="154"/>
  <c r="F12" i="154"/>
  <c r="C6" i="154"/>
  <c r="C5" i="154"/>
  <c r="C4" i="154"/>
  <c r="F37" i="141"/>
  <c r="F35" i="141"/>
  <c r="F33" i="141"/>
  <c r="F31" i="141"/>
  <c r="E31" i="141"/>
  <c r="G31" i="141" s="1"/>
  <c r="D31" i="141"/>
  <c r="E18" i="141"/>
  <c r="E16" i="141"/>
  <c r="D16" i="141"/>
  <c r="E15" i="141"/>
  <c r="F13" i="141"/>
  <c r="F12" i="141"/>
  <c r="B12" i="141"/>
  <c r="C6" i="141"/>
  <c r="C8" i="141" s="1"/>
  <c r="B8" i="141"/>
  <c r="C5" i="141"/>
  <c r="C4" i="141"/>
  <c r="B33" i="141" s="1"/>
  <c r="B34" i="154" l="1"/>
  <c r="E34" i="154" s="1"/>
  <c r="G34" i="154" s="1"/>
  <c r="C8" i="154"/>
  <c r="E22" i="146"/>
  <c r="G22" i="146" s="1"/>
  <c r="E13" i="146"/>
  <c r="E22" i="148"/>
  <c r="G22" i="148" s="1"/>
  <c r="E13" i="148"/>
  <c r="B24" i="141"/>
  <c r="B22" i="141"/>
  <c r="D20" i="199"/>
  <c r="H20" i="199" s="1"/>
  <c r="I20" i="199" s="1"/>
  <c r="B21" i="148"/>
  <c r="B20" i="148"/>
  <c r="B21" i="146"/>
  <c r="B20" i="146"/>
  <c r="G14" i="199"/>
  <c r="H14" i="199" s="1"/>
  <c r="I14" i="199" s="1"/>
  <c r="E30" i="141"/>
  <c r="G30" i="141" s="1"/>
  <c r="E22" i="141"/>
  <c r="C7" i="154"/>
  <c r="C23" i="154" s="1"/>
  <c r="F23" i="154" s="1"/>
  <c r="B12" i="154"/>
  <c r="G32" i="154"/>
  <c r="H32" i="154" s="1"/>
  <c r="I32" i="154" s="1"/>
  <c r="G31" i="146"/>
  <c r="H31" i="146" s="1"/>
  <c r="I31" i="146" s="1"/>
  <c r="H14" i="146"/>
  <c r="I14" i="146" s="1"/>
  <c r="G14" i="148"/>
  <c r="H14" i="148" s="1"/>
  <c r="I14" i="148" s="1"/>
  <c r="C9" i="148"/>
  <c r="D21" i="146"/>
  <c r="D21" i="148"/>
  <c r="E25" i="141"/>
  <c r="H17" i="146"/>
  <c r="I17" i="146" s="1"/>
  <c r="H17" i="199"/>
  <c r="I17" i="199" s="1"/>
  <c r="H31" i="199"/>
  <c r="I31" i="199" s="1"/>
  <c r="E28" i="148"/>
  <c r="G28" i="148" s="1"/>
  <c r="E29" i="148"/>
  <c r="G29" i="148" s="1"/>
  <c r="E30" i="148"/>
  <c r="G30" i="148" s="1"/>
  <c r="E33" i="148"/>
  <c r="G33" i="148" s="1"/>
  <c r="D33" i="148"/>
  <c r="H31" i="148"/>
  <c r="I31" i="148" s="1"/>
  <c r="B19" i="148"/>
  <c r="H17" i="148"/>
  <c r="I17" i="148" s="1"/>
  <c r="C7" i="148"/>
  <c r="E28" i="146"/>
  <c r="G28" i="146" s="1"/>
  <c r="E29" i="146"/>
  <c r="G29" i="146" s="1"/>
  <c r="E30" i="146"/>
  <c r="G30" i="146" s="1"/>
  <c r="B19" i="146"/>
  <c r="B33" i="146"/>
  <c r="C4" i="146"/>
  <c r="B7" i="146"/>
  <c r="C9" i="154"/>
  <c r="E23" i="154"/>
  <c r="B13" i="154"/>
  <c r="E21" i="154"/>
  <c r="B29" i="141"/>
  <c r="D29" i="141" s="1"/>
  <c r="B30" i="141"/>
  <c r="D30" i="141" s="1"/>
  <c r="B28" i="141"/>
  <c r="D28" i="141" s="1"/>
  <c r="B25" i="141"/>
  <c r="B13" i="141"/>
  <c r="C7" i="141"/>
  <c r="C22" i="141" s="1"/>
  <c r="F22" i="141" s="1"/>
  <c r="H31" i="141"/>
  <c r="I31" i="141" s="1"/>
  <c r="E33" i="141"/>
  <c r="G33" i="141" s="1"/>
  <c r="D33" i="141"/>
  <c r="E24" i="141"/>
  <c r="E28" i="141"/>
  <c r="G28" i="141" s="1"/>
  <c r="C9" i="141"/>
  <c r="E29" i="141"/>
  <c r="G29" i="141" s="1"/>
  <c r="F38" i="157"/>
  <c r="F36" i="157"/>
  <c r="F34" i="157"/>
  <c r="B34" i="157"/>
  <c r="E34" i="157" s="1"/>
  <c r="F32" i="157"/>
  <c r="E32" i="157"/>
  <c r="D32" i="157"/>
  <c r="G16" i="157"/>
  <c r="D16" i="157"/>
  <c r="F13" i="157"/>
  <c r="F12" i="157"/>
  <c r="C9" i="157"/>
  <c r="E21" i="157"/>
  <c r="C23" i="157"/>
  <c r="F23" i="157" s="1"/>
  <c r="C6" i="157"/>
  <c r="B20" i="157"/>
  <c r="D20" i="157" s="1"/>
  <c r="F37" i="144"/>
  <c r="F35" i="144"/>
  <c r="F33" i="144"/>
  <c r="E33" i="144"/>
  <c r="F31" i="144"/>
  <c r="E31" i="144"/>
  <c r="D31" i="144"/>
  <c r="G16" i="144"/>
  <c r="D16" i="144"/>
  <c r="F13" i="144"/>
  <c r="F12" i="144"/>
  <c r="C9" i="144"/>
  <c r="E19" i="144"/>
  <c r="E13" i="144"/>
  <c r="C6" i="144"/>
  <c r="B8" i="144"/>
  <c r="D34" i="154" l="1"/>
  <c r="H34" i="154" s="1"/>
  <c r="I34" i="154" s="1"/>
  <c r="B30" i="148"/>
  <c r="D30" i="148" s="1"/>
  <c r="B13" i="148"/>
  <c r="B22" i="148"/>
  <c r="B19" i="141"/>
  <c r="D19" i="141" s="1"/>
  <c r="B20" i="141"/>
  <c r="D20" i="141" s="1"/>
  <c r="H20" i="141" s="1"/>
  <c r="I20" i="141" s="1"/>
  <c r="B20" i="154"/>
  <c r="B19" i="154"/>
  <c r="D19" i="154" s="1"/>
  <c r="H19" i="154" s="1"/>
  <c r="I19" i="154" s="1"/>
  <c r="E21" i="197"/>
  <c r="C32" i="179"/>
  <c r="B25" i="157"/>
  <c r="B26" i="157"/>
  <c r="B25" i="144"/>
  <c r="B24" i="144"/>
  <c r="B26" i="154"/>
  <c r="B25" i="154"/>
  <c r="B23" i="154"/>
  <c r="D23" i="154" s="1"/>
  <c r="H30" i="141"/>
  <c r="I30" i="141" s="1"/>
  <c r="E20" i="146"/>
  <c r="G20" i="146" s="1"/>
  <c r="D20" i="146"/>
  <c r="E20" i="148"/>
  <c r="G20" i="148" s="1"/>
  <c r="D20" i="148"/>
  <c r="G33" i="144"/>
  <c r="G13" i="144"/>
  <c r="G32" i="157"/>
  <c r="H32" i="157" s="1"/>
  <c r="I32" i="157" s="1"/>
  <c r="H16" i="157"/>
  <c r="I16" i="157" s="1"/>
  <c r="G31" i="144"/>
  <c r="H31" i="144" s="1"/>
  <c r="I31" i="144" s="1"/>
  <c r="G34" i="157"/>
  <c r="C8" i="157"/>
  <c r="B30" i="157" s="1"/>
  <c r="D30" i="157" s="1"/>
  <c r="B30" i="154"/>
  <c r="D30" i="154" s="1"/>
  <c r="B31" i="154"/>
  <c r="D31" i="154" s="1"/>
  <c r="B29" i="154"/>
  <c r="D29" i="154" s="1"/>
  <c r="B29" i="148"/>
  <c r="D29" i="148" s="1"/>
  <c r="H29" i="148" s="1"/>
  <c r="I29" i="148" s="1"/>
  <c r="B28" i="148"/>
  <c r="D28" i="148" s="1"/>
  <c r="B18" i="144"/>
  <c r="E18" i="197"/>
  <c r="B21" i="157"/>
  <c r="D21" i="157" s="1"/>
  <c r="G22" i="141"/>
  <c r="G19" i="144"/>
  <c r="E20" i="144"/>
  <c r="C22" i="144"/>
  <c r="F22" i="144" s="1"/>
  <c r="H30" i="148"/>
  <c r="I30" i="148" s="1"/>
  <c r="H33" i="148"/>
  <c r="I33" i="148" s="1"/>
  <c r="G13" i="148"/>
  <c r="D13" i="148"/>
  <c r="D15" i="148" s="1"/>
  <c r="G32" i="148"/>
  <c r="C9" i="146"/>
  <c r="C7" i="146"/>
  <c r="G32" i="146"/>
  <c r="D33" i="146"/>
  <c r="E33" i="146"/>
  <c r="G33" i="146" s="1"/>
  <c r="G13" i="146"/>
  <c r="E13" i="154"/>
  <c r="G13" i="154" s="1"/>
  <c r="D13" i="154"/>
  <c r="E12" i="154"/>
  <c r="G12" i="154" s="1"/>
  <c r="D12" i="154"/>
  <c r="E25" i="154"/>
  <c r="G23" i="154"/>
  <c r="E31" i="154"/>
  <c r="G31" i="154" s="1"/>
  <c r="E26" i="154"/>
  <c r="E29" i="154"/>
  <c r="G29" i="154" s="1"/>
  <c r="E30" i="154"/>
  <c r="G30" i="154" s="1"/>
  <c r="B18" i="154"/>
  <c r="B21" i="154"/>
  <c r="D21" i="154" s="1"/>
  <c r="H33" i="141"/>
  <c r="I33" i="141" s="1"/>
  <c r="E13" i="141"/>
  <c r="G13" i="141" s="1"/>
  <c r="D13" i="141"/>
  <c r="B18" i="141"/>
  <c r="D22" i="141"/>
  <c r="H29" i="141"/>
  <c r="I29" i="141" s="1"/>
  <c r="G32" i="141"/>
  <c r="H28" i="141"/>
  <c r="I28" i="141" s="1"/>
  <c r="E12" i="141"/>
  <c r="G12" i="141" s="1"/>
  <c r="D12" i="141"/>
  <c r="D32" i="141"/>
  <c r="E18" i="157"/>
  <c r="B18" i="157"/>
  <c r="E20" i="157"/>
  <c r="G20" i="157" s="1"/>
  <c r="D34" i="157"/>
  <c r="B8" i="157"/>
  <c r="B13" i="157"/>
  <c r="B20" i="144"/>
  <c r="D20" i="144" s="1"/>
  <c r="E28" i="144"/>
  <c r="G28" i="144" s="1"/>
  <c r="E30" i="144"/>
  <c r="G30" i="144" s="1"/>
  <c r="E29" i="144"/>
  <c r="G29" i="144" s="1"/>
  <c r="E22" i="144"/>
  <c r="E25" i="144"/>
  <c r="E24" i="144"/>
  <c r="H16" i="144"/>
  <c r="I16" i="144" s="1"/>
  <c r="E12" i="144"/>
  <c r="G12" i="144" s="1"/>
  <c r="E18" i="144"/>
  <c r="E19" i="141" l="1"/>
  <c r="G19" i="141" s="1"/>
  <c r="H19" i="141" s="1"/>
  <c r="I19" i="141" s="1"/>
  <c r="B13" i="146"/>
  <c r="D13" i="146" s="1"/>
  <c r="D15" i="146" s="1"/>
  <c r="B22" i="146"/>
  <c r="E20" i="154"/>
  <c r="G20" i="154" s="1"/>
  <c r="D20" i="154"/>
  <c r="H20" i="146"/>
  <c r="I20" i="146" s="1"/>
  <c r="H20" i="148"/>
  <c r="I20" i="148" s="1"/>
  <c r="H34" i="157"/>
  <c r="I34" i="157" s="1"/>
  <c r="B23" i="157"/>
  <c r="D23" i="157" s="1"/>
  <c r="D19" i="144"/>
  <c r="H19" i="144" s="1"/>
  <c r="I19" i="144" s="1"/>
  <c r="B31" i="157"/>
  <c r="D31" i="157" s="1"/>
  <c r="B29" i="157"/>
  <c r="D29" i="157" s="1"/>
  <c r="D33" i="154"/>
  <c r="D32" i="148"/>
  <c r="H32" i="148" s="1"/>
  <c r="I32" i="148" s="1"/>
  <c r="H28" i="148"/>
  <c r="I28" i="148" s="1"/>
  <c r="H22" i="141"/>
  <c r="I22" i="141" s="1"/>
  <c r="G22" i="144"/>
  <c r="H13" i="148"/>
  <c r="I13" i="148" s="1"/>
  <c r="G15" i="148"/>
  <c r="H13" i="146"/>
  <c r="I13" i="146" s="1"/>
  <c r="G15" i="146"/>
  <c r="H33" i="146"/>
  <c r="I33" i="146" s="1"/>
  <c r="B30" i="146"/>
  <c r="D30" i="146" s="1"/>
  <c r="H30" i="146" s="1"/>
  <c r="I30" i="146" s="1"/>
  <c r="B28" i="146"/>
  <c r="D28" i="146" s="1"/>
  <c r="B29" i="146"/>
  <c r="D29" i="146" s="1"/>
  <c r="H29" i="146" s="1"/>
  <c r="I29" i="146" s="1"/>
  <c r="H30" i="154"/>
  <c r="I30" i="154" s="1"/>
  <c r="H23" i="154"/>
  <c r="I23" i="154" s="1"/>
  <c r="H13" i="154"/>
  <c r="I13" i="154" s="1"/>
  <c r="H31" i="154"/>
  <c r="I31" i="154" s="1"/>
  <c r="D14" i="154"/>
  <c r="G14" i="154"/>
  <c r="H12" i="154"/>
  <c r="I12" i="154" s="1"/>
  <c r="G33" i="154"/>
  <c r="H29" i="154"/>
  <c r="I29" i="154" s="1"/>
  <c r="D14" i="141"/>
  <c r="H12" i="141"/>
  <c r="I12" i="141" s="1"/>
  <c r="G14" i="141"/>
  <c r="H32" i="141"/>
  <c r="I32" i="141" s="1"/>
  <c r="H13" i="141"/>
  <c r="I13" i="141" s="1"/>
  <c r="H20" i="157"/>
  <c r="I20" i="157" s="1"/>
  <c r="E13" i="157"/>
  <c r="G13" i="157" s="1"/>
  <c r="D13" i="157"/>
  <c r="E12" i="157"/>
  <c r="G12" i="157" s="1"/>
  <c r="D12" i="157"/>
  <c r="E25" i="157"/>
  <c r="E30" i="157"/>
  <c r="G30" i="157" s="1"/>
  <c r="E23" i="157"/>
  <c r="G23" i="157" s="1"/>
  <c r="E31" i="157"/>
  <c r="G31" i="157" s="1"/>
  <c r="E26" i="157"/>
  <c r="E29" i="157"/>
  <c r="G29" i="157" s="1"/>
  <c r="G14" i="144"/>
  <c r="C8" i="144"/>
  <c r="B33" i="144"/>
  <c r="D33" i="144" s="1"/>
  <c r="H33" i="144" s="1"/>
  <c r="I33" i="144" s="1"/>
  <c r="D12" i="144"/>
  <c r="H12" i="144" s="1"/>
  <c r="I12" i="144" s="1"/>
  <c r="B13" i="144"/>
  <c r="D13" i="144" s="1"/>
  <c r="H13" i="144" s="1"/>
  <c r="I13" i="144" s="1"/>
  <c r="G32" i="144"/>
  <c r="C9" i="198"/>
  <c r="C6" i="198"/>
  <c r="D47" i="179"/>
  <c r="B6" i="198"/>
  <c r="B5" i="198"/>
  <c r="F38" i="198"/>
  <c r="F36" i="198"/>
  <c r="F34" i="198"/>
  <c r="F32" i="198"/>
  <c r="E32" i="198"/>
  <c r="G32" i="198" s="1"/>
  <c r="D32" i="198"/>
  <c r="E17" i="198"/>
  <c r="D17" i="198"/>
  <c r="E16" i="198"/>
  <c r="G16" i="198" s="1"/>
  <c r="D16" i="198"/>
  <c r="E15" i="198"/>
  <c r="F13" i="198"/>
  <c r="F12" i="198"/>
  <c r="C9" i="197"/>
  <c r="C6" i="197"/>
  <c r="B6" i="197"/>
  <c r="B8" i="197" s="1"/>
  <c r="E29" i="197" s="1"/>
  <c r="B5" i="197"/>
  <c r="C4" i="197"/>
  <c r="B12" i="197" s="1"/>
  <c r="F38" i="197"/>
  <c r="F36" i="197"/>
  <c r="F34" i="197"/>
  <c r="B34" i="197"/>
  <c r="D34" i="197" s="1"/>
  <c r="F32" i="197"/>
  <c r="E32" i="197"/>
  <c r="D32" i="197"/>
  <c r="E17" i="197"/>
  <c r="D17" i="197"/>
  <c r="E16" i="197"/>
  <c r="G16" i="197" s="1"/>
  <c r="D16" i="197"/>
  <c r="E15" i="197"/>
  <c r="F13" i="197"/>
  <c r="F12" i="197"/>
  <c r="B13" i="197"/>
  <c r="E13" i="197" s="1"/>
  <c r="F38" i="160"/>
  <c r="F36" i="160"/>
  <c r="F34" i="160"/>
  <c r="F32" i="160"/>
  <c r="E32" i="160"/>
  <c r="D32" i="160"/>
  <c r="G17" i="160"/>
  <c r="G16" i="160"/>
  <c r="D16" i="160"/>
  <c r="F13" i="160"/>
  <c r="F12" i="160"/>
  <c r="C9" i="160"/>
  <c r="C6" i="160"/>
  <c r="B19" i="160"/>
  <c r="F38" i="151"/>
  <c r="F36" i="151"/>
  <c r="F34" i="151"/>
  <c r="F32" i="151"/>
  <c r="E32" i="151"/>
  <c r="D32" i="151"/>
  <c r="E17" i="151"/>
  <c r="E15" i="151"/>
  <c r="F13" i="151"/>
  <c r="F12" i="151"/>
  <c r="C7" i="151"/>
  <c r="C6" i="151"/>
  <c r="C5" i="151"/>
  <c r="F49" i="190"/>
  <c r="F47" i="190"/>
  <c r="F44" i="190"/>
  <c r="F42" i="190"/>
  <c r="F40" i="190"/>
  <c r="F38" i="190"/>
  <c r="E38" i="190"/>
  <c r="G38" i="190" s="1"/>
  <c r="D38" i="190"/>
  <c r="C27" i="190"/>
  <c r="F27" i="190" s="1"/>
  <c r="G25" i="190"/>
  <c r="D25" i="190"/>
  <c r="E20" i="190"/>
  <c r="G20" i="190" s="1"/>
  <c r="D20" i="190"/>
  <c r="E19" i="190"/>
  <c r="F17" i="190"/>
  <c r="B17" i="190"/>
  <c r="F16" i="190"/>
  <c r="B16" i="190"/>
  <c r="F15" i="190"/>
  <c r="B15" i="190"/>
  <c r="F13" i="190"/>
  <c r="F12" i="190"/>
  <c r="B23" i="190"/>
  <c r="E23" i="190" s="1"/>
  <c r="B13" i="190"/>
  <c r="E13" i="190" s="1"/>
  <c r="F49" i="189"/>
  <c r="F47" i="189"/>
  <c r="F44" i="189"/>
  <c r="F42" i="189"/>
  <c r="F40" i="189"/>
  <c r="F38" i="189"/>
  <c r="E38" i="189"/>
  <c r="G38" i="189" s="1"/>
  <c r="D38" i="189"/>
  <c r="C27" i="189"/>
  <c r="F27" i="189" s="1"/>
  <c r="G25" i="189"/>
  <c r="D25" i="189"/>
  <c r="E20" i="189"/>
  <c r="G20" i="189" s="1"/>
  <c r="D20" i="189"/>
  <c r="E19" i="189"/>
  <c r="F17" i="189"/>
  <c r="B17" i="189"/>
  <c r="F16" i="189"/>
  <c r="B16" i="189"/>
  <c r="F15" i="189"/>
  <c r="B15" i="189"/>
  <c r="F13" i="189"/>
  <c r="F12" i="189"/>
  <c r="B12" i="189"/>
  <c r="E12" i="189" s="1"/>
  <c r="G12" i="189" s="1"/>
  <c r="F49" i="188"/>
  <c r="F47" i="188"/>
  <c r="F44" i="188"/>
  <c r="F42" i="188"/>
  <c r="F40" i="188"/>
  <c r="F38" i="188"/>
  <c r="E38" i="188"/>
  <c r="G38" i="188" s="1"/>
  <c r="D38" i="188"/>
  <c r="G25" i="188"/>
  <c r="D25" i="188"/>
  <c r="E20" i="188"/>
  <c r="G20" i="188" s="1"/>
  <c r="D20" i="188"/>
  <c r="E19" i="188"/>
  <c r="F17" i="188"/>
  <c r="F16" i="188"/>
  <c r="F15" i="188"/>
  <c r="B15" i="188"/>
  <c r="E15" i="188" s="1"/>
  <c r="F13" i="188"/>
  <c r="F26" i="188" s="1"/>
  <c r="F12" i="188"/>
  <c r="B22" i="188"/>
  <c r="E22" i="188" s="1"/>
  <c r="B16" i="188"/>
  <c r="F49" i="187"/>
  <c r="F47" i="187"/>
  <c r="F44" i="187"/>
  <c r="F42" i="187"/>
  <c r="F40" i="187"/>
  <c r="F38" i="187"/>
  <c r="E38" i="187"/>
  <c r="G38" i="187" s="1"/>
  <c r="D38" i="187"/>
  <c r="G25" i="187"/>
  <c r="D25" i="187"/>
  <c r="E20" i="187"/>
  <c r="G20" i="187" s="1"/>
  <c r="D20" i="187"/>
  <c r="E19" i="187"/>
  <c r="F17" i="187"/>
  <c r="F16" i="187"/>
  <c r="F15" i="187"/>
  <c r="F13" i="187"/>
  <c r="F26" i="187" s="1"/>
  <c r="F12" i="187"/>
  <c r="F49" i="186"/>
  <c r="F47" i="186"/>
  <c r="F44" i="186"/>
  <c r="F42" i="186"/>
  <c r="F40" i="186"/>
  <c r="F38" i="186"/>
  <c r="D38" i="186"/>
  <c r="C27" i="186"/>
  <c r="F27" i="186" s="1"/>
  <c r="F25" i="186"/>
  <c r="G25" i="186" s="1"/>
  <c r="C25" i="186"/>
  <c r="D25" i="186" s="1"/>
  <c r="D20" i="186"/>
  <c r="F22" i="186"/>
  <c r="F17" i="186"/>
  <c r="F16" i="186"/>
  <c r="F15" i="186"/>
  <c r="G15" i="186"/>
  <c r="F13" i="186"/>
  <c r="F12" i="186"/>
  <c r="B9" i="186"/>
  <c r="B7" i="186"/>
  <c r="B6" i="186"/>
  <c r="F48" i="185"/>
  <c r="F46" i="185"/>
  <c r="F43" i="185"/>
  <c r="F41" i="185"/>
  <c r="F39" i="185"/>
  <c r="F37" i="185"/>
  <c r="D37" i="185"/>
  <c r="C26" i="185"/>
  <c r="F26" i="185" s="1"/>
  <c r="F24" i="185"/>
  <c r="G24" i="185" s="1"/>
  <c r="C24" i="185"/>
  <c r="D24" i="185" s="1"/>
  <c r="D20" i="185"/>
  <c r="D22" i="185"/>
  <c r="F17" i="185"/>
  <c r="F16" i="185"/>
  <c r="F15" i="185"/>
  <c r="F13" i="185"/>
  <c r="F12" i="185"/>
  <c r="B9" i="185"/>
  <c r="B7" i="185"/>
  <c r="B6" i="185"/>
  <c r="B5" i="185"/>
  <c r="F50" i="184"/>
  <c r="F48" i="184"/>
  <c r="F45" i="184"/>
  <c r="F43" i="184"/>
  <c r="F41" i="184"/>
  <c r="F39" i="184"/>
  <c r="E39" i="184"/>
  <c r="G39" i="184" s="1"/>
  <c r="H39" i="184" s="1"/>
  <c r="I39" i="184" s="1"/>
  <c r="D39" i="184"/>
  <c r="C28" i="184"/>
  <c r="F28" i="184" s="1"/>
  <c r="F26" i="184"/>
  <c r="G26" i="184" s="1"/>
  <c r="C26" i="184"/>
  <c r="D26" i="184" s="1"/>
  <c r="E22" i="184"/>
  <c r="E21" i="184"/>
  <c r="D21" i="184"/>
  <c r="E20" i="184"/>
  <c r="G20" i="184" s="1"/>
  <c r="D20" i="184"/>
  <c r="E19" i="184"/>
  <c r="F17" i="184"/>
  <c r="F16" i="184"/>
  <c r="F15" i="184"/>
  <c r="F13" i="184"/>
  <c r="F12" i="184"/>
  <c r="B9" i="184"/>
  <c r="B7" i="184"/>
  <c r="B6" i="184"/>
  <c r="B5" i="184"/>
  <c r="F50" i="183"/>
  <c r="F48" i="183"/>
  <c r="F45" i="183"/>
  <c r="F43" i="183"/>
  <c r="F41" i="183"/>
  <c r="F39" i="183"/>
  <c r="E39" i="183"/>
  <c r="G39" i="183" s="1"/>
  <c r="D39" i="183"/>
  <c r="C28" i="183"/>
  <c r="F28" i="183" s="1"/>
  <c r="F26" i="183"/>
  <c r="G26" i="183" s="1"/>
  <c r="C26" i="183"/>
  <c r="D26" i="183" s="1"/>
  <c r="E22" i="183"/>
  <c r="E21" i="183"/>
  <c r="D21" i="183"/>
  <c r="E20" i="183"/>
  <c r="G20" i="183" s="1"/>
  <c r="D20" i="183"/>
  <c r="E19" i="183"/>
  <c r="F17" i="183"/>
  <c r="F16" i="183"/>
  <c r="F15" i="183"/>
  <c r="F13" i="183"/>
  <c r="F12" i="183"/>
  <c r="B9" i="183"/>
  <c r="B7" i="183"/>
  <c r="B6" i="183"/>
  <c r="B5" i="183"/>
  <c r="F50" i="181"/>
  <c r="F48" i="181"/>
  <c r="F45" i="181"/>
  <c r="F43" i="181"/>
  <c r="F41" i="181"/>
  <c r="F39" i="181"/>
  <c r="E39" i="181"/>
  <c r="G39" i="181" s="1"/>
  <c r="D39" i="181"/>
  <c r="C28" i="181"/>
  <c r="F28" i="181" s="1"/>
  <c r="F26" i="181"/>
  <c r="G26" i="181" s="1"/>
  <c r="C26" i="181"/>
  <c r="D26" i="181" s="1"/>
  <c r="E22" i="181"/>
  <c r="E21" i="181"/>
  <c r="D21" i="181"/>
  <c r="E20" i="181"/>
  <c r="G20" i="181" s="1"/>
  <c r="D20" i="181"/>
  <c r="E19" i="181"/>
  <c r="F17" i="181"/>
  <c r="F16" i="181"/>
  <c r="F15" i="181"/>
  <c r="F13" i="181"/>
  <c r="F12" i="181"/>
  <c r="B9" i="181"/>
  <c r="B7" i="181"/>
  <c r="B6" i="181"/>
  <c r="B5" i="181"/>
  <c r="F50" i="182"/>
  <c r="F48" i="182"/>
  <c r="F45" i="182"/>
  <c r="F43" i="182"/>
  <c r="F41" i="182"/>
  <c r="F39" i="182"/>
  <c r="E39" i="182"/>
  <c r="D39" i="182"/>
  <c r="C28" i="182"/>
  <c r="F28" i="182" s="1"/>
  <c r="F26" i="182"/>
  <c r="G26" i="182" s="1"/>
  <c r="C26" i="182"/>
  <c r="D26" i="182" s="1"/>
  <c r="E22" i="182"/>
  <c r="E21" i="182"/>
  <c r="D21" i="182"/>
  <c r="E20" i="182"/>
  <c r="G20" i="182" s="1"/>
  <c r="D20" i="182"/>
  <c r="E19" i="182"/>
  <c r="F17" i="182"/>
  <c r="F16" i="182"/>
  <c r="F15" i="182"/>
  <c r="F13" i="182"/>
  <c r="F12" i="182"/>
  <c r="B9" i="182"/>
  <c r="B7" i="182"/>
  <c r="B6" i="182"/>
  <c r="B5" i="182"/>
  <c r="F50" i="180"/>
  <c r="F48" i="180"/>
  <c r="F45" i="180"/>
  <c r="F43" i="180"/>
  <c r="F41" i="180"/>
  <c r="F39" i="180"/>
  <c r="E39" i="180"/>
  <c r="D39" i="180"/>
  <c r="C28" i="180"/>
  <c r="F28" i="180" s="1"/>
  <c r="F26" i="180"/>
  <c r="G26" i="180" s="1"/>
  <c r="C26" i="180"/>
  <c r="D26" i="180" s="1"/>
  <c r="E22" i="180"/>
  <c r="E21" i="180"/>
  <c r="D21" i="180"/>
  <c r="E20" i="180"/>
  <c r="G20" i="180" s="1"/>
  <c r="D20" i="180"/>
  <c r="E19" i="180"/>
  <c r="F17" i="180"/>
  <c r="F16" i="180"/>
  <c r="F15" i="180"/>
  <c r="F13" i="180"/>
  <c r="F12" i="180"/>
  <c r="B9" i="180"/>
  <c r="B7" i="180"/>
  <c r="B6" i="180"/>
  <c r="B5" i="180"/>
  <c r="E22" i="186" l="1"/>
  <c r="G22" i="186" s="1"/>
  <c r="E21" i="186"/>
  <c r="E22" i="185"/>
  <c r="G22" i="185" s="1"/>
  <c r="H22" i="185" s="1"/>
  <c r="I22" i="185" s="1"/>
  <c r="E21" i="185"/>
  <c r="E12" i="185"/>
  <c r="E13" i="185"/>
  <c r="H20" i="154"/>
  <c r="I20" i="154" s="1"/>
  <c r="B26" i="198"/>
  <c r="B25" i="198"/>
  <c r="C4" i="198"/>
  <c r="B12" i="198" s="1"/>
  <c r="C47" i="179"/>
  <c r="G13" i="197"/>
  <c r="B18" i="197"/>
  <c r="D32" i="179"/>
  <c r="B26" i="197"/>
  <c r="B25" i="197"/>
  <c r="B25" i="160"/>
  <c r="B26" i="160"/>
  <c r="D22" i="186"/>
  <c r="G15" i="188"/>
  <c r="F27" i="188"/>
  <c r="F27" i="187"/>
  <c r="G16" i="186"/>
  <c r="G38" i="186"/>
  <c r="G37" i="185"/>
  <c r="G13" i="190"/>
  <c r="G32" i="160"/>
  <c r="H32" i="160" s="1"/>
  <c r="I32" i="160" s="1"/>
  <c r="G32" i="197"/>
  <c r="H32" i="197" s="1"/>
  <c r="I32" i="197" s="1"/>
  <c r="D33" i="157"/>
  <c r="C23" i="198"/>
  <c r="F23" i="198" s="1"/>
  <c r="B34" i="198"/>
  <c r="E34" i="198" s="1"/>
  <c r="G34" i="198" s="1"/>
  <c r="C8" i="197"/>
  <c r="B31" i="197" s="1"/>
  <c r="C8" i="198"/>
  <c r="B30" i="198" s="1"/>
  <c r="D30" i="198" s="1"/>
  <c r="G32" i="151"/>
  <c r="H32" i="151" s="1"/>
  <c r="I32" i="151" s="1"/>
  <c r="H20" i="190"/>
  <c r="I20" i="190" s="1"/>
  <c r="G21" i="184"/>
  <c r="H21" i="184" s="1"/>
  <c r="I21" i="184" s="1"/>
  <c r="G39" i="182"/>
  <c r="G39" i="180"/>
  <c r="B21" i="197"/>
  <c r="D21" i="197" s="1"/>
  <c r="D20" i="198"/>
  <c r="B18" i="198"/>
  <c r="B21" i="198"/>
  <c r="D21" i="198" s="1"/>
  <c r="B8" i="198"/>
  <c r="E31" i="198" s="1"/>
  <c r="E31" i="197"/>
  <c r="B21" i="160"/>
  <c r="D21" i="160" s="1"/>
  <c r="E21" i="198"/>
  <c r="E18" i="198"/>
  <c r="H15" i="148"/>
  <c r="I15" i="148" s="1"/>
  <c r="D32" i="146"/>
  <c r="H28" i="146"/>
  <c r="I28" i="146" s="1"/>
  <c r="H15" i="146"/>
  <c r="I15" i="146" s="1"/>
  <c r="H14" i="154"/>
  <c r="I14" i="154" s="1"/>
  <c r="H33" i="154"/>
  <c r="I33" i="154" s="1"/>
  <c r="H14" i="141"/>
  <c r="I14" i="141" s="1"/>
  <c r="H16" i="198"/>
  <c r="I16" i="198" s="1"/>
  <c r="E26" i="197"/>
  <c r="E30" i="197"/>
  <c r="E23" i="197"/>
  <c r="D14" i="157"/>
  <c r="H13" i="157"/>
  <c r="I13" i="157" s="1"/>
  <c r="H31" i="157"/>
  <c r="I31" i="157" s="1"/>
  <c r="G14" i="157"/>
  <c r="H12" i="157"/>
  <c r="I12" i="157" s="1"/>
  <c r="G33" i="157"/>
  <c r="H29" i="157"/>
  <c r="I29" i="157" s="1"/>
  <c r="H30" i="157"/>
  <c r="I30" i="157" s="1"/>
  <c r="H23" i="157"/>
  <c r="I23" i="157" s="1"/>
  <c r="B30" i="144"/>
  <c r="D30" i="144" s="1"/>
  <c r="H30" i="144" s="1"/>
  <c r="I30" i="144" s="1"/>
  <c r="B22" i="144"/>
  <c r="D22" i="144" s="1"/>
  <c r="B28" i="144"/>
  <c r="D28" i="144" s="1"/>
  <c r="B29" i="144"/>
  <c r="D29" i="144" s="1"/>
  <c r="H29" i="144" s="1"/>
  <c r="I29" i="144" s="1"/>
  <c r="D14" i="144"/>
  <c r="H14" i="144" s="1"/>
  <c r="I14" i="144" s="1"/>
  <c r="H25" i="188"/>
  <c r="I25" i="188" s="1"/>
  <c r="G21" i="182"/>
  <c r="H21" i="182" s="1"/>
  <c r="I21" i="182" s="1"/>
  <c r="H26" i="183"/>
  <c r="I26" i="183" s="1"/>
  <c r="G21" i="181"/>
  <c r="H21" i="181" s="1"/>
  <c r="I21" i="181" s="1"/>
  <c r="B23" i="186"/>
  <c r="D23" i="186" s="1"/>
  <c r="H25" i="186"/>
  <c r="I25" i="186" s="1"/>
  <c r="G22" i="188"/>
  <c r="H26" i="184"/>
  <c r="I26" i="184" s="1"/>
  <c r="D19" i="160"/>
  <c r="H20" i="189"/>
  <c r="I20" i="189" s="1"/>
  <c r="G21" i="180"/>
  <c r="H21" i="180" s="1"/>
  <c r="I21" i="180" s="1"/>
  <c r="H26" i="180"/>
  <c r="I26" i="180" s="1"/>
  <c r="G21" i="183"/>
  <c r="H21" i="183" s="1"/>
  <c r="I21" i="183" s="1"/>
  <c r="B12" i="190"/>
  <c r="E12" i="190" s="1"/>
  <c r="G12" i="190" s="1"/>
  <c r="D23" i="190"/>
  <c r="B13" i="189"/>
  <c r="E13" i="189" s="1"/>
  <c r="G13" i="189" s="1"/>
  <c r="G14" i="189" s="1"/>
  <c r="C23" i="197"/>
  <c r="F23" i="197" s="1"/>
  <c r="E12" i="197"/>
  <c r="G12" i="197" s="1"/>
  <c r="E25" i="197"/>
  <c r="B23" i="189"/>
  <c r="E23" i="189" s="1"/>
  <c r="H24" i="185"/>
  <c r="I24" i="185" s="1"/>
  <c r="D23" i="188"/>
  <c r="G20" i="197"/>
  <c r="H32" i="198"/>
  <c r="I32" i="198" s="1"/>
  <c r="B13" i="198"/>
  <c r="E34" i="197"/>
  <c r="G34" i="197" s="1"/>
  <c r="D13" i="197"/>
  <c r="H16" i="197"/>
  <c r="I16" i="197" s="1"/>
  <c r="D20" i="197"/>
  <c r="H16" i="160"/>
  <c r="I16" i="160" s="1"/>
  <c r="B18" i="160"/>
  <c r="C9" i="151"/>
  <c r="H25" i="190"/>
  <c r="I25" i="190" s="1"/>
  <c r="E16" i="190"/>
  <c r="G16" i="190" s="1"/>
  <c r="D16" i="190"/>
  <c r="D13" i="190"/>
  <c r="E15" i="190"/>
  <c r="G15" i="190" s="1"/>
  <c r="D15" i="190"/>
  <c r="E17" i="190"/>
  <c r="G17" i="190" s="1"/>
  <c r="D17" i="190"/>
  <c r="H38" i="190"/>
  <c r="I38" i="190" s="1"/>
  <c r="B8" i="190"/>
  <c r="E27" i="190" s="1"/>
  <c r="B40" i="190"/>
  <c r="H25" i="189"/>
  <c r="I25" i="189" s="1"/>
  <c r="D12" i="189"/>
  <c r="H12" i="189" s="1"/>
  <c r="I12" i="189" s="1"/>
  <c r="E15" i="189"/>
  <c r="G15" i="189" s="1"/>
  <c r="D15" i="189"/>
  <c r="E16" i="189"/>
  <c r="G16" i="189" s="1"/>
  <c r="D16" i="189"/>
  <c r="E17" i="189"/>
  <c r="G17" i="189" s="1"/>
  <c r="D17" i="189"/>
  <c r="H38" i="189"/>
  <c r="I38" i="189" s="1"/>
  <c r="B8" i="189"/>
  <c r="E27" i="189" s="1"/>
  <c r="B40" i="189"/>
  <c r="E16" i="188"/>
  <c r="G16" i="188" s="1"/>
  <c r="D16" i="188"/>
  <c r="H38" i="188"/>
  <c r="I38" i="188" s="1"/>
  <c r="D15" i="188"/>
  <c r="H20" i="188"/>
  <c r="I20" i="188" s="1"/>
  <c r="B13" i="188"/>
  <c r="B12" i="188"/>
  <c r="B8" i="188"/>
  <c r="B17" i="188"/>
  <c r="D22" i="188"/>
  <c r="B13" i="187"/>
  <c r="B12" i="187"/>
  <c r="B17" i="187"/>
  <c r="B23" i="187"/>
  <c r="H20" i="187"/>
  <c r="I20" i="187" s="1"/>
  <c r="H25" i="187"/>
  <c r="I25" i="187" s="1"/>
  <c r="H38" i="187"/>
  <c r="I38" i="187" s="1"/>
  <c r="B15" i="187"/>
  <c r="B8" i="187"/>
  <c r="B16" i="187"/>
  <c r="H15" i="186"/>
  <c r="I15" i="186" s="1"/>
  <c r="H38" i="186"/>
  <c r="I38" i="186" s="1"/>
  <c r="C26" i="186"/>
  <c r="F26" i="186" s="1"/>
  <c r="B8" i="186"/>
  <c r="H16" i="186"/>
  <c r="I16" i="186" s="1"/>
  <c r="H37" i="185"/>
  <c r="I37" i="185" s="1"/>
  <c r="H20" i="184"/>
  <c r="I20" i="184" s="1"/>
  <c r="H20" i="183"/>
  <c r="I20" i="183" s="1"/>
  <c r="H39" i="183"/>
  <c r="I39" i="183" s="1"/>
  <c r="H20" i="181"/>
  <c r="I20" i="181" s="1"/>
  <c r="H39" i="181"/>
  <c r="I39" i="181" s="1"/>
  <c r="H26" i="181"/>
  <c r="I26" i="181" s="1"/>
  <c r="H20" i="182"/>
  <c r="I20" i="182" s="1"/>
  <c r="H26" i="182"/>
  <c r="I26" i="182" s="1"/>
  <c r="H39" i="182"/>
  <c r="I39" i="182" s="1"/>
  <c r="H39" i="180"/>
  <c r="I39" i="180" s="1"/>
  <c r="H20" i="180"/>
  <c r="I20" i="180" s="1"/>
  <c r="H13" i="197" l="1"/>
  <c r="I13" i="197" s="1"/>
  <c r="E26" i="189"/>
  <c r="G14" i="197"/>
  <c r="E31" i="186"/>
  <c r="E26" i="186"/>
  <c r="E36" i="186"/>
  <c r="E30" i="186"/>
  <c r="E35" i="186"/>
  <c r="E27" i="186"/>
  <c r="E37" i="186"/>
  <c r="H13" i="190"/>
  <c r="I13" i="190" s="1"/>
  <c r="H22" i="186"/>
  <c r="I22" i="186" s="1"/>
  <c r="G14" i="190"/>
  <c r="E26" i="198"/>
  <c r="B31" i="198"/>
  <c r="D31" i="198" s="1"/>
  <c r="D34" i="198"/>
  <c r="H34" i="198" s="1"/>
  <c r="I34" i="198" s="1"/>
  <c r="E30" i="198"/>
  <c r="G30" i="198" s="1"/>
  <c r="H30" i="198" s="1"/>
  <c r="I30" i="198" s="1"/>
  <c r="E25" i="198"/>
  <c r="E23" i="198"/>
  <c r="G23" i="198" s="1"/>
  <c r="B23" i="197"/>
  <c r="D23" i="197" s="1"/>
  <c r="B29" i="197"/>
  <c r="D29" i="197" s="1"/>
  <c r="B30" i="197"/>
  <c r="D30" i="197" s="1"/>
  <c r="B23" i="198"/>
  <c r="D23" i="198" s="1"/>
  <c r="B29" i="198"/>
  <c r="D29" i="198" s="1"/>
  <c r="E29" i="198"/>
  <c r="G29" i="198" s="1"/>
  <c r="E37" i="187"/>
  <c r="E36" i="187"/>
  <c r="E35" i="187"/>
  <c r="E31" i="187"/>
  <c r="E30" i="187"/>
  <c r="E27" i="187"/>
  <c r="E26" i="187"/>
  <c r="E36" i="188"/>
  <c r="E31" i="188"/>
  <c r="E27" i="188"/>
  <c r="E37" i="188"/>
  <c r="E35" i="188"/>
  <c r="E30" i="188"/>
  <c r="E26" i="188"/>
  <c r="E37" i="189"/>
  <c r="E36" i="189"/>
  <c r="E35" i="189"/>
  <c r="E31" i="189"/>
  <c r="E30" i="189"/>
  <c r="E26" i="190"/>
  <c r="E37" i="190"/>
  <c r="E36" i="190"/>
  <c r="E35" i="190"/>
  <c r="E31" i="190"/>
  <c r="E30" i="190"/>
  <c r="G20" i="198"/>
  <c r="H20" i="198" s="1"/>
  <c r="I20" i="198" s="1"/>
  <c r="D12" i="190"/>
  <c r="D14" i="190" s="1"/>
  <c r="H32" i="146"/>
  <c r="I32" i="146" s="1"/>
  <c r="H14" i="157"/>
  <c r="I14" i="157" s="1"/>
  <c r="H33" i="157"/>
  <c r="I33" i="157" s="1"/>
  <c r="H22" i="144"/>
  <c r="I22" i="144" s="1"/>
  <c r="D32" i="144"/>
  <c r="H32" i="144" s="1"/>
  <c r="I32" i="144" s="1"/>
  <c r="H28" i="144"/>
  <c r="I28" i="144" s="1"/>
  <c r="E23" i="186"/>
  <c r="D23" i="189"/>
  <c r="D13" i="189"/>
  <c r="H13" i="189" s="1"/>
  <c r="I13" i="189" s="1"/>
  <c r="H22" i="188"/>
  <c r="I22" i="188" s="1"/>
  <c r="H20" i="197"/>
  <c r="I20" i="197" s="1"/>
  <c r="D12" i="197"/>
  <c r="D14" i="197" s="1"/>
  <c r="E21" i="188"/>
  <c r="E23" i="188"/>
  <c r="G31" i="198"/>
  <c r="E13" i="198"/>
  <c r="G13" i="198" s="1"/>
  <c r="D13" i="198"/>
  <c r="E12" i="198"/>
  <c r="G12" i="198" s="1"/>
  <c r="D12" i="198"/>
  <c r="H34" i="197"/>
  <c r="I34" i="197" s="1"/>
  <c r="G30" i="197"/>
  <c r="G31" i="197"/>
  <c r="D31" i="197"/>
  <c r="G29" i="197"/>
  <c r="G23" i="197"/>
  <c r="D40" i="190"/>
  <c r="E40" i="190"/>
  <c r="G40" i="190" s="1"/>
  <c r="G18" i="190"/>
  <c r="H15" i="190"/>
  <c r="I15" i="190" s="1"/>
  <c r="H16" i="190"/>
  <c r="I16" i="190" s="1"/>
  <c r="H17" i="190"/>
  <c r="I17" i="190" s="1"/>
  <c r="D18" i="190"/>
  <c r="H16" i="189"/>
  <c r="I16" i="189" s="1"/>
  <c r="D40" i="189"/>
  <c r="E40" i="189"/>
  <c r="G40" i="189" s="1"/>
  <c r="D18" i="189"/>
  <c r="H17" i="189"/>
  <c r="I17" i="189" s="1"/>
  <c r="G18" i="189"/>
  <c r="H15" i="189"/>
  <c r="I15" i="189" s="1"/>
  <c r="E13" i="188"/>
  <c r="G13" i="188" s="1"/>
  <c r="D13" i="188"/>
  <c r="H15" i="188"/>
  <c r="I15" i="188" s="1"/>
  <c r="G40" i="188"/>
  <c r="D40" i="188"/>
  <c r="E17" i="188"/>
  <c r="G17" i="188" s="1"/>
  <c r="G18" i="188" s="1"/>
  <c r="D17" i="188"/>
  <c r="D18" i="188" s="1"/>
  <c r="E12" i="188"/>
  <c r="G12" i="188" s="1"/>
  <c r="D12" i="188"/>
  <c r="H16" i="188"/>
  <c r="I16" i="188" s="1"/>
  <c r="E17" i="187"/>
  <c r="G17" i="187" s="1"/>
  <c r="D17" i="187"/>
  <c r="G40" i="187"/>
  <c r="D40" i="187"/>
  <c r="D13" i="187"/>
  <c r="E13" i="187"/>
  <c r="G13" i="187" s="1"/>
  <c r="E15" i="187"/>
  <c r="G15" i="187" s="1"/>
  <c r="D15" i="187"/>
  <c r="E16" i="187"/>
  <c r="G16" i="187" s="1"/>
  <c r="D16" i="187"/>
  <c r="E23" i="187"/>
  <c r="G23" i="187" s="1"/>
  <c r="D23" i="187"/>
  <c r="E21" i="187"/>
  <c r="E12" i="187"/>
  <c r="G12" i="187" s="1"/>
  <c r="D12" i="187"/>
  <c r="E12" i="186"/>
  <c r="G12" i="186" s="1"/>
  <c r="G40" i="186"/>
  <c r="D40" i="186"/>
  <c r="G17" i="186"/>
  <c r="D18" i="186"/>
  <c r="E13" i="186"/>
  <c r="G13" i="186" s="1"/>
  <c r="H14" i="197" l="1"/>
  <c r="I14" i="197" s="1"/>
  <c r="H14" i="190"/>
  <c r="I14" i="190" s="1"/>
  <c r="D18" i="187"/>
  <c r="H29" i="198"/>
  <c r="I29" i="198" s="1"/>
  <c r="D33" i="198"/>
  <c r="H12" i="190"/>
  <c r="I12" i="190" s="1"/>
  <c r="H12" i="197"/>
  <c r="I12" i="197" s="1"/>
  <c r="D14" i="189"/>
  <c r="H14" i="189" s="1"/>
  <c r="I14" i="189" s="1"/>
  <c r="D14" i="198"/>
  <c r="G14" i="198"/>
  <c r="H12" i="198"/>
  <c r="I12" i="198" s="1"/>
  <c r="H31" i="198"/>
  <c r="I31" i="198" s="1"/>
  <c r="G33" i="198"/>
  <c r="H23" i="198"/>
  <c r="I23" i="198" s="1"/>
  <c r="H13" i="198"/>
  <c r="I13" i="198" s="1"/>
  <c r="D33" i="197"/>
  <c r="H30" i="197"/>
  <c r="I30" i="197" s="1"/>
  <c r="G33" i="197"/>
  <c r="H29" i="197"/>
  <c r="I29" i="197" s="1"/>
  <c r="H31" i="197"/>
  <c r="I31" i="197" s="1"/>
  <c r="H23" i="197"/>
  <c r="I23" i="197" s="1"/>
  <c r="D37" i="190"/>
  <c r="G37" i="190"/>
  <c r="H18" i="190"/>
  <c r="I18" i="190" s="1"/>
  <c r="G27" i="190"/>
  <c r="D27" i="190"/>
  <c r="D36" i="190"/>
  <c r="G36" i="190"/>
  <c r="H40" i="190"/>
  <c r="I40" i="190" s="1"/>
  <c r="D35" i="190"/>
  <c r="G35" i="190"/>
  <c r="G26" i="190"/>
  <c r="D26" i="190"/>
  <c r="G27" i="189"/>
  <c r="D27" i="189"/>
  <c r="D36" i="189"/>
  <c r="G36" i="189"/>
  <c r="G26" i="189"/>
  <c r="D26" i="189"/>
  <c r="H18" i="189"/>
  <c r="I18" i="189" s="1"/>
  <c r="H40" i="189"/>
  <c r="I40" i="189" s="1"/>
  <c r="G35" i="189"/>
  <c r="D35" i="189"/>
  <c r="D37" i="189"/>
  <c r="G37" i="189"/>
  <c r="D14" i="188"/>
  <c r="H18" i="188"/>
  <c r="I18" i="188" s="1"/>
  <c r="G35" i="188"/>
  <c r="G14" i="188"/>
  <c r="H12" i="188"/>
  <c r="I12" i="188" s="1"/>
  <c r="H40" i="188"/>
  <c r="I40" i="188" s="1"/>
  <c r="G36" i="188"/>
  <c r="H17" i="188"/>
  <c r="I17" i="188" s="1"/>
  <c r="H13" i="188"/>
  <c r="I13" i="188" s="1"/>
  <c r="G26" i="188"/>
  <c r="G27" i="188"/>
  <c r="G37" i="188"/>
  <c r="D14" i="187"/>
  <c r="D26" i="187"/>
  <c r="G26" i="187"/>
  <c r="G35" i="187"/>
  <c r="D35" i="187"/>
  <c r="H23" i="187"/>
  <c r="I23" i="187" s="1"/>
  <c r="H16" i="187"/>
  <c r="I16" i="187" s="1"/>
  <c r="H17" i="187"/>
  <c r="I17" i="187" s="1"/>
  <c r="H12" i="187"/>
  <c r="I12" i="187" s="1"/>
  <c r="G14" i="187"/>
  <c r="G36" i="187"/>
  <c r="D36" i="187"/>
  <c r="G27" i="187"/>
  <c r="D27" i="187"/>
  <c r="G37" i="187"/>
  <c r="D37" i="187"/>
  <c r="G18" i="187"/>
  <c r="H15" i="187"/>
  <c r="I15" i="187" s="1"/>
  <c r="H40" i="187"/>
  <c r="I40" i="187" s="1"/>
  <c r="H13" i="187"/>
  <c r="I13" i="187" s="1"/>
  <c r="G27" i="186"/>
  <c r="D27" i="186"/>
  <c r="G37" i="186"/>
  <c r="D37" i="186"/>
  <c r="H40" i="186"/>
  <c r="I40" i="186" s="1"/>
  <c r="H13" i="186"/>
  <c r="I13" i="186" s="1"/>
  <c r="H17" i="186"/>
  <c r="I17" i="186" s="1"/>
  <c r="G18" i="186"/>
  <c r="D14" i="186"/>
  <c r="D26" i="186"/>
  <c r="G26" i="186"/>
  <c r="G35" i="186"/>
  <c r="D35" i="186"/>
  <c r="G14" i="186"/>
  <c r="H12" i="186"/>
  <c r="I12" i="186" s="1"/>
  <c r="G36" i="186"/>
  <c r="D36" i="186"/>
  <c r="H33" i="198" l="1"/>
  <c r="I33" i="198" s="1"/>
  <c r="H14" i="198"/>
  <c r="I14" i="198" s="1"/>
  <c r="H33" i="197"/>
  <c r="I33" i="197" s="1"/>
  <c r="D39" i="190"/>
  <c r="H26" i="190"/>
  <c r="I26" i="190" s="1"/>
  <c r="H27" i="190"/>
  <c r="I27" i="190" s="1"/>
  <c r="G39" i="190"/>
  <c r="H35" i="190"/>
  <c r="I35" i="190" s="1"/>
  <c r="H36" i="190"/>
  <c r="I36" i="190" s="1"/>
  <c r="H37" i="190"/>
  <c r="I37" i="190" s="1"/>
  <c r="H26" i="189"/>
  <c r="I26" i="189" s="1"/>
  <c r="G39" i="189"/>
  <c r="H35" i="189"/>
  <c r="I35" i="189" s="1"/>
  <c r="H27" i="189"/>
  <c r="I27" i="189" s="1"/>
  <c r="H36" i="189"/>
  <c r="I36" i="189" s="1"/>
  <c r="H37" i="189"/>
  <c r="I37" i="189" s="1"/>
  <c r="D39" i="189"/>
  <c r="H14" i="188"/>
  <c r="I14" i="188" s="1"/>
  <c r="G39" i="188"/>
  <c r="D39" i="187"/>
  <c r="H18" i="187"/>
  <c r="I18" i="187" s="1"/>
  <c r="H27" i="187"/>
  <c r="I27" i="187" s="1"/>
  <c r="H14" i="187"/>
  <c r="I14" i="187" s="1"/>
  <c r="H35" i="187"/>
  <c r="I35" i="187" s="1"/>
  <c r="G39" i="187"/>
  <c r="H36" i="187"/>
  <c r="I36" i="187" s="1"/>
  <c r="H26" i="187"/>
  <c r="I26" i="187" s="1"/>
  <c r="H37" i="187"/>
  <c r="I37" i="187" s="1"/>
  <c r="D39" i="186"/>
  <c r="H37" i="186"/>
  <c r="I37" i="186" s="1"/>
  <c r="H35" i="186"/>
  <c r="I35" i="186" s="1"/>
  <c r="G39" i="186"/>
  <c r="H18" i="186"/>
  <c r="I18" i="186" s="1"/>
  <c r="H36" i="186"/>
  <c r="I36" i="186" s="1"/>
  <c r="H14" i="186"/>
  <c r="I14" i="186" s="1"/>
  <c r="H26" i="186"/>
  <c r="I26" i="186" s="1"/>
  <c r="H27" i="186"/>
  <c r="I27" i="186" s="1"/>
  <c r="H39" i="190" l="1"/>
  <c r="I39" i="190" s="1"/>
  <c r="H39" i="189"/>
  <c r="I39" i="189" s="1"/>
  <c r="H39" i="187"/>
  <c r="I39" i="187" s="1"/>
  <c r="H39" i="186"/>
  <c r="I39" i="186" s="1"/>
  <c r="D45" i="179" l="1"/>
  <c r="C45" i="179"/>
  <c r="D43" i="179"/>
  <c r="C43" i="179"/>
  <c r="C42" i="179"/>
  <c r="C39" i="179"/>
  <c r="C38" i="179"/>
  <c r="C35" i="179"/>
  <c r="C30" i="179"/>
  <c r="C27" i="179"/>
  <c r="C23" i="179"/>
  <c r="D13" i="179"/>
  <c r="C13" i="179"/>
  <c r="D11" i="179"/>
  <c r="C10" i="179"/>
  <c r="C6" i="179"/>
  <c r="J39" i="3" l="1"/>
  <c r="G39" i="3"/>
  <c r="J38" i="3"/>
  <c r="G38" i="3"/>
  <c r="J37" i="3"/>
  <c r="G37" i="3"/>
  <c r="J36" i="3"/>
  <c r="G36" i="3"/>
  <c r="J35" i="3"/>
  <c r="G35" i="3"/>
  <c r="P39" i="3"/>
  <c r="O39" i="3"/>
  <c r="P38" i="3"/>
  <c r="O38" i="3"/>
  <c r="P37" i="3"/>
  <c r="O37" i="3"/>
  <c r="P36" i="3"/>
  <c r="O36" i="3"/>
  <c r="P35" i="3"/>
  <c r="O35" i="3"/>
  <c r="P34" i="3"/>
  <c r="O34" i="3"/>
  <c r="J33" i="3"/>
  <c r="G33" i="3"/>
  <c r="J32" i="3"/>
  <c r="G32" i="3"/>
  <c r="J31" i="3"/>
  <c r="G31" i="3"/>
  <c r="J30" i="3"/>
  <c r="C18" i="139" s="1"/>
  <c r="D18" i="139" s="1"/>
  <c r="G30" i="3"/>
  <c r="C16" i="139" s="1"/>
  <c r="D16" i="139" s="1"/>
  <c r="J29" i="3"/>
  <c r="G29" i="3"/>
  <c r="P33" i="3"/>
  <c r="O33" i="3"/>
  <c r="P32" i="3"/>
  <c r="O32" i="3"/>
  <c r="P31" i="3"/>
  <c r="O31" i="3"/>
  <c r="P30" i="3"/>
  <c r="C23" i="139" s="1"/>
  <c r="D23" i="139" s="1"/>
  <c r="H23" i="139" s="1"/>
  <c r="I23" i="139" s="1"/>
  <c r="O30" i="3"/>
  <c r="C22" i="139" s="1"/>
  <c r="D22" i="139" s="1"/>
  <c r="P29" i="3"/>
  <c r="O29" i="3"/>
  <c r="P28" i="3"/>
  <c r="O28" i="3"/>
  <c r="J27" i="3"/>
  <c r="G27" i="3"/>
  <c r="J26" i="3"/>
  <c r="G26" i="3"/>
  <c r="J25" i="3"/>
  <c r="G25" i="3"/>
  <c r="J24" i="3"/>
  <c r="G24" i="3"/>
  <c r="J23" i="3"/>
  <c r="G23" i="3"/>
  <c r="P27" i="3"/>
  <c r="O27" i="3"/>
  <c r="P26" i="3"/>
  <c r="O26" i="3"/>
  <c r="P25" i="3"/>
  <c r="O25" i="3"/>
  <c r="P24" i="3"/>
  <c r="O24" i="3"/>
  <c r="P23" i="3"/>
  <c r="O23" i="3"/>
  <c r="P22" i="3"/>
  <c r="O22" i="3"/>
  <c r="D24" i="139" l="1"/>
  <c r="H24" i="139" s="1"/>
  <c r="I24" i="139" s="1"/>
  <c r="H22" i="139"/>
  <c r="I22" i="139" s="1"/>
  <c r="D21" i="139"/>
  <c r="D25" i="139"/>
  <c r="C19" i="118"/>
  <c r="C19" i="186"/>
  <c r="D19" i="186" s="1"/>
  <c r="C19" i="117"/>
  <c r="C19" i="116"/>
  <c r="C25" i="198"/>
  <c r="C15" i="157"/>
  <c r="D15" i="157" s="1"/>
  <c r="C15" i="197"/>
  <c r="D15" i="197" s="1"/>
  <c r="C26" i="160"/>
  <c r="C15" i="144"/>
  <c r="D15" i="144" s="1"/>
  <c r="C25" i="157"/>
  <c r="C15" i="198"/>
  <c r="D15" i="198" s="1"/>
  <c r="C25" i="197"/>
  <c r="C15" i="160"/>
  <c r="D15" i="160" s="1"/>
  <c r="C24" i="144"/>
  <c r="C25" i="160"/>
  <c r="C25" i="144"/>
  <c r="C26" i="198"/>
  <c r="C18" i="157"/>
  <c r="D18" i="157" s="1"/>
  <c r="C18" i="197"/>
  <c r="D18" i="197" s="1"/>
  <c r="C18" i="144"/>
  <c r="D18" i="144" s="1"/>
  <c r="C26" i="157"/>
  <c r="C18" i="198"/>
  <c r="D18" i="198" s="1"/>
  <c r="C26" i="197"/>
  <c r="C18" i="160"/>
  <c r="D18" i="160" s="1"/>
  <c r="C18" i="141"/>
  <c r="D18" i="141" s="1"/>
  <c r="C18" i="151"/>
  <c r="C18" i="154"/>
  <c r="D18" i="154" s="1"/>
  <c r="C25" i="154"/>
  <c r="C25" i="151"/>
  <c r="C24" i="141"/>
  <c r="C15" i="154"/>
  <c r="D15" i="154" s="1"/>
  <c r="C15" i="141"/>
  <c r="D15" i="141" s="1"/>
  <c r="C15" i="151"/>
  <c r="D15" i="151" s="1"/>
  <c r="C26" i="154"/>
  <c r="C26" i="151"/>
  <c r="C25" i="141"/>
  <c r="C22" i="137"/>
  <c r="C22" i="138"/>
  <c r="C19" i="190"/>
  <c r="D19" i="190" s="1"/>
  <c r="C19" i="131"/>
  <c r="C19" i="133"/>
  <c r="C19" i="132"/>
  <c r="C16" i="135"/>
  <c r="C16" i="134"/>
  <c r="C16" i="136"/>
  <c r="C21" i="190"/>
  <c r="D21" i="190" s="1"/>
  <c r="C21" i="133"/>
  <c r="C21" i="132"/>
  <c r="C21" i="131"/>
  <c r="C30" i="187"/>
  <c r="D30" i="187" s="1"/>
  <c r="C30" i="122"/>
  <c r="D30" i="122" s="1"/>
  <c r="C30" i="124"/>
  <c r="D30" i="124" s="1"/>
  <c r="C30" i="123"/>
  <c r="D30" i="123" s="1"/>
  <c r="C18" i="137"/>
  <c r="C18" i="138"/>
  <c r="C24" i="146"/>
  <c r="C24" i="148"/>
  <c r="C24" i="199"/>
  <c r="C30" i="127"/>
  <c r="C30" i="125"/>
  <c r="C30" i="188"/>
  <c r="C30" i="126"/>
  <c r="C25" i="146"/>
  <c r="C25" i="199"/>
  <c r="C25" i="148"/>
  <c r="C31" i="127"/>
  <c r="C31" i="125"/>
  <c r="C31" i="126"/>
  <c r="C31" i="188"/>
  <c r="C31" i="128"/>
  <c r="C31" i="129"/>
  <c r="C31" i="189"/>
  <c r="C31" i="130"/>
  <c r="C18" i="135"/>
  <c r="C18" i="136"/>
  <c r="C18" i="134"/>
  <c r="C16" i="138"/>
  <c r="C16" i="137"/>
  <c r="C31" i="124"/>
  <c r="C31" i="122"/>
  <c r="C31" i="123"/>
  <c r="C31" i="187"/>
  <c r="C30" i="133"/>
  <c r="C30" i="131"/>
  <c r="C30" i="190"/>
  <c r="C30" i="132"/>
  <c r="C22" i="134"/>
  <c r="C22" i="136"/>
  <c r="C22" i="135"/>
  <c r="C19" i="129"/>
  <c r="C19" i="130"/>
  <c r="C19" i="128"/>
  <c r="C19" i="189"/>
  <c r="D19" i="189" s="1"/>
  <c r="C23" i="137"/>
  <c r="C23" i="138"/>
  <c r="C30" i="130"/>
  <c r="C30" i="128"/>
  <c r="C30" i="129"/>
  <c r="C30" i="189"/>
  <c r="C31" i="133"/>
  <c r="C31" i="132"/>
  <c r="C31" i="190"/>
  <c r="C31" i="131"/>
  <c r="C23" i="136"/>
  <c r="C23" i="134"/>
  <c r="C23" i="135"/>
  <c r="C21" i="189"/>
  <c r="D21" i="189" s="1"/>
  <c r="C21" i="128"/>
  <c r="C21" i="130"/>
  <c r="C21" i="129"/>
  <c r="C16" i="146"/>
  <c r="D16" i="146" s="1"/>
  <c r="C16" i="148"/>
  <c r="D16" i="148" s="1"/>
  <c r="C16" i="199"/>
  <c r="D16" i="199" s="1"/>
  <c r="C19" i="199"/>
  <c r="C19" i="148"/>
  <c r="D19" i="148" s="1"/>
  <c r="C19" i="146"/>
  <c r="D19" i="146" s="1"/>
  <c r="D22" i="148"/>
  <c r="H22" i="148" s="1"/>
  <c r="I22" i="148" s="1"/>
  <c r="D22" i="146"/>
  <c r="H22" i="146" s="1"/>
  <c r="I22" i="146" s="1"/>
  <c r="D22" i="154" l="1"/>
  <c r="D24" i="154" s="1"/>
  <c r="D32" i="139"/>
  <c r="D21" i="141"/>
  <c r="D24" i="190"/>
  <c r="D29" i="190" s="1"/>
  <c r="D24" i="189"/>
  <c r="D28" i="189" s="1"/>
  <c r="D23" i="146"/>
  <c r="D22" i="198"/>
  <c r="D24" i="198" s="1"/>
  <c r="D22" i="197"/>
  <c r="D24" i="197" s="1"/>
  <c r="D23" i="148"/>
  <c r="D33" i="139" l="1"/>
  <c r="D34" i="139" s="1"/>
  <c r="D35" i="139"/>
  <c r="C19" i="185"/>
  <c r="D19" i="185" s="1"/>
  <c r="C19" i="113"/>
  <c r="C19" i="112"/>
  <c r="C19" i="115"/>
  <c r="C21" i="112"/>
  <c r="C21" i="185"/>
  <c r="C21" i="115"/>
  <c r="C21" i="113"/>
  <c r="D28" i="190"/>
  <c r="D29" i="189"/>
  <c r="C21" i="187"/>
  <c r="D21" i="187" s="1"/>
  <c r="C21" i="123"/>
  <c r="C21" i="122"/>
  <c r="C21" i="124"/>
  <c r="C21" i="127"/>
  <c r="C21" i="125"/>
  <c r="C21" i="126"/>
  <c r="C21" i="188"/>
  <c r="D21" i="188" s="1"/>
  <c r="C19" i="125"/>
  <c r="C19" i="126"/>
  <c r="C19" i="188"/>
  <c r="D19" i="188" s="1"/>
  <c r="C19" i="127"/>
  <c r="C19" i="123"/>
  <c r="C19" i="122"/>
  <c r="C19" i="187"/>
  <c r="D19" i="187" s="1"/>
  <c r="C19" i="124"/>
  <c r="F48" i="112"/>
  <c r="F43" i="112"/>
  <c r="F48" i="115"/>
  <c r="F43" i="115"/>
  <c r="F48" i="113"/>
  <c r="F43" i="113"/>
  <c r="D36" i="139" l="1"/>
  <c r="E45" i="179" s="1"/>
  <c r="D24" i="187"/>
  <c r="D28" i="187" s="1"/>
  <c r="D24" i="188"/>
  <c r="F35" i="138"/>
  <c r="F33" i="138"/>
  <c r="F31" i="138"/>
  <c r="F29" i="138"/>
  <c r="E29" i="138"/>
  <c r="D29" i="138"/>
  <c r="B20" i="138"/>
  <c r="E20" i="138" s="1"/>
  <c r="E17" i="138"/>
  <c r="G17" i="138" s="1"/>
  <c r="D17" i="138"/>
  <c r="E16" i="138"/>
  <c r="F14" i="138"/>
  <c r="E14" i="138"/>
  <c r="D14" i="138"/>
  <c r="F13" i="138"/>
  <c r="F35" i="137"/>
  <c r="F33" i="137"/>
  <c r="F31" i="137"/>
  <c r="B31" i="137"/>
  <c r="E31" i="137" s="1"/>
  <c r="F29" i="137"/>
  <c r="E29" i="137"/>
  <c r="G29" i="137" s="1"/>
  <c r="D29" i="137"/>
  <c r="B20" i="137"/>
  <c r="E20" i="137" s="1"/>
  <c r="E17" i="137"/>
  <c r="G17" i="137" s="1"/>
  <c r="D17" i="137"/>
  <c r="E16" i="137"/>
  <c r="F14" i="137"/>
  <c r="E14" i="137"/>
  <c r="G14" i="137" s="1"/>
  <c r="D14" i="137"/>
  <c r="F13" i="137"/>
  <c r="B7" i="137"/>
  <c r="B9" i="137"/>
  <c r="F35" i="136"/>
  <c r="F33" i="136"/>
  <c r="F31" i="136"/>
  <c r="B31" i="136"/>
  <c r="D31" i="136" s="1"/>
  <c r="F29" i="136"/>
  <c r="E29" i="136"/>
  <c r="G29" i="136" s="1"/>
  <c r="D29" i="136"/>
  <c r="B20" i="136"/>
  <c r="E20" i="136" s="1"/>
  <c r="E17" i="136"/>
  <c r="G17" i="136" s="1"/>
  <c r="D17" i="136"/>
  <c r="E16" i="136"/>
  <c r="F14" i="136"/>
  <c r="E14" i="136"/>
  <c r="D14" i="136"/>
  <c r="F13" i="136"/>
  <c r="B7" i="136"/>
  <c r="B9" i="136"/>
  <c r="F35" i="135"/>
  <c r="F33" i="135"/>
  <c r="F31" i="135"/>
  <c r="F29" i="135"/>
  <c r="E29" i="135"/>
  <c r="G29" i="135" s="1"/>
  <c r="D29" i="135"/>
  <c r="B20" i="135"/>
  <c r="E20" i="135" s="1"/>
  <c r="E17" i="135"/>
  <c r="G17" i="135" s="1"/>
  <c r="D17" i="135"/>
  <c r="E16" i="135"/>
  <c r="D16" i="135"/>
  <c r="F14" i="135"/>
  <c r="E14" i="135"/>
  <c r="D14" i="135"/>
  <c r="F13" i="135"/>
  <c r="D17" i="134"/>
  <c r="B9" i="134"/>
  <c r="F35" i="134"/>
  <c r="F33" i="134"/>
  <c r="F31" i="134"/>
  <c r="B31" i="134"/>
  <c r="E31" i="134" s="1"/>
  <c r="G31" i="134" s="1"/>
  <c r="F29" i="134"/>
  <c r="E29" i="134"/>
  <c r="G29" i="134" s="1"/>
  <c r="D29" i="134"/>
  <c r="B20" i="134"/>
  <c r="E20" i="134" s="1"/>
  <c r="E17" i="134"/>
  <c r="G17" i="134" s="1"/>
  <c r="E16" i="134"/>
  <c r="F14" i="134"/>
  <c r="E14" i="134"/>
  <c r="D14" i="134"/>
  <c r="F13" i="134"/>
  <c r="B7" i="134"/>
  <c r="F49" i="133"/>
  <c r="F47" i="133"/>
  <c r="F44" i="133"/>
  <c r="F42" i="133"/>
  <c r="F40" i="133"/>
  <c r="B40" i="133"/>
  <c r="D40" i="133" s="1"/>
  <c r="F38" i="133"/>
  <c r="E38" i="133"/>
  <c r="D38" i="133"/>
  <c r="C27" i="133"/>
  <c r="F27" i="133" s="1"/>
  <c r="G25" i="133"/>
  <c r="D25" i="133"/>
  <c r="E20" i="133"/>
  <c r="G20" i="133" s="1"/>
  <c r="D20" i="133"/>
  <c r="E19" i="133"/>
  <c r="F17" i="133"/>
  <c r="B17" i="133"/>
  <c r="D17" i="133" s="1"/>
  <c r="F16" i="133"/>
  <c r="B16" i="133"/>
  <c r="D16" i="133" s="1"/>
  <c r="F15" i="133"/>
  <c r="B15" i="133"/>
  <c r="D15" i="133" s="1"/>
  <c r="F13" i="133"/>
  <c r="F12" i="133"/>
  <c r="B8" i="133"/>
  <c r="E27" i="133" s="1"/>
  <c r="F49" i="132"/>
  <c r="F47" i="132"/>
  <c r="F44" i="132"/>
  <c r="F42" i="132"/>
  <c r="F40" i="132"/>
  <c r="F38" i="132"/>
  <c r="E38" i="132"/>
  <c r="G38" i="132" s="1"/>
  <c r="D38" i="132"/>
  <c r="C27" i="132"/>
  <c r="F27" i="132" s="1"/>
  <c r="G25" i="132"/>
  <c r="D25" i="132"/>
  <c r="E20" i="132"/>
  <c r="G20" i="132" s="1"/>
  <c r="D20" i="132"/>
  <c r="E19" i="132"/>
  <c r="F17" i="132"/>
  <c r="F16" i="132"/>
  <c r="F15" i="132"/>
  <c r="F13" i="132"/>
  <c r="F12" i="132"/>
  <c r="F49" i="131"/>
  <c r="F47" i="131"/>
  <c r="F44" i="131"/>
  <c r="F42" i="131"/>
  <c r="F40" i="131"/>
  <c r="B40" i="131"/>
  <c r="E40" i="131" s="1"/>
  <c r="F38" i="131"/>
  <c r="E38" i="131"/>
  <c r="D38" i="131"/>
  <c r="C27" i="131"/>
  <c r="F27" i="131" s="1"/>
  <c r="G25" i="131"/>
  <c r="D25" i="131"/>
  <c r="E20" i="131"/>
  <c r="G20" i="131" s="1"/>
  <c r="D20" i="131"/>
  <c r="E19" i="131"/>
  <c r="F17" i="131"/>
  <c r="B17" i="131"/>
  <c r="E17" i="131" s="1"/>
  <c r="F16" i="131"/>
  <c r="B16" i="131"/>
  <c r="E16" i="131" s="1"/>
  <c r="G16" i="131" s="1"/>
  <c r="F15" i="131"/>
  <c r="B15" i="131"/>
  <c r="E15" i="131" s="1"/>
  <c r="F13" i="131"/>
  <c r="F12" i="131"/>
  <c r="B8" i="131"/>
  <c r="E27" i="131" s="1"/>
  <c r="F49" i="130"/>
  <c r="F47" i="130"/>
  <c r="F44" i="130"/>
  <c r="F42" i="130"/>
  <c r="F40" i="130"/>
  <c r="B40" i="130"/>
  <c r="D40" i="130" s="1"/>
  <c r="F38" i="130"/>
  <c r="E38" i="130"/>
  <c r="D38" i="130"/>
  <c r="C27" i="130"/>
  <c r="F27" i="130" s="1"/>
  <c r="G25" i="130"/>
  <c r="D25" i="130"/>
  <c r="E20" i="130"/>
  <c r="G20" i="130" s="1"/>
  <c r="D20" i="130"/>
  <c r="E19" i="130"/>
  <c r="F17" i="130"/>
  <c r="B17" i="130"/>
  <c r="D17" i="130" s="1"/>
  <c r="F16" i="130"/>
  <c r="B16" i="130"/>
  <c r="D16" i="130" s="1"/>
  <c r="F15" i="130"/>
  <c r="B15" i="130"/>
  <c r="D15" i="130" s="1"/>
  <c r="F13" i="130"/>
  <c r="F12" i="130"/>
  <c r="B8" i="130"/>
  <c r="F49" i="129"/>
  <c r="F47" i="129"/>
  <c r="F44" i="129"/>
  <c r="F42" i="129"/>
  <c r="F40" i="129"/>
  <c r="F38" i="129"/>
  <c r="E38" i="129"/>
  <c r="D38" i="129"/>
  <c r="C27" i="129"/>
  <c r="F27" i="129" s="1"/>
  <c r="G25" i="129"/>
  <c r="D25" i="129"/>
  <c r="E20" i="129"/>
  <c r="G20" i="129" s="1"/>
  <c r="D20" i="129"/>
  <c r="E19" i="129"/>
  <c r="F17" i="129"/>
  <c r="F16" i="129"/>
  <c r="F15" i="129"/>
  <c r="F13" i="129"/>
  <c r="F12" i="129"/>
  <c r="G25" i="128"/>
  <c r="D25" i="128"/>
  <c r="D20" i="128"/>
  <c r="B8" i="128"/>
  <c r="F49" i="128"/>
  <c r="F47" i="128"/>
  <c r="F44" i="128"/>
  <c r="F42" i="128"/>
  <c r="F40" i="128"/>
  <c r="B40" i="128"/>
  <c r="E40" i="128" s="1"/>
  <c r="F38" i="128"/>
  <c r="E38" i="128"/>
  <c r="D38" i="128"/>
  <c r="C27" i="128"/>
  <c r="F27" i="128" s="1"/>
  <c r="E20" i="128"/>
  <c r="G20" i="128" s="1"/>
  <c r="E19" i="128"/>
  <c r="F17" i="128"/>
  <c r="B17" i="128"/>
  <c r="D17" i="128" s="1"/>
  <c r="F16" i="128"/>
  <c r="B16" i="128"/>
  <c r="D16" i="128" s="1"/>
  <c r="F15" i="128"/>
  <c r="B15" i="128"/>
  <c r="D15" i="128" s="1"/>
  <c r="F13" i="128"/>
  <c r="F12" i="128"/>
  <c r="F49" i="127"/>
  <c r="F47" i="127"/>
  <c r="F44" i="127"/>
  <c r="F42" i="127"/>
  <c r="F40" i="127"/>
  <c r="D40" i="127"/>
  <c r="F38" i="127"/>
  <c r="E38" i="127"/>
  <c r="D38" i="127"/>
  <c r="G25" i="127"/>
  <c r="D25" i="127"/>
  <c r="E20" i="127"/>
  <c r="G20" i="127" s="1"/>
  <c r="D20" i="127"/>
  <c r="E19" i="127"/>
  <c r="F17" i="127"/>
  <c r="B17" i="127"/>
  <c r="D17" i="127" s="1"/>
  <c r="F16" i="127"/>
  <c r="B16" i="127"/>
  <c r="D16" i="127" s="1"/>
  <c r="F15" i="127"/>
  <c r="B15" i="127"/>
  <c r="D15" i="127" s="1"/>
  <c r="F13" i="127"/>
  <c r="F26" i="127" s="1"/>
  <c r="F12" i="127"/>
  <c r="B8" i="127"/>
  <c r="F49" i="126"/>
  <c r="F47" i="126"/>
  <c r="F44" i="126"/>
  <c r="F42" i="126"/>
  <c r="F40" i="126"/>
  <c r="G40" i="126"/>
  <c r="F38" i="126"/>
  <c r="E38" i="126"/>
  <c r="D38" i="126"/>
  <c r="G25" i="126"/>
  <c r="D25" i="126"/>
  <c r="E20" i="126"/>
  <c r="G20" i="126" s="1"/>
  <c r="D20" i="126"/>
  <c r="E19" i="126"/>
  <c r="F17" i="126"/>
  <c r="B17" i="126"/>
  <c r="D17" i="126" s="1"/>
  <c r="F16" i="126"/>
  <c r="B16" i="126"/>
  <c r="D16" i="126" s="1"/>
  <c r="F15" i="126"/>
  <c r="B15" i="126"/>
  <c r="D15" i="126" s="1"/>
  <c r="F13" i="126"/>
  <c r="F26" i="126" s="1"/>
  <c r="F12" i="126"/>
  <c r="B8" i="126"/>
  <c r="G25" i="125"/>
  <c r="D25" i="125"/>
  <c r="D20" i="125"/>
  <c r="B8" i="125"/>
  <c r="F49" i="125"/>
  <c r="F47" i="125"/>
  <c r="F44" i="125"/>
  <c r="F42" i="125"/>
  <c r="F40" i="125"/>
  <c r="G40" i="125" s="1"/>
  <c r="F38" i="125"/>
  <c r="E38" i="125"/>
  <c r="G38" i="125" s="1"/>
  <c r="D38" i="125"/>
  <c r="E20" i="125"/>
  <c r="G20" i="125" s="1"/>
  <c r="E19" i="125"/>
  <c r="F17" i="125"/>
  <c r="B17" i="125"/>
  <c r="E17" i="125" s="1"/>
  <c r="G17" i="125" s="1"/>
  <c r="F16" i="125"/>
  <c r="B16" i="125"/>
  <c r="E16" i="125" s="1"/>
  <c r="F15" i="125"/>
  <c r="B15" i="125"/>
  <c r="E15" i="125" s="1"/>
  <c r="F13" i="125"/>
  <c r="F12" i="125"/>
  <c r="F26" i="125" s="1"/>
  <c r="F49" i="124"/>
  <c r="F47" i="124"/>
  <c r="F44" i="124"/>
  <c r="F42" i="124"/>
  <c r="F40" i="124"/>
  <c r="G40" i="124" s="1"/>
  <c r="D40" i="124"/>
  <c r="F38" i="124"/>
  <c r="E38" i="124"/>
  <c r="D38" i="124"/>
  <c r="G25" i="124"/>
  <c r="D25" i="124"/>
  <c r="E20" i="124"/>
  <c r="G20" i="124" s="1"/>
  <c r="D20" i="124"/>
  <c r="E19" i="124"/>
  <c r="F17" i="124"/>
  <c r="B17" i="124"/>
  <c r="D17" i="124" s="1"/>
  <c r="F16" i="124"/>
  <c r="B16" i="124"/>
  <c r="D16" i="124" s="1"/>
  <c r="F15" i="124"/>
  <c r="B15" i="124"/>
  <c r="D15" i="124" s="1"/>
  <c r="F13" i="124"/>
  <c r="F26" i="124" s="1"/>
  <c r="F12" i="124"/>
  <c r="B8" i="124"/>
  <c r="F49" i="123"/>
  <c r="F47" i="123"/>
  <c r="F44" i="123"/>
  <c r="F42" i="123"/>
  <c r="F40" i="123"/>
  <c r="G40" i="123" s="1"/>
  <c r="F38" i="123"/>
  <c r="E38" i="123"/>
  <c r="D38" i="123"/>
  <c r="G25" i="123"/>
  <c r="D25" i="123"/>
  <c r="E20" i="123"/>
  <c r="G20" i="123" s="1"/>
  <c r="D20" i="123"/>
  <c r="E19" i="123"/>
  <c r="F17" i="123"/>
  <c r="B17" i="123"/>
  <c r="E17" i="123" s="1"/>
  <c r="G17" i="123" s="1"/>
  <c r="F16" i="123"/>
  <c r="B16" i="123"/>
  <c r="E16" i="123" s="1"/>
  <c r="F15" i="123"/>
  <c r="B15" i="123"/>
  <c r="E15" i="123" s="1"/>
  <c r="G15" i="123" s="1"/>
  <c r="F13" i="123"/>
  <c r="F12" i="123"/>
  <c r="F26" i="123" s="1"/>
  <c r="B8" i="123"/>
  <c r="G25" i="122"/>
  <c r="D25" i="122"/>
  <c r="D20" i="122"/>
  <c r="C26" i="122"/>
  <c r="F26" i="122" s="1"/>
  <c r="B8" i="122"/>
  <c r="F49" i="122"/>
  <c r="F47" i="122"/>
  <c r="F44" i="122"/>
  <c r="F42" i="122"/>
  <c r="F40" i="122"/>
  <c r="G40" i="122" s="1"/>
  <c r="D40" i="122"/>
  <c r="F38" i="122"/>
  <c r="E38" i="122"/>
  <c r="D38" i="122"/>
  <c r="C27" i="122"/>
  <c r="F27" i="122" s="1"/>
  <c r="E20" i="122"/>
  <c r="G20" i="122" s="1"/>
  <c r="E19" i="122"/>
  <c r="F17" i="122"/>
  <c r="B17" i="122"/>
  <c r="D17" i="122" s="1"/>
  <c r="F16" i="122"/>
  <c r="B16" i="122"/>
  <c r="D16" i="122" s="1"/>
  <c r="F15" i="122"/>
  <c r="B15" i="122"/>
  <c r="D15" i="122" s="1"/>
  <c r="F13" i="122"/>
  <c r="F12" i="122"/>
  <c r="F34" i="121"/>
  <c r="F32" i="121"/>
  <c r="F30" i="121"/>
  <c r="G30" i="121"/>
  <c r="D30" i="121"/>
  <c r="F28" i="121"/>
  <c r="E28" i="121"/>
  <c r="D28" i="121"/>
  <c r="E17" i="121"/>
  <c r="G17" i="121" s="1"/>
  <c r="D17" i="121"/>
  <c r="E16" i="121"/>
  <c r="F14" i="121"/>
  <c r="E14" i="121"/>
  <c r="D14" i="121"/>
  <c r="F13" i="121"/>
  <c r="B8" i="121"/>
  <c r="B7" i="121"/>
  <c r="B6" i="121"/>
  <c r="B9" i="121" s="1"/>
  <c r="F34" i="120"/>
  <c r="F32" i="120"/>
  <c r="F30" i="120"/>
  <c r="F28" i="120"/>
  <c r="E28" i="120"/>
  <c r="D28" i="120"/>
  <c r="F19" i="120"/>
  <c r="E17" i="120"/>
  <c r="G17" i="120" s="1"/>
  <c r="D17" i="120"/>
  <c r="E16" i="120"/>
  <c r="F14" i="120"/>
  <c r="E14" i="120"/>
  <c r="D14" i="120"/>
  <c r="F13" i="120"/>
  <c r="B8" i="120"/>
  <c r="B6" i="120"/>
  <c r="F19" i="119"/>
  <c r="D17" i="119"/>
  <c r="B8" i="119"/>
  <c r="B6" i="119"/>
  <c r="B9" i="119" s="1"/>
  <c r="F34" i="119"/>
  <c r="F32" i="119"/>
  <c r="F30" i="119"/>
  <c r="F28" i="119"/>
  <c r="E28" i="119"/>
  <c r="G28" i="119" s="1"/>
  <c r="D28" i="119"/>
  <c r="E17" i="119"/>
  <c r="G17" i="119" s="1"/>
  <c r="E16" i="119"/>
  <c r="F14" i="119"/>
  <c r="E14" i="119"/>
  <c r="D14" i="119"/>
  <c r="F13" i="119"/>
  <c r="B7" i="119"/>
  <c r="F49" i="118"/>
  <c r="F47" i="118"/>
  <c r="F44" i="118"/>
  <c r="F42" i="118"/>
  <c r="F40" i="118"/>
  <c r="F38" i="118"/>
  <c r="G38" i="118"/>
  <c r="D38" i="118"/>
  <c r="C27" i="118"/>
  <c r="F27" i="118" s="1"/>
  <c r="F25" i="118"/>
  <c r="G25" i="118" s="1"/>
  <c r="C25" i="118"/>
  <c r="D25" i="118" s="1"/>
  <c r="C23" i="118"/>
  <c r="D20" i="118"/>
  <c r="F22" i="118"/>
  <c r="F17" i="118"/>
  <c r="F16" i="118"/>
  <c r="F15" i="118"/>
  <c r="F13" i="118"/>
  <c r="F12" i="118"/>
  <c r="B9" i="118"/>
  <c r="B7" i="118"/>
  <c r="C26" i="118" s="1"/>
  <c r="F26" i="118" s="1"/>
  <c r="B6" i="118"/>
  <c r="B8" i="118" s="1"/>
  <c r="B5" i="118"/>
  <c r="F49" i="117"/>
  <c r="F47" i="117"/>
  <c r="F44" i="117"/>
  <c r="F42" i="117"/>
  <c r="F40" i="117"/>
  <c r="F38" i="117"/>
  <c r="D38" i="117"/>
  <c r="C27" i="117"/>
  <c r="F27" i="117" s="1"/>
  <c r="F25" i="117"/>
  <c r="G25" i="117" s="1"/>
  <c r="C25" i="117"/>
  <c r="D25" i="117" s="1"/>
  <c r="C23" i="117"/>
  <c r="E20" i="117"/>
  <c r="D20" i="117"/>
  <c r="F22" i="117"/>
  <c r="E19" i="117"/>
  <c r="F17" i="117"/>
  <c r="F16" i="117"/>
  <c r="F15" i="117"/>
  <c r="F13" i="117"/>
  <c r="F12" i="117"/>
  <c r="B9" i="117"/>
  <c r="B7" i="117"/>
  <c r="B6" i="117"/>
  <c r="B5" i="117"/>
  <c r="F25" i="116"/>
  <c r="G25" i="116" s="1"/>
  <c r="C25" i="116"/>
  <c r="D25" i="116" s="1"/>
  <c r="C23" i="116"/>
  <c r="D20" i="116"/>
  <c r="F22" i="116"/>
  <c r="B9" i="116"/>
  <c r="B7" i="116"/>
  <c r="C26" i="116" s="1"/>
  <c r="F26" i="116" s="1"/>
  <c r="B6" i="116"/>
  <c r="B8" i="116" s="1"/>
  <c r="B5" i="116"/>
  <c r="F49" i="116"/>
  <c r="F47" i="116"/>
  <c r="F44" i="116"/>
  <c r="F42" i="116"/>
  <c r="F40" i="116"/>
  <c r="D40" i="116"/>
  <c r="F38" i="116"/>
  <c r="D38" i="116"/>
  <c r="C27" i="116"/>
  <c r="F27" i="116" s="1"/>
  <c r="F17" i="116"/>
  <c r="F16" i="116"/>
  <c r="F15" i="116"/>
  <c r="F13" i="116"/>
  <c r="F12" i="116"/>
  <c r="F46" i="115"/>
  <c r="F41" i="115"/>
  <c r="F39" i="115"/>
  <c r="F37" i="115"/>
  <c r="G37" i="115"/>
  <c r="D37" i="115"/>
  <c r="C26" i="115"/>
  <c r="F26" i="115" s="1"/>
  <c r="F24" i="115"/>
  <c r="G24" i="115" s="1"/>
  <c r="C24" i="115"/>
  <c r="D24" i="115" s="1"/>
  <c r="D20" i="115"/>
  <c r="F17" i="115"/>
  <c r="G17" i="115" s="1"/>
  <c r="F16" i="115"/>
  <c r="F15" i="115"/>
  <c r="F13" i="115"/>
  <c r="F12" i="115"/>
  <c r="B9" i="115"/>
  <c r="B7" i="115"/>
  <c r="B6" i="115"/>
  <c r="B8" i="115" s="1"/>
  <c r="B5" i="115"/>
  <c r="F46" i="113"/>
  <c r="F41" i="113"/>
  <c r="F39" i="113"/>
  <c r="F37" i="113"/>
  <c r="D37" i="113"/>
  <c r="C26" i="113"/>
  <c r="F26" i="113" s="1"/>
  <c r="F24" i="113"/>
  <c r="G24" i="113" s="1"/>
  <c r="C24" i="113"/>
  <c r="D24" i="113" s="1"/>
  <c r="D20" i="113"/>
  <c r="F17" i="113"/>
  <c r="F16" i="113"/>
  <c r="F15" i="113"/>
  <c r="F13" i="113"/>
  <c r="F12" i="113"/>
  <c r="B9" i="113"/>
  <c r="B7" i="113"/>
  <c r="B6" i="113"/>
  <c r="B5" i="113"/>
  <c r="F24" i="112"/>
  <c r="G24" i="112" s="1"/>
  <c r="C24" i="112"/>
  <c r="D24" i="112" s="1"/>
  <c r="D20" i="112"/>
  <c r="B9" i="112"/>
  <c r="B7" i="112"/>
  <c r="B6" i="112"/>
  <c r="B8" i="112" s="1"/>
  <c r="B5" i="112"/>
  <c r="F46" i="112"/>
  <c r="F41" i="112"/>
  <c r="F39" i="112"/>
  <c r="D39" i="112"/>
  <c r="F37" i="112"/>
  <c r="D37" i="112"/>
  <c r="C26" i="112"/>
  <c r="F26" i="112" s="1"/>
  <c r="F17" i="112"/>
  <c r="F16" i="112"/>
  <c r="F15" i="112"/>
  <c r="F13" i="112"/>
  <c r="F12" i="112"/>
  <c r="P20" i="3"/>
  <c r="O19" i="3"/>
  <c r="O17" i="3"/>
  <c r="C30" i="186" s="1"/>
  <c r="D30" i="186" s="1"/>
  <c r="P17" i="3"/>
  <c r="C31" i="186" s="1"/>
  <c r="D31" i="186" s="1"/>
  <c r="O18" i="3"/>
  <c r="P18" i="3"/>
  <c r="F30" i="185"/>
  <c r="O16" i="3"/>
  <c r="D19" i="128"/>
  <c r="D16" i="134"/>
  <c r="D19" i="133"/>
  <c r="D19" i="118"/>
  <c r="D19" i="113"/>
  <c r="E27" i="130" l="1"/>
  <c r="E26" i="130"/>
  <c r="E21" i="118"/>
  <c r="E22" i="118"/>
  <c r="G22" i="118" s="1"/>
  <c r="E26" i="119"/>
  <c r="G26" i="119" s="1"/>
  <c r="E25" i="119"/>
  <c r="E27" i="119"/>
  <c r="E13" i="119"/>
  <c r="E37" i="116"/>
  <c r="E35" i="116"/>
  <c r="E31" i="116"/>
  <c r="E26" i="116"/>
  <c r="E27" i="116"/>
  <c r="E36" i="116"/>
  <c r="E30" i="116"/>
  <c r="E37" i="118"/>
  <c r="E31" i="118"/>
  <c r="E26" i="118"/>
  <c r="E27" i="118"/>
  <c r="E36" i="118"/>
  <c r="E30" i="118"/>
  <c r="E35" i="118"/>
  <c r="D22" i="116"/>
  <c r="E21" i="116"/>
  <c r="E22" i="116"/>
  <c r="G22" i="116" s="1"/>
  <c r="E26" i="121"/>
  <c r="E27" i="121"/>
  <c r="G27" i="121" s="1"/>
  <c r="E13" i="121"/>
  <c r="E25" i="121"/>
  <c r="D22" i="115"/>
  <c r="E22" i="115"/>
  <c r="G22" i="115" s="1"/>
  <c r="E21" i="115"/>
  <c r="E26" i="115"/>
  <c r="E35" i="115"/>
  <c r="E30" i="115"/>
  <c r="E25" i="115"/>
  <c r="E36" i="115"/>
  <c r="E34" i="115"/>
  <c r="E29" i="115"/>
  <c r="E13" i="115"/>
  <c r="E12" i="115"/>
  <c r="E29" i="112"/>
  <c r="E34" i="112"/>
  <c r="E30" i="112"/>
  <c r="E35" i="112"/>
  <c r="E25" i="112"/>
  <c r="E26" i="112"/>
  <c r="E36" i="112"/>
  <c r="D13" i="112"/>
  <c r="E13" i="112"/>
  <c r="E12" i="112"/>
  <c r="E21" i="112"/>
  <c r="E22" i="112"/>
  <c r="D22" i="118"/>
  <c r="G38" i="131"/>
  <c r="E40" i="133"/>
  <c r="G40" i="133" s="1"/>
  <c r="G15" i="131"/>
  <c r="G38" i="128"/>
  <c r="G38" i="130"/>
  <c r="D18" i="128"/>
  <c r="F27" i="126"/>
  <c r="G15" i="125"/>
  <c r="G38" i="126"/>
  <c r="G38" i="127"/>
  <c r="H38" i="127" s="1"/>
  <c r="I38" i="127" s="1"/>
  <c r="G38" i="122"/>
  <c r="F27" i="124"/>
  <c r="E17" i="124"/>
  <c r="G17" i="124" s="1"/>
  <c r="G38" i="123"/>
  <c r="H38" i="123" s="1"/>
  <c r="I38" i="123" s="1"/>
  <c r="G38" i="124"/>
  <c r="H38" i="124" s="1"/>
  <c r="I38" i="124" s="1"/>
  <c r="G28" i="121"/>
  <c r="D30" i="119"/>
  <c r="G28" i="120"/>
  <c r="G40" i="116"/>
  <c r="H40" i="116" s="1"/>
  <c r="I40" i="116" s="1"/>
  <c r="G16" i="118"/>
  <c r="G39" i="115"/>
  <c r="G40" i="118"/>
  <c r="G37" i="113"/>
  <c r="H37" i="113" s="1"/>
  <c r="I37" i="113" s="1"/>
  <c r="G38" i="116"/>
  <c r="H38" i="116" s="1"/>
  <c r="I38" i="116" s="1"/>
  <c r="D18" i="118"/>
  <c r="G15" i="118"/>
  <c r="H15" i="118" s="1"/>
  <c r="I15" i="118" s="1"/>
  <c r="G15" i="116"/>
  <c r="H15" i="116" s="1"/>
  <c r="I15" i="116" s="1"/>
  <c r="G15" i="112"/>
  <c r="G38" i="117"/>
  <c r="H38" i="117" s="1"/>
  <c r="I38" i="117" s="1"/>
  <c r="G14" i="119"/>
  <c r="H14" i="119" s="1"/>
  <c r="I14" i="119" s="1"/>
  <c r="F27" i="123"/>
  <c r="F27" i="125"/>
  <c r="F27" i="127"/>
  <c r="D18" i="133"/>
  <c r="D18" i="116"/>
  <c r="G16" i="123"/>
  <c r="G18" i="123" s="1"/>
  <c r="G16" i="125"/>
  <c r="G40" i="128"/>
  <c r="H40" i="128" s="1"/>
  <c r="I40" i="128" s="1"/>
  <c r="G38" i="133"/>
  <c r="D29" i="187"/>
  <c r="E35" i="127"/>
  <c r="E26" i="127"/>
  <c r="E36" i="127"/>
  <c r="E30" i="127"/>
  <c r="E37" i="127"/>
  <c r="E31" i="127"/>
  <c r="E27" i="127"/>
  <c r="E30" i="122"/>
  <c r="E31" i="122"/>
  <c r="E37" i="122"/>
  <c r="E35" i="122"/>
  <c r="E26" i="122"/>
  <c r="E36" i="122"/>
  <c r="E27" i="122"/>
  <c r="E37" i="124"/>
  <c r="E36" i="124"/>
  <c r="E35" i="124"/>
  <c r="E31" i="124"/>
  <c r="E30" i="124"/>
  <c r="E27" i="124"/>
  <c r="E26" i="124"/>
  <c r="E37" i="126"/>
  <c r="E36" i="126"/>
  <c r="E35" i="126"/>
  <c r="E31" i="126"/>
  <c r="E30" i="126"/>
  <c r="E27" i="126"/>
  <c r="E26" i="126"/>
  <c r="E26" i="134"/>
  <c r="E27" i="134"/>
  <c r="E13" i="134"/>
  <c r="E28" i="134"/>
  <c r="E26" i="137"/>
  <c r="E28" i="137"/>
  <c r="E27" i="137"/>
  <c r="G27" i="137" s="1"/>
  <c r="E13" i="137"/>
  <c r="E27" i="136"/>
  <c r="G27" i="136" s="1"/>
  <c r="E26" i="136"/>
  <c r="E28" i="136"/>
  <c r="E13" i="136"/>
  <c r="E37" i="123"/>
  <c r="E36" i="123"/>
  <c r="E35" i="123"/>
  <c r="E31" i="123"/>
  <c r="E30" i="123"/>
  <c r="E27" i="123"/>
  <c r="E26" i="123"/>
  <c r="E37" i="125"/>
  <c r="E36" i="125"/>
  <c r="E35" i="125"/>
  <c r="E31" i="125"/>
  <c r="E30" i="125"/>
  <c r="E27" i="125"/>
  <c r="E26" i="125"/>
  <c r="G26" i="125" s="1"/>
  <c r="G14" i="138"/>
  <c r="H14" i="138" s="1"/>
  <c r="I14" i="138" s="1"/>
  <c r="G29" i="138"/>
  <c r="H29" i="138" s="1"/>
  <c r="I29" i="138" s="1"/>
  <c r="G14" i="134"/>
  <c r="H14" i="134" s="1"/>
  <c r="I14" i="134" s="1"/>
  <c r="D31" i="134"/>
  <c r="D20" i="137"/>
  <c r="D31" i="137"/>
  <c r="G14" i="135"/>
  <c r="H14" i="135" s="1"/>
  <c r="I14" i="135" s="1"/>
  <c r="G31" i="137"/>
  <c r="H17" i="134"/>
  <c r="I17" i="134" s="1"/>
  <c r="G14" i="136"/>
  <c r="H14" i="136" s="1"/>
  <c r="I14" i="136" s="1"/>
  <c r="E37" i="130"/>
  <c r="E36" i="130"/>
  <c r="E35" i="130"/>
  <c r="E31" i="130"/>
  <c r="E30" i="130"/>
  <c r="G17" i="131"/>
  <c r="D16" i="131"/>
  <c r="H16" i="131" s="1"/>
  <c r="I16" i="131" s="1"/>
  <c r="E37" i="128"/>
  <c r="E36" i="128"/>
  <c r="E35" i="128"/>
  <c r="E31" i="128"/>
  <c r="E30" i="128"/>
  <c r="E26" i="128"/>
  <c r="D40" i="128"/>
  <c r="E35" i="131"/>
  <c r="E26" i="131"/>
  <c r="E37" i="131"/>
  <c r="E30" i="131"/>
  <c r="E36" i="131"/>
  <c r="E31" i="131"/>
  <c r="E35" i="133"/>
  <c r="E26" i="133"/>
  <c r="E30" i="133"/>
  <c r="E37" i="133"/>
  <c r="E36" i="133"/>
  <c r="E31" i="133"/>
  <c r="G19" i="119"/>
  <c r="G30" i="119"/>
  <c r="H30" i="119" s="1"/>
  <c r="I30" i="119" s="1"/>
  <c r="G14" i="121"/>
  <c r="H14" i="121" s="1"/>
  <c r="I14" i="121" s="1"/>
  <c r="C25" i="112"/>
  <c r="F25" i="112" s="1"/>
  <c r="G14" i="120"/>
  <c r="H14" i="120" s="1"/>
  <c r="I14" i="120" s="1"/>
  <c r="D32" i="186"/>
  <c r="G31" i="187"/>
  <c r="G31" i="188"/>
  <c r="D31" i="190"/>
  <c r="D31" i="189"/>
  <c r="C29" i="115"/>
  <c r="C29" i="185"/>
  <c r="G30" i="190"/>
  <c r="G30" i="189"/>
  <c r="E17" i="127"/>
  <c r="G17" i="127" s="1"/>
  <c r="H17" i="127" s="1"/>
  <c r="I17" i="127" s="1"/>
  <c r="D18" i="126"/>
  <c r="D15" i="125"/>
  <c r="H15" i="125" s="1"/>
  <c r="I15" i="125" s="1"/>
  <c r="H40" i="124"/>
  <c r="I40" i="124" s="1"/>
  <c r="E15" i="122"/>
  <c r="G15" i="122" s="1"/>
  <c r="H15" i="122" s="1"/>
  <c r="I15" i="122" s="1"/>
  <c r="E16" i="122"/>
  <c r="G16" i="122" s="1"/>
  <c r="H16" i="122" s="1"/>
  <c r="I16" i="122" s="1"/>
  <c r="D18" i="122"/>
  <c r="D20" i="138"/>
  <c r="G16" i="115"/>
  <c r="H17" i="115"/>
  <c r="I17" i="115" s="1"/>
  <c r="G15" i="115"/>
  <c r="F22" i="120"/>
  <c r="B22" i="125"/>
  <c r="E22" i="125" s="1"/>
  <c r="G22" i="125" s="1"/>
  <c r="G22" i="134"/>
  <c r="D16" i="136"/>
  <c r="G20" i="135"/>
  <c r="D23" i="125"/>
  <c r="D16" i="138"/>
  <c r="D16" i="137"/>
  <c r="D18" i="134"/>
  <c r="D19" i="130"/>
  <c r="D19" i="129"/>
  <c r="D18" i="136"/>
  <c r="D18" i="135"/>
  <c r="G20" i="137"/>
  <c r="D19" i="132"/>
  <c r="G22" i="137"/>
  <c r="G23" i="137"/>
  <c r="D18" i="137"/>
  <c r="G20" i="138"/>
  <c r="G22" i="138"/>
  <c r="G23" i="138"/>
  <c r="D19" i="131"/>
  <c r="G22" i="135"/>
  <c r="G23" i="135"/>
  <c r="G22" i="136"/>
  <c r="B23" i="123"/>
  <c r="D21" i="123"/>
  <c r="D21" i="131"/>
  <c r="B23" i="131"/>
  <c r="D23" i="131" s="1"/>
  <c r="G20" i="136"/>
  <c r="D18" i="138"/>
  <c r="H17" i="138"/>
  <c r="I17" i="138" s="1"/>
  <c r="D27" i="137"/>
  <c r="H14" i="137"/>
  <c r="I14" i="137" s="1"/>
  <c r="H17" i="137"/>
  <c r="I17" i="137" s="1"/>
  <c r="H29" i="137"/>
  <c r="I29" i="137" s="1"/>
  <c r="D20" i="135"/>
  <c r="E31" i="136"/>
  <c r="G31" i="136" s="1"/>
  <c r="H31" i="136" s="1"/>
  <c r="I31" i="136" s="1"/>
  <c r="H29" i="136"/>
  <c r="I29" i="136" s="1"/>
  <c r="D27" i="136"/>
  <c r="D20" i="136"/>
  <c r="H17" i="136"/>
  <c r="I17" i="136" s="1"/>
  <c r="H17" i="135"/>
  <c r="I17" i="135" s="1"/>
  <c r="H29" i="135"/>
  <c r="I29" i="135" s="1"/>
  <c r="G20" i="134"/>
  <c r="H29" i="134"/>
  <c r="I29" i="134" s="1"/>
  <c r="H31" i="134"/>
  <c r="I31" i="134" s="1"/>
  <c r="D20" i="134"/>
  <c r="E16" i="133"/>
  <c r="G16" i="133" s="1"/>
  <c r="H16" i="133" s="1"/>
  <c r="I16" i="133" s="1"/>
  <c r="E17" i="133"/>
  <c r="G17" i="133" s="1"/>
  <c r="H17" i="133" s="1"/>
  <c r="I17" i="133" s="1"/>
  <c r="B13" i="133"/>
  <c r="B12" i="133"/>
  <c r="B23" i="133"/>
  <c r="E15" i="133"/>
  <c r="G15" i="133" s="1"/>
  <c r="H20" i="133"/>
  <c r="I20" i="133" s="1"/>
  <c r="H38" i="133"/>
  <c r="I38" i="133" s="1"/>
  <c r="H25" i="133"/>
  <c r="I25" i="133" s="1"/>
  <c r="H40" i="133"/>
  <c r="I40" i="133" s="1"/>
  <c r="H25" i="132"/>
  <c r="I25" i="132" s="1"/>
  <c r="H20" i="132"/>
  <c r="I20" i="132" s="1"/>
  <c r="H38" i="132"/>
  <c r="I38" i="132" s="1"/>
  <c r="H38" i="131"/>
  <c r="I38" i="131" s="1"/>
  <c r="B13" i="131"/>
  <c r="B12" i="131"/>
  <c r="D15" i="131"/>
  <c r="G40" i="131"/>
  <c r="D17" i="131"/>
  <c r="H20" i="131"/>
  <c r="I20" i="131" s="1"/>
  <c r="H25" i="131"/>
  <c r="I25" i="131" s="1"/>
  <c r="D40" i="131"/>
  <c r="E16" i="130"/>
  <c r="G16" i="130" s="1"/>
  <c r="D18" i="130"/>
  <c r="E40" i="130"/>
  <c r="G40" i="130" s="1"/>
  <c r="H40" i="130" s="1"/>
  <c r="I40" i="130" s="1"/>
  <c r="H16" i="130"/>
  <c r="I16" i="130" s="1"/>
  <c r="B13" i="130"/>
  <c r="B12" i="130"/>
  <c r="B23" i="130"/>
  <c r="E15" i="130"/>
  <c r="G15" i="130" s="1"/>
  <c r="H25" i="130"/>
  <c r="I25" i="130" s="1"/>
  <c r="E17" i="130"/>
  <c r="G17" i="130" s="1"/>
  <c r="H20" i="130"/>
  <c r="I20" i="130" s="1"/>
  <c r="H38" i="130"/>
  <c r="I38" i="130" s="1"/>
  <c r="H20" i="129"/>
  <c r="I20" i="129" s="1"/>
  <c r="H25" i="129"/>
  <c r="I25" i="129" s="1"/>
  <c r="G38" i="129"/>
  <c r="B13" i="128"/>
  <c r="B12" i="128"/>
  <c r="B23" i="128"/>
  <c r="E15" i="128"/>
  <c r="G15" i="128" s="1"/>
  <c r="E16" i="128"/>
  <c r="G16" i="128" s="1"/>
  <c r="H25" i="128"/>
  <c r="I25" i="128" s="1"/>
  <c r="B27" i="128"/>
  <c r="E17" i="128"/>
  <c r="G17" i="128" s="1"/>
  <c r="H20" i="128"/>
  <c r="I20" i="128" s="1"/>
  <c r="H38" i="128"/>
  <c r="I38" i="128" s="1"/>
  <c r="D18" i="127"/>
  <c r="G40" i="127"/>
  <c r="H40" i="127" s="1"/>
  <c r="I40" i="127" s="1"/>
  <c r="D40" i="126"/>
  <c r="H40" i="126" s="1"/>
  <c r="I40" i="126" s="1"/>
  <c r="E15" i="126"/>
  <c r="G15" i="126" s="1"/>
  <c r="H15" i="126" s="1"/>
  <c r="I15" i="126" s="1"/>
  <c r="B13" i="127"/>
  <c r="B12" i="127"/>
  <c r="B22" i="127"/>
  <c r="E15" i="127"/>
  <c r="G15" i="127" s="1"/>
  <c r="E16" i="127"/>
  <c r="G16" i="127" s="1"/>
  <c r="H25" i="127"/>
  <c r="I25" i="127" s="1"/>
  <c r="H20" i="127"/>
  <c r="I20" i="127" s="1"/>
  <c r="E16" i="126"/>
  <c r="G16" i="126" s="1"/>
  <c r="H25" i="126"/>
  <c r="I25" i="126" s="1"/>
  <c r="E17" i="126"/>
  <c r="G17" i="126" s="1"/>
  <c r="H20" i="126"/>
  <c r="I20" i="126" s="1"/>
  <c r="H38" i="126"/>
  <c r="I38" i="126" s="1"/>
  <c r="B22" i="126"/>
  <c r="B13" i="126"/>
  <c r="B12" i="126"/>
  <c r="E23" i="125"/>
  <c r="G18" i="125"/>
  <c r="D16" i="125"/>
  <c r="D17" i="125"/>
  <c r="H17" i="125" s="1"/>
  <c r="I17" i="125" s="1"/>
  <c r="H20" i="125"/>
  <c r="I20" i="125" s="1"/>
  <c r="H25" i="125"/>
  <c r="I25" i="125" s="1"/>
  <c r="B13" i="125"/>
  <c r="B12" i="125"/>
  <c r="H38" i="125"/>
  <c r="I38" i="125" s="1"/>
  <c r="D40" i="125"/>
  <c r="H40" i="125" s="1"/>
  <c r="I40" i="125" s="1"/>
  <c r="E15" i="124"/>
  <c r="G15" i="124" s="1"/>
  <c r="H15" i="124" s="1"/>
  <c r="I15" i="124" s="1"/>
  <c r="D18" i="124"/>
  <c r="D15" i="123"/>
  <c r="H15" i="123" s="1"/>
  <c r="I15" i="123" s="1"/>
  <c r="D16" i="123"/>
  <c r="B23" i="124"/>
  <c r="H17" i="124"/>
  <c r="I17" i="124" s="1"/>
  <c r="H20" i="124"/>
  <c r="I20" i="124" s="1"/>
  <c r="B13" i="124"/>
  <c r="B12" i="124"/>
  <c r="E16" i="124"/>
  <c r="G16" i="124" s="1"/>
  <c r="H25" i="124"/>
  <c r="I25" i="124" s="1"/>
  <c r="H20" i="123"/>
  <c r="I20" i="123" s="1"/>
  <c r="H25" i="123"/>
  <c r="I25" i="123" s="1"/>
  <c r="D17" i="123"/>
  <c r="H17" i="123" s="1"/>
  <c r="I17" i="123" s="1"/>
  <c r="B13" i="123"/>
  <c r="B12" i="123"/>
  <c r="D40" i="123"/>
  <c r="H40" i="123" s="1"/>
  <c r="I40" i="123" s="1"/>
  <c r="H25" i="122"/>
  <c r="I25" i="122" s="1"/>
  <c r="E17" i="122"/>
  <c r="G17" i="122" s="1"/>
  <c r="H20" i="122"/>
  <c r="I20" i="122" s="1"/>
  <c r="H38" i="122"/>
  <c r="I38" i="122" s="1"/>
  <c r="B13" i="122"/>
  <c r="B12" i="122"/>
  <c r="H40" i="122"/>
  <c r="I40" i="122" s="1"/>
  <c r="B23" i="122"/>
  <c r="O20" i="3"/>
  <c r="D19" i="116"/>
  <c r="D19" i="117"/>
  <c r="C31" i="116"/>
  <c r="C31" i="117"/>
  <c r="C31" i="118"/>
  <c r="C30" i="118"/>
  <c r="C30" i="116"/>
  <c r="C30" i="117"/>
  <c r="C22" i="121"/>
  <c r="D22" i="121" s="1"/>
  <c r="C22" i="119"/>
  <c r="D22" i="119" s="1"/>
  <c r="C22" i="120"/>
  <c r="F30" i="113"/>
  <c r="F30" i="112"/>
  <c r="F30" i="115"/>
  <c r="C21" i="119"/>
  <c r="D21" i="119" s="1"/>
  <c r="C21" i="121"/>
  <c r="D21" i="121" s="1"/>
  <c r="C21" i="120"/>
  <c r="C29" i="113"/>
  <c r="F31" i="186"/>
  <c r="G31" i="186" s="1"/>
  <c r="H31" i="186" s="1"/>
  <c r="I31" i="186" s="1"/>
  <c r="P19" i="3"/>
  <c r="C29" i="112"/>
  <c r="D19" i="112"/>
  <c r="G19" i="121"/>
  <c r="D26" i="121"/>
  <c r="P21" i="3"/>
  <c r="D21" i="112"/>
  <c r="D19" i="115"/>
  <c r="P16" i="3"/>
  <c r="C30" i="185" s="1"/>
  <c r="O21" i="3"/>
  <c r="D19" i="121"/>
  <c r="H30" i="121"/>
  <c r="I30" i="121" s="1"/>
  <c r="H28" i="121"/>
  <c r="I28" i="121" s="1"/>
  <c r="H17" i="121"/>
  <c r="I17" i="121" s="1"/>
  <c r="D27" i="121"/>
  <c r="H28" i="120"/>
  <c r="I28" i="120" s="1"/>
  <c r="H17" i="120"/>
  <c r="I17" i="120" s="1"/>
  <c r="D19" i="119"/>
  <c r="H28" i="119"/>
  <c r="I28" i="119" s="1"/>
  <c r="D26" i="119"/>
  <c r="H17" i="119"/>
  <c r="I17" i="119" s="1"/>
  <c r="D40" i="118"/>
  <c r="H16" i="118"/>
  <c r="I16" i="118" s="1"/>
  <c r="H25" i="118"/>
  <c r="I25" i="118" s="1"/>
  <c r="G17" i="118"/>
  <c r="H38" i="118"/>
  <c r="I38" i="118" s="1"/>
  <c r="B23" i="118"/>
  <c r="H25" i="117"/>
  <c r="I25" i="117" s="1"/>
  <c r="G17" i="116"/>
  <c r="B23" i="116"/>
  <c r="G16" i="116"/>
  <c r="H25" i="116"/>
  <c r="I25" i="116" s="1"/>
  <c r="H37" i="115"/>
  <c r="I37" i="115" s="1"/>
  <c r="C25" i="115"/>
  <c r="F25" i="115" s="1"/>
  <c r="H24" i="115"/>
  <c r="I24" i="115" s="1"/>
  <c r="D39" i="115"/>
  <c r="H39" i="115" s="1"/>
  <c r="I39" i="115" s="1"/>
  <c r="H24" i="113"/>
  <c r="I24" i="113" s="1"/>
  <c r="H24" i="112"/>
  <c r="I24" i="112" s="1"/>
  <c r="G16" i="112"/>
  <c r="G17" i="112"/>
  <c r="G37" i="112"/>
  <c r="G39" i="112"/>
  <c r="H22" i="118" l="1"/>
  <c r="I22" i="118" s="1"/>
  <c r="H22" i="115"/>
  <c r="I22" i="115" s="1"/>
  <c r="H22" i="116"/>
  <c r="I22" i="116" s="1"/>
  <c r="D21" i="137"/>
  <c r="D22" i="112"/>
  <c r="D23" i="112" s="1"/>
  <c r="G22" i="112"/>
  <c r="D21" i="138"/>
  <c r="H16" i="123"/>
  <c r="I16" i="123" s="1"/>
  <c r="H40" i="118"/>
  <c r="I40" i="118" s="1"/>
  <c r="H15" i="112"/>
  <c r="I15" i="112" s="1"/>
  <c r="H17" i="131"/>
  <c r="I17" i="131" s="1"/>
  <c r="D18" i="125"/>
  <c r="G18" i="115"/>
  <c r="H19" i="119"/>
  <c r="I19" i="119" s="1"/>
  <c r="H31" i="137"/>
  <c r="I31" i="137" s="1"/>
  <c r="H20" i="137"/>
  <c r="I20" i="137" s="1"/>
  <c r="G18" i="131"/>
  <c r="D30" i="190"/>
  <c r="D32" i="190" s="1"/>
  <c r="D30" i="189"/>
  <c r="D32" i="189" s="1"/>
  <c r="G31" i="189"/>
  <c r="H31" i="189" s="1"/>
  <c r="I31" i="189" s="1"/>
  <c r="G31" i="190"/>
  <c r="H31" i="190" s="1"/>
  <c r="I31" i="190" s="1"/>
  <c r="G30" i="186"/>
  <c r="D31" i="187"/>
  <c r="H31" i="187" s="1"/>
  <c r="I31" i="187" s="1"/>
  <c r="G30" i="187"/>
  <c r="G30" i="188"/>
  <c r="H20" i="138"/>
  <c r="I20" i="138" s="1"/>
  <c r="H16" i="125"/>
  <c r="I16" i="125" s="1"/>
  <c r="F22" i="119"/>
  <c r="G22" i="119" s="1"/>
  <c r="H22" i="119" s="1"/>
  <c r="I22" i="119" s="1"/>
  <c r="G23" i="136"/>
  <c r="G24" i="136" s="1"/>
  <c r="D22" i="125"/>
  <c r="H22" i="125" s="1"/>
  <c r="I22" i="125" s="1"/>
  <c r="G24" i="135"/>
  <c r="G23" i="134"/>
  <c r="G24" i="134" s="1"/>
  <c r="G24" i="138"/>
  <c r="H16" i="115"/>
  <c r="I16" i="115" s="1"/>
  <c r="D18" i="112"/>
  <c r="D21" i="115"/>
  <c r="D23" i="115" s="1"/>
  <c r="D18" i="115"/>
  <c r="F22" i="121"/>
  <c r="G22" i="121" s="1"/>
  <c r="H22" i="121" s="1"/>
  <c r="I22" i="121" s="1"/>
  <c r="E23" i="131"/>
  <c r="G24" i="137"/>
  <c r="H20" i="135"/>
  <c r="I20" i="135" s="1"/>
  <c r="D22" i="134"/>
  <c r="D22" i="138"/>
  <c r="D22" i="137"/>
  <c r="H22" i="137" s="1"/>
  <c r="I22" i="137" s="1"/>
  <c r="D22" i="135"/>
  <c r="D22" i="136"/>
  <c r="G26" i="121"/>
  <c r="H26" i="121" s="1"/>
  <c r="I26" i="121" s="1"/>
  <c r="D31" i="122"/>
  <c r="D31" i="123"/>
  <c r="D31" i="124"/>
  <c r="D23" i="138"/>
  <c r="H23" i="138" s="1"/>
  <c r="I23" i="138" s="1"/>
  <c r="D23" i="137"/>
  <c r="H23" i="137" s="1"/>
  <c r="I23" i="137" s="1"/>
  <c r="D23" i="136"/>
  <c r="D23" i="135"/>
  <c r="H23" i="135" s="1"/>
  <c r="I23" i="135" s="1"/>
  <c r="D23" i="134"/>
  <c r="D30" i="133"/>
  <c r="D30" i="130"/>
  <c r="D30" i="131"/>
  <c r="D30" i="128"/>
  <c r="H20" i="136"/>
  <c r="I20" i="136" s="1"/>
  <c r="D24" i="131"/>
  <c r="E23" i="123"/>
  <c r="G23" i="123" s="1"/>
  <c r="D23" i="123"/>
  <c r="E21" i="123"/>
  <c r="H27" i="137"/>
  <c r="I27" i="137" s="1"/>
  <c r="D28" i="137"/>
  <c r="G28" i="137"/>
  <c r="G13" i="137"/>
  <c r="D13" i="137"/>
  <c r="D15" i="137" s="1"/>
  <c r="G26" i="137"/>
  <c r="D26" i="137"/>
  <c r="D21" i="135"/>
  <c r="H27" i="136"/>
  <c r="I27" i="136" s="1"/>
  <c r="D21" i="136"/>
  <c r="D28" i="136"/>
  <c r="G28" i="136"/>
  <c r="G13" i="136"/>
  <c r="D13" i="136"/>
  <c r="D15" i="136" s="1"/>
  <c r="G26" i="136"/>
  <c r="D26" i="136"/>
  <c r="H20" i="134"/>
  <c r="I20" i="134" s="1"/>
  <c r="D21" i="134"/>
  <c r="G27" i="134"/>
  <c r="D27" i="134"/>
  <c r="D28" i="134"/>
  <c r="G28" i="134"/>
  <c r="D26" i="134"/>
  <c r="G26" i="134"/>
  <c r="G13" i="134"/>
  <c r="D13" i="134"/>
  <c r="D15" i="134" s="1"/>
  <c r="D21" i="133"/>
  <c r="E13" i="133"/>
  <c r="G13" i="133" s="1"/>
  <c r="D13" i="133"/>
  <c r="D26" i="133"/>
  <c r="G26" i="133"/>
  <c r="G35" i="133"/>
  <c r="D35" i="133"/>
  <c r="D23" i="133"/>
  <c r="E23" i="133"/>
  <c r="G30" i="133"/>
  <c r="G36" i="133"/>
  <c r="D36" i="133"/>
  <c r="D31" i="133"/>
  <c r="D27" i="133"/>
  <c r="G27" i="133"/>
  <c r="G37" i="133"/>
  <c r="D37" i="133"/>
  <c r="G18" i="133"/>
  <c r="H15" i="133"/>
  <c r="I15" i="133" s="1"/>
  <c r="E12" i="133"/>
  <c r="G12" i="133" s="1"/>
  <c r="D12" i="133"/>
  <c r="G30" i="131"/>
  <c r="E13" i="131"/>
  <c r="G13" i="131" s="1"/>
  <c r="D13" i="131"/>
  <c r="G27" i="131"/>
  <c r="D27" i="131"/>
  <c r="G37" i="131"/>
  <c r="D37" i="131"/>
  <c r="D18" i="131"/>
  <c r="G26" i="131"/>
  <c r="G35" i="131"/>
  <c r="D35" i="131"/>
  <c r="E12" i="131"/>
  <c r="G12" i="131" s="1"/>
  <c r="D12" i="131"/>
  <c r="G36" i="131"/>
  <c r="D36" i="131"/>
  <c r="D31" i="131"/>
  <c r="H40" i="131"/>
  <c r="I40" i="131" s="1"/>
  <c r="H15" i="131"/>
  <c r="I15" i="131" s="1"/>
  <c r="D26" i="131"/>
  <c r="H17" i="130"/>
  <c r="I17" i="130" s="1"/>
  <c r="D31" i="130"/>
  <c r="G18" i="130"/>
  <c r="H15" i="130"/>
  <c r="I15" i="130" s="1"/>
  <c r="E12" i="130"/>
  <c r="G12" i="130" s="1"/>
  <c r="D12" i="130"/>
  <c r="D26" i="130"/>
  <c r="G26" i="130"/>
  <c r="G35" i="130"/>
  <c r="D35" i="130"/>
  <c r="D21" i="130"/>
  <c r="E13" i="130"/>
  <c r="G13" i="130" s="1"/>
  <c r="D13" i="130"/>
  <c r="G30" i="130"/>
  <c r="G36" i="130"/>
  <c r="D36" i="130"/>
  <c r="D23" i="130"/>
  <c r="E23" i="130"/>
  <c r="D27" i="130"/>
  <c r="G27" i="130"/>
  <c r="G37" i="130"/>
  <c r="D37" i="130"/>
  <c r="H38" i="129"/>
  <c r="I38" i="129" s="1"/>
  <c r="H17" i="128"/>
  <c r="I17" i="128" s="1"/>
  <c r="D26" i="128"/>
  <c r="G26" i="128"/>
  <c r="G35" i="128"/>
  <c r="D35" i="128"/>
  <c r="G18" i="128"/>
  <c r="H15" i="128"/>
  <c r="I15" i="128" s="1"/>
  <c r="E13" i="128"/>
  <c r="G13" i="128" s="1"/>
  <c r="D13" i="128"/>
  <c r="D27" i="128"/>
  <c r="E27" i="128"/>
  <c r="G27" i="128" s="1"/>
  <c r="G37" i="128"/>
  <c r="D37" i="128"/>
  <c r="D23" i="128"/>
  <c r="E23" i="128"/>
  <c r="D31" i="128"/>
  <c r="H16" i="128"/>
  <c r="I16" i="128" s="1"/>
  <c r="E12" i="128"/>
  <c r="G12" i="128" s="1"/>
  <c r="D12" i="128"/>
  <c r="G30" i="128"/>
  <c r="G36" i="128"/>
  <c r="D36" i="128"/>
  <c r="D21" i="128"/>
  <c r="G26" i="127"/>
  <c r="G35" i="127"/>
  <c r="D22" i="127"/>
  <c r="E22" i="127"/>
  <c r="G22" i="127" s="1"/>
  <c r="G36" i="127"/>
  <c r="G18" i="127"/>
  <c r="H15" i="127"/>
  <c r="I15" i="127" s="1"/>
  <c r="E12" i="127"/>
  <c r="G12" i="127" s="1"/>
  <c r="D12" i="127"/>
  <c r="G27" i="127"/>
  <c r="G37" i="127"/>
  <c r="H16" i="127"/>
  <c r="I16" i="127" s="1"/>
  <c r="D21" i="127"/>
  <c r="E21" i="127"/>
  <c r="E13" i="127"/>
  <c r="G13" i="127" s="1"/>
  <c r="D13" i="127"/>
  <c r="G31" i="127"/>
  <c r="D23" i="127"/>
  <c r="E23" i="127"/>
  <c r="D22" i="126"/>
  <c r="E22" i="126"/>
  <c r="G22" i="126" s="1"/>
  <c r="H17" i="126"/>
  <c r="I17" i="126" s="1"/>
  <c r="G26" i="126"/>
  <c r="G35" i="126"/>
  <c r="G18" i="126"/>
  <c r="E12" i="126"/>
  <c r="G12" i="126" s="1"/>
  <c r="D12" i="126"/>
  <c r="D21" i="126"/>
  <c r="E21" i="126"/>
  <c r="G36" i="126"/>
  <c r="G31" i="126"/>
  <c r="E13" i="126"/>
  <c r="G13" i="126" s="1"/>
  <c r="D13" i="126"/>
  <c r="D23" i="126"/>
  <c r="E23" i="126"/>
  <c r="G27" i="126"/>
  <c r="G37" i="126"/>
  <c r="H16" i="126"/>
  <c r="I16" i="126" s="1"/>
  <c r="D21" i="125"/>
  <c r="E21" i="125"/>
  <c r="D12" i="125"/>
  <c r="E12" i="125"/>
  <c r="G12" i="125" s="1"/>
  <c r="E13" i="125"/>
  <c r="G13" i="125" s="1"/>
  <c r="D13" i="125"/>
  <c r="G31" i="125"/>
  <c r="G35" i="125"/>
  <c r="H18" i="125"/>
  <c r="I18" i="125" s="1"/>
  <c r="G27" i="125"/>
  <c r="G37" i="125"/>
  <c r="G36" i="125"/>
  <c r="H16" i="124"/>
  <c r="I16" i="124" s="1"/>
  <c r="G31" i="124"/>
  <c r="E12" i="124"/>
  <c r="G12" i="124" s="1"/>
  <c r="D12" i="124"/>
  <c r="D26" i="124"/>
  <c r="G26" i="124"/>
  <c r="G35" i="124"/>
  <c r="D35" i="124"/>
  <c r="D21" i="124"/>
  <c r="E21" i="124"/>
  <c r="E13" i="124"/>
  <c r="G13" i="124" s="1"/>
  <c r="D13" i="124"/>
  <c r="G36" i="124"/>
  <c r="D36" i="124"/>
  <c r="D27" i="124"/>
  <c r="G27" i="124"/>
  <c r="G37" i="124"/>
  <c r="D37" i="124"/>
  <c r="D23" i="124"/>
  <c r="E23" i="124"/>
  <c r="G23" i="124" s="1"/>
  <c r="G18" i="124"/>
  <c r="D26" i="123"/>
  <c r="G26" i="123"/>
  <c r="D18" i="123"/>
  <c r="H18" i="123" s="1"/>
  <c r="I18" i="123" s="1"/>
  <c r="G36" i="123"/>
  <c r="D36" i="123"/>
  <c r="E12" i="123"/>
  <c r="G12" i="123" s="1"/>
  <c r="D12" i="123"/>
  <c r="G27" i="123"/>
  <c r="D27" i="123"/>
  <c r="G37" i="123"/>
  <c r="D37" i="123"/>
  <c r="G35" i="123"/>
  <c r="D35" i="123"/>
  <c r="D13" i="123"/>
  <c r="E13" i="123"/>
  <c r="G13" i="123" s="1"/>
  <c r="G31" i="123"/>
  <c r="E12" i="122"/>
  <c r="G12" i="122" s="1"/>
  <c r="D12" i="122"/>
  <c r="H17" i="122"/>
  <c r="I17" i="122" s="1"/>
  <c r="D26" i="122"/>
  <c r="G26" i="122"/>
  <c r="G35" i="122"/>
  <c r="D35" i="122"/>
  <c r="D23" i="122"/>
  <c r="E23" i="122"/>
  <c r="G23" i="122" s="1"/>
  <c r="E13" i="122"/>
  <c r="G13" i="122" s="1"/>
  <c r="D13" i="122"/>
  <c r="G36" i="122"/>
  <c r="D36" i="122"/>
  <c r="G18" i="122"/>
  <c r="D27" i="122"/>
  <c r="G27" i="122"/>
  <c r="G37" i="122"/>
  <c r="D37" i="122"/>
  <c r="D21" i="122"/>
  <c r="E21" i="122"/>
  <c r="G31" i="122"/>
  <c r="F30" i="117"/>
  <c r="F21" i="120"/>
  <c r="F21" i="119"/>
  <c r="G21" i="119" s="1"/>
  <c r="F21" i="121"/>
  <c r="G21" i="121" s="1"/>
  <c r="H19" i="121"/>
  <c r="I19" i="121" s="1"/>
  <c r="D23" i="119"/>
  <c r="C30" i="112"/>
  <c r="C30" i="113"/>
  <c r="C30" i="115"/>
  <c r="D23" i="121"/>
  <c r="F31" i="116"/>
  <c r="F31" i="118"/>
  <c r="F31" i="117"/>
  <c r="G25" i="121"/>
  <c r="D25" i="121"/>
  <c r="D29" i="121" s="1"/>
  <c r="H27" i="121"/>
  <c r="I27" i="121" s="1"/>
  <c r="D13" i="121"/>
  <c r="D15" i="121" s="1"/>
  <c r="G13" i="121"/>
  <c r="D27" i="119"/>
  <c r="G27" i="119"/>
  <c r="G13" i="119"/>
  <c r="D13" i="119"/>
  <c r="D15" i="119" s="1"/>
  <c r="G25" i="119"/>
  <c r="D25" i="119"/>
  <c r="H26" i="119"/>
  <c r="I26" i="119" s="1"/>
  <c r="D23" i="118"/>
  <c r="E23" i="118"/>
  <c r="E12" i="118"/>
  <c r="G12" i="118" s="1"/>
  <c r="H12" i="118" s="1"/>
  <c r="H17" i="118"/>
  <c r="I17" i="118" s="1"/>
  <c r="D26" i="118"/>
  <c r="G26" i="118"/>
  <c r="G35" i="118"/>
  <c r="D35" i="118"/>
  <c r="E13" i="118"/>
  <c r="G13" i="118" s="1"/>
  <c r="D30" i="118"/>
  <c r="G36" i="118"/>
  <c r="D36" i="118"/>
  <c r="G18" i="118"/>
  <c r="D27" i="118"/>
  <c r="G27" i="118"/>
  <c r="G37" i="118"/>
  <c r="D37" i="118"/>
  <c r="D31" i="118"/>
  <c r="G12" i="112"/>
  <c r="H12" i="112" s="1"/>
  <c r="I12" i="112" s="1"/>
  <c r="D27" i="116"/>
  <c r="G27" i="116"/>
  <c r="G37" i="116"/>
  <c r="D37" i="116"/>
  <c r="H16" i="116"/>
  <c r="I16" i="116" s="1"/>
  <c r="E12" i="116"/>
  <c r="G12" i="116" s="1"/>
  <c r="H17" i="116"/>
  <c r="I17" i="116" s="1"/>
  <c r="D31" i="116"/>
  <c r="G18" i="116"/>
  <c r="E13" i="116"/>
  <c r="G13" i="116" s="1"/>
  <c r="D26" i="116"/>
  <c r="G26" i="116"/>
  <c r="G35" i="116"/>
  <c r="D35" i="116"/>
  <c r="D23" i="116"/>
  <c r="E23" i="116"/>
  <c r="D30" i="116"/>
  <c r="G36" i="116"/>
  <c r="D36" i="116"/>
  <c r="G30" i="115"/>
  <c r="G25" i="115"/>
  <c r="G35" i="115"/>
  <c r="G13" i="115"/>
  <c r="G26" i="115"/>
  <c r="G36" i="115"/>
  <c r="H15" i="115"/>
  <c r="I15" i="115" s="1"/>
  <c r="G34" i="115"/>
  <c r="G12" i="115"/>
  <c r="D14" i="112"/>
  <c r="G13" i="112"/>
  <c r="G34" i="112"/>
  <c r="G30" i="112"/>
  <c r="G25" i="112"/>
  <c r="G35" i="112"/>
  <c r="H39" i="112"/>
  <c r="I39" i="112" s="1"/>
  <c r="G26" i="112"/>
  <c r="G36" i="112"/>
  <c r="H37" i="112"/>
  <c r="I37" i="112" s="1"/>
  <c r="H17" i="112"/>
  <c r="I17" i="112" s="1"/>
  <c r="H16" i="112"/>
  <c r="I16" i="112" s="1"/>
  <c r="G18" i="112"/>
  <c r="H22" i="112" l="1"/>
  <c r="I22" i="112" s="1"/>
  <c r="H18" i="115"/>
  <c r="I18" i="115" s="1"/>
  <c r="H30" i="190"/>
  <c r="I30" i="190" s="1"/>
  <c r="G32" i="190"/>
  <c r="H32" i="190" s="1"/>
  <c r="I32" i="190" s="1"/>
  <c r="G32" i="189"/>
  <c r="H32" i="189" s="1"/>
  <c r="I32" i="189" s="1"/>
  <c r="D32" i="187"/>
  <c r="H30" i="187"/>
  <c r="I30" i="187" s="1"/>
  <c r="G32" i="187"/>
  <c r="H30" i="186"/>
  <c r="I30" i="186" s="1"/>
  <c r="G32" i="186"/>
  <c r="H32" i="186" s="1"/>
  <c r="I32" i="186" s="1"/>
  <c r="G29" i="112"/>
  <c r="G31" i="112" s="1"/>
  <c r="D46" i="189"/>
  <c r="D41" i="189"/>
  <c r="D34" i="189"/>
  <c r="D33" i="189"/>
  <c r="G30" i="116"/>
  <c r="H30" i="116" s="1"/>
  <c r="I30" i="116" s="1"/>
  <c r="G32" i="188"/>
  <c r="H30" i="189"/>
  <c r="I30" i="189" s="1"/>
  <c r="D46" i="190"/>
  <c r="D49" i="190" s="1"/>
  <c r="D41" i="190"/>
  <c r="D33" i="190"/>
  <c r="D34" i="190"/>
  <c r="H23" i="136"/>
  <c r="I23" i="136" s="1"/>
  <c r="D24" i="138"/>
  <c r="H24" i="138" s="1"/>
  <c r="I24" i="138" s="1"/>
  <c r="H22" i="138"/>
  <c r="I22" i="138" s="1"/>
  <c r="G30" i="127"/>
  <c r="G31" i="116"/>
  <c r="H31" i="116" s="1"/>
  <c r="I31" i="116" s="1"/>
  <c r="G31" i="128"/>
  <c r="G32" i="128" s="1"/>
  <c r="G31" i="133"/>
  <c r="G32" i="133" s="1"/>
  <c r="H23" i="134"/>
  <c r="I23" i="134" s="1"/>
  <c r="G30" i="122"/>
  <c r="G32" i="122" s="1"/>
  <c r="G30" i="124"/>
  <c r="H30" i="124" s="1"/>
  <c r="I30" i="124" s="1"/>
  <c r="D24" i="135"/>
  <c r="H24" i="135" s="1"/>
  <c r="I24" i="135" s="1"/>
  <c r="D30" i="137"/>
  <c r="G30" i="125"/>
  <c r="H23" i="123"/>
  <c r="I23" i="123" s="1"/>
  <c r="H22" i="136"/>
  <c r="I22" i="136" s="1"/>
  <c r="D24" i="136"/>
  <c r="H24" i="136" s="1"/>
  <c r="I24" i="136" s="1"/>
  <c r="H22" i="134"/>
  <c r="I22" i="134" s="1"/>
  <c r="D24" i="134"/>
  <c r="D25" i="134" s="1"/>
  <c r="G31" i="131"/>
  <c r="H31" i="131" s="1"/>
  <c r="I31" i="131" s="1"/>
  <c r="G29" i="115"/>
  <c r="G31" i="115" s="1"/>
  <c r="D32" i="124"/>
  <c r="G30" i="126"/>
  <c r="G31" i="130"/>
  <c r="G32" i="130" s="1"/>
  <c r="D24" i="137"/>
  <c r="G30" i="123"/>
  <c r="G32" i="123" s="1"/>
  <c r="H22" i="135"/>
  <c r="I22" i="135" s="1"/>
  <c r="D28" i="131"/>
  <c r="D29" i="131"/>
  <c r="D14" i="128"/>
  <c r="D32" i="130"/>
  <c r="D14" i="131"/>
  <c r="D32" i="131"/>
  <c r="H13" i="137"/>
  <c r="I13" i="137" s="1"/>
  <c r="G15" i="137"/>
  <c r="H26" i="137"/>
  <c r="I26" i="137" s="1"/>
  <c r="G30" i="137"/>
  <c r="H28" i="137"/>
  <c r="I28" i="137" s="1"/>
  <c r="D30" i="136"/>
  <c r="H13" i="136"/>
  <c r="I13" i="136" s="1"/>
  <c r="G15" i="136"/>
  <c r="H28" i="136"/>
  <c r="I28" i="136" s="1"/>
  <c r="G30" i="136"/>
  <c r="H26" i="136"/>
  <c r="I26" i="136" s="1"/>
  <c r="D30" i="134"/>
  <c r="H28" i="134"/>
  <c r="I28" i="134" s="1"/>
  <c r="H27" i="134"/>
  <c r="I27" i="134" s="1"/>
  <c r="G30" i="134"/>
  <c r="H26" i="134"/>
  <c r="I26" i="134" s="1"/>
  <c r="G15" i="134"/>
  <c r="H13" i="134"/>
  <c r="I13" i="134" s="1"/>
  <c r="D39" i="133"/>
  <c r="D32" i="133"/>
  <c r="H18" i="133"/>
  <c r="I18" i="133" s="1"/>
  <c r="H27" i="133"/>
  <c r="I27" i="133" s="1"/>
  <c r="H30" i="133"/>
  <c r="I30" i="133" s="1"/>
  <c r="D14" i="133"/>
  <c r="H35" i="133"/>
  <c r="I35" i="133" s="1"/>
  <c r="G39" i="133"/>
  <c r="H13" i="133"/>
  <c r="I13" i="133" s="1"/>
  <c r="G14" i="133"/>
  <c r="H12" i="133"/>
  <c r="I12" i="133" s="1"/>
  <c r="H26" i="133"/>
  <c r="I26" i="133" s="1"/>
  <c r="H37" i="133"/>
  <c r="I37" i="133" s="1"/>
  <c r="H36" i="133"/>
  <c r="I36" i="133" s="1"/>
  <c r="D24" i="133"/>
  <c r="H27" i="131"/>
  <c r="I27" i="131" s="1"/>
  <c r="D39" i="131"/>
  <c r="H37" i="131"/>
  <c r="I37" i="131" s="1"/>
  <c r="H13" i="131"/>
  <c r="I13" i="131" s="1"/>
  <c r="H26" i="131"/>
  <c r="I26" i="131" s="1"/>
  <c r="H12" i="131"/>
  <c r="I12" i="131" s="1"/>
  <c r="G14" i="131"/>
  <c r="H36" i="131"/>
  <c r="I36" i="131" s="1"/>
  <c r="H35" i="131"/>
  <c r="I35" i="131" s="1"/>
  <c r="G39" i="131"/>
  <c r="H30" i="131"/>
  <c r="I30" i="131" s="1"/>
  <c r="H18" i="131"/>
  <c r="I18" i="131" s="1"/>
  <c r="H36" i="130"/>
  <c r="I36" i="130" s="1"/>
  <c r="H13" i="130"/>
  <c r="I13" i="130" s="1"/>
  <c r="H35" i="130"/>
  <c r="I35" i="130" s="1"/>
  <c r="G39" i="130"/>
  <c r="G14" i="130"/>
  <c r="H12" i="130"/>
  <c r="I12" i="130" s="1"/>
  <c r="H30" i="130"/>
  <c r="I30" i="130" s="1"/>
  <c r="H26" i="130"/>
  <c r="I26" i="130" s="1"/>
  <c r="H37" i="130"/>
  <c r="I37" i="130" s="1"/>
  <c r="D24" i="130"/>
  <c r="H18" i="130"/>
  <c r="I18" i="130" s="1"/>
  <c r="H27" i="130"/>
  <c r="I27" i="130" s="1"/>
  <c r="D39" i="130"/>
  <c r="D14" i="130"/>
  <c r="D24" i="128"/>
  <c r="D28" i="128" s="1"/>
  <c r="D32" i="128"/>
  <c r="D39" i="128"/>
  <c r="H37" i="128"/>
  <c r="I37" i="128" s="1"/>
  <c r="H13" i="128"/>
  <c r="I13" i="128" s="1"/>
  <c r="H27" i="128"/>
  <c r="I27" i="128" s="1"/>
  <c r="H36" i="128"/>
  <c r="I36" i="128" s="1"/>
  <c r="G14" i="128"/>
  <c r="H12" i="128"/>
  <c r="I12" i="128" s="1"/>
  <c r="H18" i="128"/>
  <c r="I18" i="128" s="1"/>
  <c r="H26" i="128"/>
  <c r="I26" i="128" s="1"/>
  <c r="H30" i="128"/>
  <c r="I30" i="128" s="1"/>
  <c r="H35" i="128"/>
  <c r="I35" i="128" s="1"/>
  <c r="G39" i="128"/>
  <c r="D14" i="127"/>
  <c r="H13" i="127"/>
  <c r="I13" i="127" s="1"/>
  <c r="H18" i="127"/>
  <c r="I18" i="127" s="1"/>
  <c r="G39" i="127"/>
  <c r="H12" i="127"/>
  <c r="I12" i="127" s="1"/>
  <c r="G14" i="127"/>
  <c r="H22" i="127"/>
  <c r="I22" i="127" s="1"/>
  <c r="H18" i="126"/>
  <c r="I18" i="126" s="1"/>
  <c r="H13" i="126"/>
  <c r="I13" i="126" s="1"/>
  <c r="D14" i="126"/>
  <c r="G39" i="126"/>
  <c r="H22" i="126"/>
  <c r="I22" i="126" s="1"/>
  <c r="H12" i="126"/>
  <c r="I12" i="126" s="1"/>
  <c r="G14" i="126"/>
  <c r="H13" i="125"/>
  <c r="I13" i="125" s="1"/>
  <c r="G39" i="125"/>
  <c r="H12" i="125"/>
  <c r="I12" i="125" s="1"/>
  <c r="G14" i="125"/>
  <c r="D14" i="125"/>
  <c r="H26" i="124"/>
  <c r="I26" i="124" s="1"/>
  <c r="H18" i="124"/>
  <c r="I18" i="124" s="1"/>
  <c r="H23" i="124"/>
  <c r="I23" i="124" s="1"/>
  <c r="H27" i="124"/>
  <c r="I27" i="124" s="1"/>
  <c r="D39" i="124"/>
  <c r="D14" i="124"/>
  <c r="H31" i="124"/>
  <c r="I31" i="124" s="1"/>
  <c r="H37" i="124"/>
  <c r="I37" i="124" s="1"/>
  <c r="H36" i="124"/>
  <c r="I36" i="124" s="1"/>
  <c r="H13" i="124"/>
  <c r="I13" i="124" s="1"/>
  <c r="H35" i="124"/>
  <c r="I35" i="124" s="1"/>
  <c r="G39" i="124"/>
  <c r="G14" i="124"/>
  <c r="H12" i="124"/>
  <c r="I12" i="124" s="1"/>
  <c r="H35" i="123"/>
  <c r="I35" i="123" s="1"/>
  <c r="G39" i="123"/>
  <c r="H27" i="123"/>
  <c r="I27" i="123" s="1"/>
  <c r="H37" i="123"/>
  <c r="I37" i="123" s="1"/>
  <c r="H12" i="123"/>
  <c r="I12" i="123" s="1"/>
  <c r="G14" i="123"/>
  <c r="H31" i="123"/>
  <c r="I31" i="123" s="1"/>
  <c r="D39" i="123"/>
  <c r="H36" i="123"/>
  <c r="I36" i="123" s="1"/>
  <c r="H26" i="123"/>
  <c r="I26" i="123" s="1"/>
  <c r="H13" i="123"/>
  <c r="I13" i="123" s="1"/>
  <c r="D14" i="123"/>
  <c r="D32" i="123"/>
  <c r="D39" i="122"/>
  <c r="H23" i="122"/>
  <c r="I23" i="122" s="1"/>
  <c r="H26" i="122"/>
  <c r="I26" i="122" s="1"/>
  <c r="D14" i="122"/>
  <c r="H31" i="122"/>
  <c r="I31" i="122" s="1"/>
  <c r="H18" i="122"/>
  <c r="I18" i="122" s="1"/>
  <c r="D32" i="122"/>
  <c r="H12" i="122"/>
  <c r="I12" i="122" s="1"/>
  <c r="G14" i="122"/>
  <c r="H37" i="122"/>
  <c r="I37" i="122" s="1"/>
  <c r="H27" i="122"/>
  <c r="I27" i="122" s="1"/>
  <c r="H36" i="122"/>
  <c r="I36" i="122" s="1"/>
  <c r="H13" i="122"/>
  <c r="I13" i="122" s="1"/>
  <c r="H35" i="122"/>
  <c r="I35" i="122" s="1"/>
  <c r="G39" i="122"/>
  <c r="G30" i="118"/>
  <c r="H30" i="118" s="1"/>
  <c r="I30" i="118" s="1"/>
  <c r="G14" i="112"/>
  <c r="H14" i="112" s="1"/>
  <c r="I14" i="112" s="1"/>
  <c r="G31" i="118"/>
  <c r="G23" i="121"/>
  <c r="H21" i="121"/>
  <c r="I21" i="121" s="1"/>
  <c r="H21" i="119"/>
  <c r="I21" i="119" s="1"/>
  <c r="G23" i="119"/>
  <c r="G29" i="121"/>
  <c r="H25" i="121"/>
  <c r="I25" i="121" s="1"/>
  <c r="H13" i="121"/>
  <c r="I13" i="121" s="1"/>
  <c r="G15" i="121"/>
  <c r="H13" i="119"/>
  <c r="I13" i="119" s="1"/>
  <c r="G15" i="119"/>
  <c r="D29" i="119"/>
  <c r="H27" i="119"/>
  <c r="I27" i="119" s="1"/>
  <c r="G29" i="119"/>
  <c r="H25" i="119"/>
  <c r="I25" i="119" s="1"/>
  <c r="H37" i="118"/>
  <c r="I37" i="118" s="1"/>
  <c r="D39" i="118"/>
  <c r="H27" i="118"/>
  <c r="I27" i="118" s="1"/>
  <c r="H36" i="118"/>
  <c r="I36" i="118" s="1"/>
  <c r="H13" i="118"/>
  <c r="I13" i="118" s="1"/>
  <c r="H35" i="118"/>
  <c r="I35" i="118" s="1"/>
  <c r="G39" i="118"/>
  <c r="H26" i="118"/>
  <c r="I26" i="118" s="1"/>
  <c r="D14" i="118"/>
  <c r="H18" i="118"/>
  <c r="I18" i="118" s="1"/>
  <c r="D32" i="118"/>
  <c r="I12" i="118"/>
  <c r="G14" i="118"/>
  <c r="H13" i="112"/>
  <c r="I13" i="112" s="1"/>
  <c r="D14" i="115"/>
  <c r="H36" i="116"/>
  <c r="I36" i="116" s="1"/>
  <c r="H27" i="116"/>
  <c r="I27" i="116" s="1"/>
  <c r="D39" i="116"/>
  <c r="H18" i="116"/>
  <c r="I18" i="116" s="1"/>
  <c r="D32" i="116"/>
  <c r="H35" i="116"/>
  <c r="I35" i="116" s="1"/>
  <c r="G39" i="116"/>
  <c r="H13" i="116"/>
  <c r="I13" i="116" s="1"/>
  <c r="D14" i="116"/>
  <c r="H26" i="116"/>
  <c r="I26" i="116" s="1"/>
  <c r="G14" i="116"/>
  <c r="H12" i="116"/>
  <c r="I12" i="116" s="1"/>
  <c r="H37" i="116"/>
  <c r="I37" i="116" s="1"/>
  <c r="G38" i="115"/>
  <c r="G14" i="115"/>
  <c r="H12" i="115"/>
  <c r="I12" i="115" s="1"/>
  <c r="H13" i="115"/>
  <c r="I13" i="115" s="1"/>
  <c r="H18" i="112"/>
  <c r="I18" i="112" s="1"/>
  <c r="G38" i="112"/>
  <c r="D42" i="189" l="1"/>
  <c r="D43" i="189" s="1"/>
  <c r="D44" i="189"/>
  <c r="D42" i="190"/>
  <c r="D43" i="190" s="1"/>
  <c r="D44" i="190"/>
  <c r="D47" i="189"/>
  <c r="D48" i="189" s="1"/>
  <c r="D49" i="189"/>
  <c r="H32" i="187"/>
  <c r="I32" i="187" s="1"/>
  <c r="D47" i="190"/>
  <c r="D48" i="190" s="1"/>
  <c r="D46" i="187"/>
  <c r="D41" i="187"/>
  <c r="D33" i="187"/>
  <c r="D34" i="187"/>
  <c r="D25" i="135"/>
  <c r="D25" i="138"/>
  <c r="H31" i="133"/>
  <c r="I31" i="133" s="1"/>
  <c r="G32" i="116"/>
  <c r="H32" i="116" s="1"/>
  <c r="I32" i="116" s="1"/>
  <c r="G32" i="127"/>
  <c r="H30" i="122"/>
  <c r="I30" i="122" s="1"/>
  <c r="H31" i="128"/>
  <c r="I31" i="128" s="1"/>
  <c r="G32" i="124"/>
  <c r="G32" i="126"/>
  <c r="D32" i="137"/>
  <c r="G32" i="125"/>
  <c r="D33" i="131"/>
  <c r="D41" i="131"/>
  <c r="H30" i="123"/>
  <c r="I30" i="123" s="1"/>
  <c r="D34" i="131"/>
  <c r="D32" i="136"/>
  <c r="D25" i="136"/>
  <c r="H24" i="134"/>
  <c r="I24" i="134" s="1"/>
  <c r="H31" i="130"/>
  <c r="I31" i="130" s="1"/>
  <c r="G32" i="118"/>
  <c r="G32" i="131"/>
  <c r="D25" i="137"/>
  <c r="H24" i="137"/>
  <c r="I24" i="137" s="1"/>
  <c r="D46" i="128"/>
  <c r="D32" i="134"/>
  <c r="D29" i="128"/>
  <c r="D34" i="128" s="1"/>
  <c r="H31" i="118"/>
  <c r="I31" i="118" s="1"/>
  <c r="H15" i="137"/>
  <c r="I15" i="137" s="1"/>
  <c r="H30" i="137"/>
  <c r="I30" i="137" s="1"/>
  <c r="H15" i="136"/>
  <c r="I15" i="136" s="1"/>
  <c r="H30" i="136"/>
  <c r="I30" i="136" s="1"/>
  <c r="H15" i="134"/>
  <c r="I15" i="134" s="1"/>
  <c r="H30" i="134"/>
  <c r="I30" i="134" s="1"/>
  <c r="D29" i="133"/>
  <c r="D34" i="133" s="1"/>
  <c r="D28" i="133"/>
  <c r="D33" i="133" s="1"/>
  <c r="D46" i="133"/>
  <c r="D49" i="133" s="1"/>
  <c r="D41" i="133"/>
  <c r="D44" i="133" s="1"/>
  <c r="H14" i="133"/>
  <c r="I14" i="133" s="1"/>
  <c r="H39" i="133"/>
  <c r="I39" i="133" s="1"/>
  <c r="H32" i="133"/>
  <c r="I32" i="133" s="1"/>
  <c r="H14" i="131"/>
  <c r="I14" i="131" s="1"/>
  <c r="H39" i="131"/>
  <c r="I39" i="131" s="1"/>
  <c r="D46" i="131"/>
  <c r="D49" i="131" s="1"/>
  <c r="D41" i="130"/>
  <c r="H32" i="130"/>
  <c r="I32" i="130" s="1"/>
  <c r="H14" i="130"/>
  <c r="I14" i="130" s="1"/>
  <c r="H39" i="130"/>
  <c r="I39" i="130" s="1"/>
  <c r="D29" i="130"/>
  <c r="D34" i="130" s="1"/>
  <c r="D28" i="130"/>
  <c r="D33" i="130" s="1"/>
  <c r="D46" i="130"/>
  <c r="D49" i="130" s="1"/>
  <c r="D41" i="128"/>
  <c r="D33" i="128"/>
  <c r="H32" i="128"/>
  <c r="I32" i="128" s="1"/>
  <c r="H14" i="128"/>
  <c r="I14" i="128" s="1"/>
  <c r="H39" i="128"/>
  <c r="I39" i="128" s="1"/>
  <c r="H14" i="127"/>
  <c r="I14" i="127" s="1"/>
  <c r="H14" i="126"/>
  <c r="I14" i="126" s="1"/>
  <c r="H14" i="125"/>
  <c r="I14" i="125" s="1"/>
  <c r="H14" i="124"/>
  <c r="I14" i="124" s="1"/>
  <c r="H39" i="124"/>
  <c r="I39" i="124" s="1"/>
  <c r="H14" i="123"/>
  <c r="I14" i="123" s="1"/>
  <c r="H32" i="123"/>
  <c r="I32" i="123" s="1"/>
  <c r="H39" i="123"/>
  <c r="I39" i="123" s="1"/>
  <c r="H39" i="122"/>
  <c r="I39" i="122" s="1"/>
  <c r="H32" i="122"/>
  <c r="I32" i="122" s="1"/>
  <c r="H14" i="122"/>
  <c r="I14" i="122" s="1"/>
  <c r="H23" i="119"/>
  <c r="I23" i="119" s="1"/>
  <c r="H23" i="121"/>
  <c r="I23" i="121" s="1"/>
  <c r="H29" i="121"/>
  <c r="I29" i="121" s="1"/>
  <c r="H15" i="121"/>
  <c r="I15" i="121" s="1"/>
  <c r="H29" i="119"/>
  <c r="I29" i="119" s="1"/>
  <c r="H15" i="119"/>
  <c r="I15" i="119" s="1"/>
  <c r="H14" i="118"/>
  <c r="I14" i="118" s="1"/>
  <c r="H39" i="118"/>
  <c r="I39" i="118" s="1"/>
  <c r="H14" i="116"/>
  <c r="I14" i="116" s="1"/>
  <c r="H39" i="116"/>
  <c r="I39" i="116" s="1"/>
  <c r="H14" i="115"/>
  <c r="I14" i="115" s="1"/>
  <c r="D45" i="189" l="1"/>
  <c r="D50" i="189"/>
  <c r="E25" i="179" s="1"/>
  <c r="D33" i="136"/>
  <c r="D34" i="136" s="1"/>
  <c r="D35" i="136"/>
  <c r="D36" i="136" s="1"/>
  <c r="E30" i="179" s="1"/>
  <c r="D33" i="137"/>
  <c r="D35" i="137"/>
  <c r="D42" i="187"/>
  <c r="D43" i="187" s="1"/>
  <c r="D44" i="187"/>
  <c r="D45" i="190"/>
  <c r="D47" i="128"/>
  <c r="D48" i="128" s="1"/>
  <c r="D49" i="128"/>
  <c r="D47" i="187"/>
  <c r="D48" i="187" s="1"/>
  <c r="D50" i="187" s="1"/>
  <c r="E21" i="179" s="1"/>
  <c r="D49" i="187"/>
  <c r="D42" i="128"/>
  <c r="D43" i="128" s="1"/>
  <c r="D44" i="128"/>
  <c r="D42" i="131"/>
  <c r="D43" i="131" s="1"/>
  <c r="D45" i="131" s="1"/>
  <c r="D44" i="131"/>
  <c r="D33" i="134"/>
  <c r="D34" i="134" s="1"/>
  <c r="D35" i="134"/>
  <c r="D42" i="130"/>
  <c r="D43" i="130" s="1"/>
  <c r="D45" i="130" s="1"/>
  <c r="D44" i="130"/>
  <c r="D50" i="190"/>
  <c r="E40" i="179" s="1"/>
  <c r="H32" i="124"/>
  <c r="I32" i="124" s="1"/>
  <c r="H32" i="131"/>
  <c r="I32" i="131" s="1"/>
  <c r="D34" i="137"/>
  <c r="H32" i="118"/>
  <c r="I32" i="118" s="1"/>
  <c r="D42" i="133"/>
  <c r="D43" i="133" s="1"/>
  <c r="D47" i="133"/>
  <c r="D48" i="133" s="1"/>
  <c r="D47" i="131"/>
  <c r="D47" i="130"/>
  <c r="D48" i="130" s="1"/>
  <c r="D36" i="134" l="1"/>
  <c r="E28" i="179" s="1"/>
  <c r="D50" i="128"/>
  <c r="E24" i="179" s="1"/>
  <c r="D45" i="187"/>
  <c r="D45" i="128"/>
  <c r="D36" i="137"/>
  <c r="E43" i="179" s="1"/>
  <c r="D45" i="133"/>
  <c r="D50" i="133"/>
  <c r="E42" i="179" s="1"/>
  <c r="D48" i="131"/>
  <c r="B22" i="3"/>
  <c r="B28" i="3"/>
  <c r="C6" i="112" l="1"/>
  <c r="C8" i="112" s="1"/>
  <c r="C6" i="185"/>
  <c r="C8" i="185" s="1"/>
  <c r="C6" i="115"/>
  <c r="C8" i="115" s="1"/>
  <c r="C6" i="113"/>
  <c r="C8" i="113" s="1"/>
  <c r="C6" i="126"/>
  <c r="C8" i="126" s="1"/>
  <c r="C6" i="188"/>
  <c r="C8" i="188" s="1"/>
  <c r="C6" i="125"/>
  <c r="C8" i="125" s="1"/>
  <c r="C6" i="127"/>
  <c r="C8" i="127" s="1"/>
  <c r="D50" i="131"/>
  <c r="E39" i="179" s="1"/>
  <c r="D50" i="130"/>
  <c r="E27" i="179" s="1"/>
  <c r="B35" i="113" l="1"/>
  <c r="B29" i="113"/>
  <c r="B36" i="113"/>
  <c r="B34" i="113"/>
  <c r="B26" i="113"/>
  <c r="B30" i="113"/>
  <c r="B25" i="113"/>
  <c r="B29" i="115"/>
  <c r="D29" i="115" s="1"/>
  <c r="B30" i="115"/>
  <c r="D30" i="115" s="1"/>
  <c r="H30" i="115" s="1"/>
  <c r="I30" i="115" s="1"/>
  <c r="B35" i="115"/>
  <c r="D35" i="115" s="1"/>
  <c r="H35" i="115" s="1"/>
  <c r="I35" i="115" s="1"/>
  <c r="B26" i="115"/>
  <c r="D26" i="115" s="1"/>
  <c r="B36" i="115"/>
  <c r="D36" i="115" s="1"/>
  <c r="H36" i="115" s="1"/>
  <c r="I36" i="115" s="1"/>
  <c r="B25" i="115"/>
  <c r="D25" i="115" s="1"/>
  <c r="B34" i="115"/>
  <c r="D34" i="115" s="1"/>
  <c r="B25" i="185"/>
  <c r="B26" i="185"/>
  <c r="B30" i="185"/>
  <c r="B35" i="185"/>
  <c r="B29" i="185"/>
  <c r="B34" i="185"/>
  <c r="B36" i="185"/>
  <c r="B29" i="112"/>
  <c r="D29" i="112" s="1"/>
  <c r="B35" i="112"/>
  <c r="D35" i="112" s="1"/>
  <c r="H35" i="112" s="1"/>
  <c r="I35" i="112" s="1"/>
  <c r="B36" i="112"/>
  <c r="D36" i="112" s="1"/>
  <c r="H36" i="112" s="1"/>
  <c r="I36" i="112" s="1"/>
  <c r="B25" i="112"/>
  <c r="D25" i="112" s="1"/>
  <c r="B26" i="112"/>
  <c r="D26" i="112" s="1"/>
  <c r="B34" i="112"/>
  <c r="D34" i="112" s="1"/>
  <c r="B30" i="112"/>
  <c r="D30" i="112" s="1"/>
  <c r="H30" i="112" s="1"/>
  <c r="I30" i="112" s="1"/>
  <c r="B31" i="125"/>
  <c r="D31" i="125" s="1"/>
  <c r="H31" i="125" s="1"/>
  <c r="I31" i="125" s="1"/>
  <c r="B30" i="125"/>
  <c r="D30" i="125" s="1"/>
  <c r="B26" i="125"/>
  <c r="D26" i="125" s="1"/>
  <c r="H26" i="125" s="1"/>
  <c r="I26" i="125" s="1"/>
  <c r="B27" i="125"/>
  <c r="D27" i="125" s="1"/>
  <c r="H27" i="125" s="1"/>
  <c r="I27" i="125" s="1"/>
  <c r="B37" i="125"/>
  <c r="D37" i="125" s="1"/>
  <c r="H37" i="125" s="1"/>
  <c r="I37" i="125" s="1"/>
  <c r="B36" i="125"/>
  <c r="D36" i="125" s="1"/>
  <c r="H36" i="125" s="1"/>
  <c r="I36" i="125" s="1"/>
  <c r="B35" i="125"/>
  <c r="D35" i="125" s="1"/>
  <c r="B26" i="188"/>
  <c r="D26" i="188" s="1"/>
  <c r="B27" i="188"/>
  <c r="D27" i="188" s="1"/>
  <c r="B36" i="188"/>
  <c r="D36" i="188" s="1"/>
  <c r="H36" i="188" s="1"/>
  <c r="I36" i="188" s="1"/>
  <c r="B30" i="188"/>
  <c r="D30" i="188" s="1"/>
  <c r="H30" i="188" s="1"/>
  <c r="I30" i="188" s="1"/>
  <c r="B37" i="188"/>
  <c r="D37" i="188" s="1"/>
  <c r="H37" i="188" s="1"/>
  <c r="I37" i="188" s="1"/>
  <c r="B35" i="188"/>
  <c r="D35" i="188" s="1"/>
  <c r="B31" i="188"/>
  <c r="D31" i="188" s="1"/>
  <c r="B30" i="127"/>
  <c r="D30" i="127" s="1"/>
  <c r="B31" i="127"/>
  <c r="D31" i="127" s="1"/>
  <c r="H31" i="127" s="1"/>
  <c r="I31" i="127" s="1"/>
  <c r="B37" i="127"/>
  <c r="D37" i="127" s="1"/>
  <c r="H37" i="127" s="1"/>
  <c r="I37" i="127" s="1"/>
  <c r="B26" i="127"/>
  <c r="D26" i="127" s="1"/>
  <c r="H26" i="127" s="1"/>
  <c r="I26" i="127" s="1"/>
  <c r="B36" i="127"/>
  <c r="D36" i="127" s="1"/>
  <c r="H36" i="127" s="1"/>
  <c r="I36" i="127" s="1"/>
  <c r="B35" i="127"/>
  <c r="D35" i="127" s="1"/>
  <c r="B27" i="127"/>
  <c r="D27" i="127" s="1"/>
  <c r="H27" i="127" s="1"/>
  <c r="I27" i="127" s="1"/>
  <c r="B30" i="126"/>
  <c r="D30" i="126" s="1"/>
  <c r="B26" i="126"/>
  <c r="D26" i="126" s="1"/>
  <c r="H26" i="126" s="1"/>
  <c r="I26" i="126" s="1"/>
  <c r="B31" i="126"/>
  <c r="D31" i="126" s="1"/>
  <c r="H31" i="126" s="1"/>
  <c r="I31" i="126" s="1"/>
  <c r="B27" i="126"/>
  <c r="D27" i="126" s="1"/>
  <c r="H27" i="126" s="1"/>
  <c r="I27" i="126" s="1"/>
  <c r="B37" i="126"/>
  <c r="D37" i="126" s="1"/>
  <c r="H37" i="126" s="1"/>
  <c r="I37" i="126" s="1"/>
  <c r="B36" i="126"/>
  <c r="D36" i="126" s="1"/>
  <c r="H36" i="126" s="1"/>
  <c r="I36" i="126" s="1"/>
  <c r="B35" i="126"/>
  <c r="D35" i="126" s="1"/>
  <c r="H25" i="115" l="1"/>
  <c r="I25" i="115" s="1"/>
  <c r="D27" i="115"/>
  <c r="D38" i="112"/>
  <c r="H38" i="112" s="1"/>
  <c r="I38" i="112" s="1"/>
  <c r="H34" i="112"/>
  <c r="I34" i="112" s="1"/>
  <c r="H26" i="112"/>
  <c r="I26" i="112" s="1"/>
  <c r="D28" i="112"/>
  <c r="H26" i="115"/>
  <c r="I26" i="115" s="1"/>
  <c r="D28" i="115"/>
  <c r="D31" i="115"/>
  <c r="H31" i="115" s="1"/>
  <c r="I31" i="115" s="1"/>
  <c r="H29" i="115"/>
  <c r="I29" i="115" s="1"/>
  <c r="D31" i="112"/>
  <c r="H31" i="112" s="1"/>
  <c r="I31" i="112" s="1"/>
  <c r="H29" i="112"/>
  <c r="I29" i="112" s="1"/>
  <c r="H34" i="115"/>
  <c r="I34" i="115" s="1"/>
  <c r="D38" i="115"/>
  <c r="H38" i="115" s="1"/>
  <c r="I38" i="115" s="1"/>
  <c r="D27" i="112"/>
  <c r="H25" i="112"/>
  <c r="I25" i="112" s="1"/>
  <c r="H26" i="188"/>
  <c r="I26" i="188" s="1"/>
  <c r="D28" i="188"/>
  <c r="D32" i="127"/>
  <c r="H32" i="127" s="1"/>
  <c r="I32" i="127" s="1"/>
  <c r="H30" i="127"/>
  <c r="I30" i="127" s="1"/>
  <c r="H35" i="188"/>
  <c r="I35" i="188" s="1"/>
  <c r="D39" i="188"/>
  <c r="H39" i="188" s="1"/>
  <c r="I39" i="188" s="1"/>
  <c r="D39" i="125"/>
  <c r="H39" i="125" s="1"/>
  <c r="I39" i="125" s="1"/>
  <c r="H35" i="125"/>
  <c r="I35" i="125" s="1"/>
  <c r="D32" i="126"/>
  <c r="H32" i="126" s="1"/>
  <c r="I32" i="126" s="1"/>
  <c r="H30" i="126"/>
  <c r="I30" i="126" s="1"/>
  <c r="D32" i="188"/>
  <c r="H32" i="188" s="1"/>
  <c r="I32" i="188" s="1"/>
  <c r="H31" i="188"/>
  <c r="I31" i="188" s="1"/>
  <c r="H35" i="127"/>
  <c r="I35" i="127" s="1"/>
  <c r="D39" i="127"/>
  <c r="H39" i="127" s="1"/>
  <c r="I39" i="127" s="1"/>
  <c r="D32" i="125"/>
  <c r="H32" i="125" s="1"/>
  <c r="I32" i="125" s="1"/>
  <c r="H30" i="125"/>
  <c r="I30" i="125" s="1"/>
  <c r="D39" i="126"/>
  <c r="H39" i="126" s="1"/>
  <c r="I39" i="126" s="1"/>
  <c r="H35" i="126"/>
  <c r="I35" i="126" s="1"/>
  <c r="H27" i="188"/>
  <c r="I27" i="188" s="1"/>
  <c r="D29" i="188"/>
  <c r="D32" i="112" l="1"/>
  <c r="D33" i="112"/>
  <c r="D40" i="112"/>
  <c r="D45" i="115"/>
  <c r="D40" i="115"/>
  <c r="D33" i="115"/>
  <c r="D32" i="115"/>
  <c r="D45" i="112"/>
  <c r="D34" i="188"/>
  <c r="D46" i="188"/>
  <c r="D41" i="188"/>
  <c r="D33" i="188"/>
  <c r="D41" i="115" l="1"/>
  <c r="D42" i="115" s="1"/>
  <c r="D43" i="115"/>
  <c r="D41" i="112"/>
  <c r="D42" i="112" s="1"/>
  <c r="D43" i="112"/>
  <c r="D46" i="112"/>
  <c r="D47" i="112" s="1"/>
  <c r="D48" i="112"/>
  <c r="D42" i="188"/>
  <c r="D43" i="188" s="1"/>
  <c r="D44" i="188"/>
  <c r="D47" i="188"/>
  <c r="D48" i="188" s="1"/>
  <c r="D49" i="188"/>
  <c r="D46" i="115"/>
  <c r="D47" i="115" s="1"/>
  <c r="D48" i="115"/>
  <c r="D49" i="115" l="1"/>
  <c r="E6" i="179" s="1"/>
  <c r="D44" i="112"/>
  <c r="D49" i="112"/>
  <c r="E3" i="179" s="1"/>
  <c r="D50" i="188"/>
  <c r="E36" i="179" s="1"/>
  <c r="D44" i="115"/>
  <c r="D45" i="188"/>
  <c r="F38" i="175"/>
  <c r="F36" i="175"/>
  <c r="F34" i="175"/>
  <c r="F32" i="175"/>
  <c r="E32" i="175"/>
  <c r="G32" i="175" s="1"/>
  <c r="D32" i="175"/>
  <c r="E18" i="175"/>
  <c r="E17" i="175"/>
  <c r="D17" i="175"/>
  <c r="E16" i="175"/>
  <c r="G16" i="175" s="1"/>
  <c r="D16" i="175"/>
  <c r="E15" i="175"/>
  <c r="F13" i="175"/>
  <c r="F12" i="175"/>
  <c r="B9" i="175"/>
  <c r="B7" i="175"/>
  <c r="B6" i="175"/>
  <c r="B5" i="175"/>
  <c r="F38" i="174"/>
  <c r="F36" i="174"/>
  <c r="F34" i="174"/>
  <c r="F32" i="174"/>
  <c r="E32" i="174"/>
  <c r="D32" i="174"/>
  <c r="E18" i="174"/>
  <c r="E17" i="174"/>
  <c r="D17" i="174"/>
  <c r="E16" i="174"/>
  <c r="G16" i="174" s="1"/>
  <c r="D16" i="174"/>
  <c r="E15" i="174"/>
  <c r="F13" i="174"/>
  <c r="F12" i="174"/>
  <c r="B9" i="174"/>
  <c r="B7" i="174"/>
  <c r="B6" i="174"/>
  <c r="B5" i="174"/>
  <c r="F37" i="173"/>
  <c r="F35" i="173"/>
  <c r="F33" i="173"/>
  <c r="F31" i="173"/>
  <c r="E31" i="173"/>
  <c r="G31" i="173" s="1"/>
  <c r="D31" i="173"/>
  <c r="B25" i="173"/>
  <c r="B24" i="173"/>
  <c r="E24" i="173" s="1"/>
  <c r="B21" i="173"/>
  <c r="E21" i="173" s="1"/>
  <c r="B20" i="173"/>
  <c r="E20" i="173" s="1"/>
  <c r="E19" i="173"/>
  <c r="E18" i="173"/>
  <c r="D18" i="173"/>
  <c r="E17" i="173"/>
  <c r="G17" i="173" s="1"/>
  <c r="D17" i="173"/>
  <c r="E16" i="173"/>
  <c r="F14" i="173"/>
  <c r="E14" i="173"/>
  <c r="G14" i="173" s="1"/>
  <c r="D14" i="173"/>
  <c r="F13" i="173"/>
  <c r="B8" i="173"/>
  <c r="B6" i="173"/>
  <c r="F37" i="172"/>
  <c r="F35" i="172"/>
  <c r="F33" i="172"/>
  <c r="F31" i="172"/>
  <c r="E31" i="172"/>
  <c r="D31" i="172"/>
  <c r="E25" i="172"/>
  <c r="B25" i="172"/>
  <c r="B24" i="172"/>
  <c r="E24" i="172" s="1"/>
  <c r="B21" i="172"/>
  <c r="E21" i="172" s="1"/>
  <c r="B20" i="172"/>
  <c r="E20" i="172" s="1"/>
  <c r="E19" i="172"/>
  <c r="E18" i="172"/>
  <c r="D18" i="172"/>
  <c r="E17" i="172"/>
  <c r="G17" i="172" s="1"/>
  <c r="D17" i="172"/>
  <c r="E16" i="172"/>
  <c r="F14" i="172"/>
  <c r="E14" i="172"/>
  <c r="D14" i="172"/>
  <c r="F13" i="172"/>
  <c r="B8" i="172"/>
  <c r="B6" i="172"/>
  <c r="F35" i="171"/>
  <c r="F33" i="171"/>
  <c r="F31" i="171"/>
  <c r="E31" i="171"/>
  <c r="D31" i="171"/>
  <c r="B25" i="171"/>
  <c r="E25" i="171" s="1"/>
  <c r="B24" i="171"/>
  <c r="B21" i="171"/>
  <c r="B20" i="171"/>
  <c r="E19" i="171"/>
  <c r="E18" i="171"/>
  <c r="D18" i="171"/>
  <c r="E17" i="171"/>
  <c r="G17" i="171" s="1"/>
  <c r="D17" i="171"/>
  <c r="E16" i="171"/>
  <c r="F14" i="171"/>
  <c r="E14" i="171"/>
  <c r="D14" i="171"/>
  <c r="F13" i="171"/>
  <c r="B8" i="171"/>
  <c r="B6" i="171"/>
  <c r="F31" i="170"/>
  <c r="E31" i="170"/>
  <c r="G31" i="170" s="1"/>
  <c r="D31" i="170"/>
  <c r="B25" i="170"/>
  <c r="B24" i="170"/>
  <c r="E24" i="170" s="1"/>
  <c r="B21" i="170"/>
  <c r="E21" i="170" s="1"/>
  <c r="B20" i="170"/>
  <c r="E20" i="170" s="1"/>
  <c r="E19" i="170"/>
  <c r="E18" i="170"/>
  <c r="D18" i="170"/>
  <c r="E17" i="170"/>
  <c r="G17" i="170" s="1"/>
  <c r="D17" i="170"/>
  <c r="E16" i="170"/>
  <c r="F14" i="170"/>
  <c r="E14" i="170"/>
  <c r="G14" i="170" s="1"/>
  <c r="D14" i="170"/>
  <c r="F13" i="170"/>
  <c r="B8" i="170"/>
  <c r="B6" i="170"/>
  <c r="F38" i="169"/>
  <c r="F36" i="169"/>
  <c r="F34" i="169"/>
  <c r="F32" i="169"/>
  <c r="E32" i="169"/>
  <c r="D32" i="169"/>
  <c r="E18" i="169"/>
  <c r="C18" i="169"/>
  <c r="D18" i="169" s="1"/>
  <c r="E17" i="169"/>
  <c r="D17" i="169"/>
  <c r="E16" i="169"/>
  <c r="G16" i="169" s="1"/>
  <c r="D16" i="169"/>
  <c r="E15" i="169"/>
  <c r="F13" i="169"/>
  <c r="F12" i="169"/>
  <c r="B9" i="169"/>
  <c r="B7" i="169"/>
  <c r="B6" i="169"/>
  <c r="B5" i="169"/>
  <c r="F50" i="168"/>
  <c r="F48" i="168"/>
  <c r="F45" i="168"/>
  <c r="F43" i="168"/>
  <c r="F41" i="168"/>
  <c r="F39" i="168"/>
  <c r="E39" i="168"/>
  <c r="G39" i="168" s="1"/>
  <c r="D39" i="168"/>
  <c r="C28" i="168"/>
  <c r="F28" i="168" s="1"/>
  <c r="F26" i="168"/>
  <c r="G26" i="168" s="1"/>
  <c r="C26" i="168"/>
  <c r="D26" i="168" s="1"/>
  <c r="E22" i="168"/>
  <c r="E21" i="168"/>
  <c r="D21" i="168"/>
  <c r="E20" i="168"/>
  <c r="G20" i="168" s="1"/>
  <c r="D20" i="168"/>
  <c r="E19" i="168"/>
  <c r="F17" i="168"/>
  <c r="F16" i="168"/>
  <c r="F15" i="168"/>
  <c r="F13" i="168"/>
  <c r="F12" i="168"/>
  <c r="B9" i="168"/>
  <c r="B7" i="168"/>
  <c r="B6" i="168"/>
  <c r="B5" i="168"/>
  <c r="G32" i="169" l="1"/>
  <c r="G32" i="174"/>
  <c r="H32" i="174" s="1"/>
  <c r="I32" i="174" s="1"/>
  <c r="G18" i="173"/>
  <c r="H18" i="173" s="1"/>
  <c r="I18" i="173" s="1"/>
  <c r="G31" i="172"/>
  <c r="G14" i="172"/>
  <c r="G18" i="171"/>
  <c r="H18" i="171" s="1"/>
  <c r="I18" i="171" s="1"/>
  <c r="G14" i="171"/>
  <c r="H14" i="171" s="1"/>
  <c r="I14" i="171" s="1"/>
  <c r="G31" i="171"/>
  <c r="H31" i="171" s="1"/>
  <c r="I31" i="171" s="1"/>
  <c r="G18" i="170"/>
  <c r="H18" i="170" s="1"/>
  <c r="I18" i="170" s="1"/>
  <c r="G18" i="172"/>
  <c r="H18" i="172" s="1"/>
  <c r="I18" i="172" s="1"/>
  <c r="H16" i="175"/>
  <c r="I16" i="175" s="1"/>
  <c r="G17" i="169"/>
  <c r="H17" i="169" s="1"/>
  <c r="I17" i="169" s="1"/>
  <c r="G21" i="168"/>
  <c r="H21" i="168" s="1"/>
  <c r="I21" i="168" s="1"/>
  <c r="G17" i="174"/>
  <c r="H17" i="174" s="1"/>
  <c r="I17" i="174" s="1"/>
  <c r="G17" i="175"/>
  <c r="H17" i="175" s="1"/>
  <c r="I17" i="175" s="1"/>
  <c r="H32" i="175"/>
  <c r="I32" i="175" s="1"/>
  <c r="H16" i="174"/>
  <c r="I16" i="174" s="1"/>
  <c r="E21" i="171"/>
  <c r="E25" i="170"/>
  <c r="E25" i="173"/>
  <c r="H14" i="173"/>
  <c r="I14" i="173" s="1"/>
  <c r="H17" i="173"/>
  <c r="I17" i="173" s="1"/>
  <c r="H31" i="173"/>
  <c r="I31" i="173" s="1"/>
  <c r="H14" i="172"/>
  <c r="I14" i="172" s="1"/>
  <c r="H17" i="172"/>
  <c r="I17" i="172" s="1"/>
  <c r="H31" i="172"/>
  <c r="I31" i="172" s="1"/>
  <c r="H17" i="171"/>
  <c r="I17" i="171" s="1"/>
  <c r="E24" i="171"/>
  <c r="E20" i="171"/>
  <c r="H14" i="170"/>
  <c r="I14" i="170" s="1"/>
  <c r="H31" i="170"/>
  <c r="I31" i="170" s="1"/>
  <c r="H17" i="170"/>
  <c r="I17" i="170" s="1"/>
  <c r="H16" i="169"/>
  <c r="I16" i="169" s="1"/>
  <c r="H32" i="169"/>
  <c r="I32" i="169" s="1"/>
  <c r="H39" i="168"/>
  <c r="I39" i="168" s="1"/>
  <c r="H20" i="168"/>
  <c r="I20" i="168" s="1"/>
  <c r="H26" i="168"/>
  <c r="I26" i="168" s="1"/>
  <c r="C24" i="182"/>
  <c r="C24" i="181"/>
  <c r="C24" i="168"/>
  <c r="C24" i="184"/>
  <c r="C24" i="183"/>
  <c r="C20" i="169"/>
  <c r="C20" i="174"/>
  <c r="C21" i="171"/>
  <c r="D21" i="171" s="1"/>
  <c r="C21" i="170"/>
  <c r="D21" i="170" s="1"/>
  <c r="C21" i="172"/>
  <c r="D21" i="172" s="1"/>
  <c r="C24" i="180"/>
  <c r="F25" i="172"/>
  <c r="G25" i="172" s="1"/>
  <c r="F24" i="172"/>
  <c r="G24" i="172" s="1"/>
  <c r="F21" i="172"/>
  <c r="G21" i="172" s="1"/>
  <c r="C19" i="172"/>
  <c r="D19" i="172" s="1"/>
  <c r="F25" i="170"/>
  <c r="F24" i="170"/>
  <c r="G24" i="170" s="1"/>
  <c r="F21" i="170"/>
  <c r="G21" i="170" s="1"/>
  <c r="C19" i="170"/>
  <c r="D19" i="170" s="1"/>
  <c r="F25" i="171"/>
  <c r="G25" i="171" s="1"/>
  <c r="F24" i="171"/>
  <c r="F21" i="171"/>
  <c r="C19" i="171"/>
  <c r="D19" i="171" s="1"/>
  <c r="C18" i="175"/>
  <c r="D18" i="175" s="1"/>
  <c r="C18" i="174"/>
  <c r="D18" i="174" s="1"/>
  <c r="F32" i="183"/>
  <c r="F31" i="183"/>
  <c r="C22" i="183"/>
  <c r="D22" i="183" s="1"/>
  <c r="F32" i="184"/>
  <c r="F31" i="184"/>
  <c r="C22" i="184"/>
  <c r="D22" i="184" s="1"/>
  <c r="F32" i="168"/>
  <c r="F31" i="168"/>
  <c r="C22" i="168"/>
  <c r="D22" i="168" s="1"/>
  <c r="F32" i="181"/>
  <c r="F31" i="181"/>
  <c r="C22" i="181"/>
  <c r="D22" i="181" s="1"/>
  <c r="F32" i="182"/>
  <c r="F31" i="182"/>
  <c r="C22" i="182"/>
  <c r="D22" i="182" s="1"/>
  <c r="F32" i="180"/>
  <c r="F31" i="180"/>
  <c r="C22" i="180"/>
  <c r="D22" i="180" s="1"/>
  <c r="D23" i="141" l="1"/>
  <c r="G24" i="144"/>
  <c r="G25" i="157"/>
  <c r="G25" i="154"/>
  <c r="G24" i="141"/>
  <c r="F24" i="146"/>
  <c r="G24" i="146" s="1"/>
  <c r="F24" i="199"/>
  <c r="F24" i="148"/>
  <c r="G24" i="148" s="1"/>
  <c r="D17" i="157"/>
  <c r="D17" i="144"/>
  <c r="D21" i="144" s="1"/>
  <c r="D23" i="144" s="1"/>
  <c r="G25" i="144"/>
  <c r="G26" i="157"/>
  <c r="G26" i="154"/>
  <c r="G25" i="141"/>
  <c r="F25" i="199"/>
  <c r="F25" i="148"/>
  <c r="G25" i="148" s="1"/>
  <c r="F25" i="146"/>
  <c r="G25" i="146" s="1"/>
  <c r="F21" i="199"/>
  <c r="F21" i="146"/>
  <c r="G21" i="146" s="1"/>
  <c r="H21" i="146" s="1"/>
  <c r="I21" i="146" s="1"/>
  <c r="F21" i="148"/>
  <c r="G21" i="148" s="1"/>
  <c r="H21" i="148" s="1"/>
  <c r="I21" i="148" s="1"/>
  <c r="D17" i="160"/>
  <c r="D22" i="160" s="1"/>
  <c r="F25" i="175"/>
  <c r="F26" i="175"/>
  <c r="C20" i="175"/>
  <c r="F24" i="173"/>
  <c r="G24" i="173" s="1"/>
  <c r="C19" i="173"/>
  <c r="D19" i="173" s="1"/>
  <c r="F25" i="173"/>
  <c r="G25" i="173" s="1"/>
  <c r="F21" i="173"/>
  <c r="G21" i="173" s="1"/>
  <c r="C21" i="173"/>
  <c r="D21" i="173" s="1"/>
  <c r="G26" i="172"/>
  <c r="H21" i="172"/>
  <c r="I21" i="172" s="1"/>
  <c r="H21" i="170"/>
  <c r="I21" i="170" s="1"/>
  <c r="X10" i="3"/>
  <c r="F25" i="169"/>
  <c r="Y10" i="3"/>
  <c r="F26" i="169"/>
  <c r="G21" i="171"/>
  <c r="H21" i="171" s="1"/>
  <c r="I21" i="171" s="1"/>
  <c r="G24" i="171"/>
  <c r="G26" i="171" s="1"/>
  <c r="G25" i="170"/>
  <c r="D22" i="157" l="1"/>
  <c r="D24" i="157" s="1"/>
  <c r="F26" i="197"/>
  <c r="G26" i="197" s="1"/>
  <c r="F26" i="198"/>
  <c r="G26" i="198" s="1"/>
  <c r="F25" i="197"/>
  <c r="G25" i="197" s="1"/>
  <c r="F25" i="198"/>
  <c r="G25" i="198" s="1"/>
  <c r="G26" i="173"/>
  <c r="G26" i="146"/>
  <c r="G27" i="154"/>
  <c r="G26" i="144"/>
  <c r="G26" i="148"/>
  <c r="G26" i="141"/>
  <c r="G27" i="157"/>
  <c r="F26" i="174"/>
  <c r="F25" i="174"/>
  <c r="H21" i="173"/>
  <c r="I21" i="173" s="1"/>
  <c r="G26" i="170"/>
  <c r="G27" i="198" l="1"/>
  <c r="G27" i="197"/>
  <c r="F43" i="60" l="1"/>
  <c r="F45" i="60"/>
  <c r="F48" i="60"/>
  <c r="C28" i="59" l="1"/>
  <c r="C28" i="58"/>
  <c r="C28" i="57"/>
  <c r="C28" i="62"/>
  <c r="C28" i="61"/>
  <c r="C28" i="60"/>
  <c r="C28" i="56"/>
  <c r="C28" i="104"/>
  <c r="C28" i="54"/>
  <c r="C28" i="53"/>
  <c r="C28" i="52"/>
  <c r="C28" i="51"/>
  <c r="C28" i="50"/>
  <c r="C28" i="49"/>
  <c r="C28" i="48"/>
  <c r="C28" i="47"/>
  <c r="C28" i="46"/>
  <c r="C28" i="4"/>
  <c r="B16" i="59" l="1"/>
  <c r="B15" i="59"/>
  <c r="B16" i="58"/>
  <c r="B15" i="58"/>
  <c r="B16" i="57"/>
  <c r="B15" i="57"/>
  <c r="B16" i="62"/>
  <c r="B15" i="62"/>
  <c r="B16" i="61"/>
  <c r="B15" i="61"/>
  <c r="B16" i="60"/>
  <c r="B15" i="60"/>
  <c r="B16" i="56"/>
  <c r="B15" i="56"/>
  <c r="B16" i="104"/>
  <c r="B15" i="104"/>
  <c r="B16" i="54"/>
  <c r="B15" i="54"/>
  <c r="B16" i="53"/>
  <c r="B15" i="53"/>
  <c r="B16" i="52"/>
  <c r="B15" i="52"/>
  <c r="B16" i="51"/>
  <c r="B15" i="51"/>
  <c r="B16" i="50"/>
  <c r="B15" i="50"/>
  <c r="B16" i="49"/>
  <c r="B15" i="49"/>
  <c r="B16" i="48"/>
  <c r="B15" i="48"/>
  <c r="B16" i="47"/>
  <c r="B15" i="47"/>
  <c r="B16" i="46"/>
  <c r="B15" i="46"/>
  <c r="B16" i="4"/>
  <c r="B15" i="4"/>
  <c r="F50" i="59" l="1"/>
  <c r="F45" i="59"/>
  <c r="F50" i="62"/>
  <c r="F45" i="62"/>
  <c r="F50" i="4" l="1"/>
  <c r="F50" i="58"/>
  <c r="F50" i="57"/>
  <c r="F50" i="61"/>
  <c r="F50" i="60"/>
  <c r="F50" i="56"/>
  <c r="F50" i="104"/>
  <c r="F50" i="54"/>
  <c r="F50" i="53"/>
  <c r="F50" i="52"/>
  <c r="F50" i="51"/>
  <c r="F50" i="50"/>
  <c r="F50" i="49"/>
  <c r="F50" i="48"/>
  <c r="F50" i="47"/>
  <c r="F50" i="46"/>
  <c r="C15" i="7" l="1"/>
  <c r="F48" i="104" l="1"/>
  <c r="F45" i="104"/>
  <c r="F43" i="104"/>
  <c r="F41" i="104"/>
  <c r="B41" i="104"/>
  <c r="D41" i="104" s="1"/>
  <c r="F39" i="104"/>
  <c r="E39" i="104"/>
  <c r="G39" i="104" s="1"/>
  <c r="D39" i="104"/>
  <c r="F28" i="104"/>
  <c r="F26" i="104"/>
  <c r="G26" i="104" s="1"/>
  <c r="C26" i="104"/>
  <c r="D26" i="104" s="1"/>
  <c r="E22" i="104"/>
  <c r="E21" i="104"/>
  <c r="D21" i="104"/>
  <c r="E20" i="104"/>
  <c r="G20" i="104" s="1"/>
  <c r="D20" i="104"/>
  <c r="E19" i="104"/>
  <c r="F17" i="104"/>
  <c r="B17" i="104"/>
  <c r="D17" i="104" s="1"/>
  <c r="F16" i="104"/>
  <c r="D16" i="104"/>
  <c r="F15" i="104"/>
  <c r="D15" i="104"/>
  <c r="F13" i="104"/>
  <c r="F12" i="104"/>
  <c r="B9" i="104"/>
  <c r="B7" i="104"/>
  <c r="B6" i="104"/>
  <c r="B8" i="104" s="1"/>
  <c r="B38" i="104" s="1"/>
  <c r="B5" i="104"/>
  <c r="G21" i="104" l="1"/>
  <c r="H21" i="104" s="1"/>
  <c r="I21" i="104" s="1"/>
  <c r="E41" i="104"/>
  <c r="G41" i="104" s="1"/>
  <c r="D18" i="104"/>
  <c r="E38" i="104"/>
  <c r="G38" i="104" s="1"/>
  <c r="D38" i="104"/>
  <c r="H41" i="104"/>
  <c r="I41" i="104" s="1"/>
  <c r="B13" i="104"/>
  <c r="B12" i="104"/>
  <c r="H39" i="104"/>
  <c r="I39" i="104" s="1"/>
  <c r="E15" i="104"/>
  <c r="G15" i="104" s="1"/>
  <c r="E16" i="104"/>
  <c r="G16" i="104" s="1"/>
  <c r="H26" i="104"/>
  <c r="I26" i="104" s="1"/>
  <c r="B37" i="104"/>
  <c r="B36" i="104"/>
  <c r="B32" i="104"/>
  <c r="B28" i="104"/>
  <c r="B31" i="104"/>
  <c r="B27" i="104"/>
  <c r="E17" i="104"/>
  <c r="G17" i="104" s="1"/>
  <c r="H20" i="104"/>
  <c r="I20" i="104" s="1"/>
  <c r="B24" i="104"/>
  <c r="B23" i="104"/>
  <c r="C27" i="104"/>
  <c r="F27" i="104" s="1"/>
  <c r="H38" i="104" l="1"/>
  <c r="I38" i="104" s="1"/>
  <c r="H17" i="104"/>
  <c r="I17" i="104" s="1"/>
  <c r="E32" i="104"/>
  <c r="E12" i="104"/>
  <c r="G12" i="104" s="1"/>
  <c r="D12" i="104"/>
  <c r="D27" i="104"/>
  <c r="E27" i="104"/>
  <c r="G27" i="104" s="1"/>
  <c r="E36" i="104"/>
  <c r="G36" i="104" s="1"/>
  <c r="D36" i="104"/>
  <c r="G18" i="104"/>
  <c r="H15" i="104"/>
  <c r="I15" i="104" s="1"/>
  <c r="E13" i="104"/>
  <c r="G13" i="104" s="1"/>
  <c r="D13" i="104"/>
  <c r="E23" i="104"/>
  <c r="E31" i="104"/>
  <c r="E37" i="104"/>
  <c r="G37" i="104" s="1"/>
  <c r="D37" i="104"/>
  <c r="E24" i="104"/>
  <c r="D28" i="104"/>
  <c r="E28" i="104"/>
  <c r="G28" i="104" s="1"/>
  <c r="H16" i="104"/>
  <c r="I16" i="104" s="1"/>
  <c r="D40" i="104" l="1"/>
  <c r="H18" i="104"/>
  <c r="I18" i="104" s="1"/>
  <c r="H27" i="104"/>
  <c r="I27" i="104" s="1"/>
  <c r="H13" i="104"/>
  <c r="I13" i="104" s="1"/>
  <c r="D14" i="104"/>
  <c r="H28" i="104"/>
  <c r="I28" i="104" s="1"/>
  <c r="H36" i="104"/>
  <c r="I36" i="104" s="1"/>
  <c r="G40" i="104"/>
  <c r="H12" i="104"/>
  <c r="I12" i="104" s="1"/>
  <c r="G14" i="104"/>
  <c r="H37" i="104"/>
  <c r="I37" i="104" s="1"/>
  <c r="F32" i="104"/>
  <c r="G32" i="104" s="1"/>
  <c r="F31" i="104"/>
  <c r="G31" i="104" s="1"/>
  <c r="G33" i="104" l="1"/>
  <c r="H40" i="104"/>
  <c r="I40" i="104" s="1"/>
  <c r="H14" i="104"/>
  <c r="I14" i="104" s="1"/>
  <c r="C18" i="64" l="1"/>
  <c r="B17" i="62" l="1"/>
  <c r="B17" i="61"/>
  <c r="B17" i="60"/>
  <c r="B17" i="59"/>
  <c r="B17" i="58"/>
  <c r="B17" i="57"/>
  <c r="B17" i="56"/>
  <c r="B17" i="54"/>
  <c r="B17" i="53"/>
  <c r="B17" i="52"/>
  <c r="B17" i="51"/>
  <c r="B17" i="50"/>
  <c r="B17" i="49"/>
  <c r="B17" i="48"/>
  <c r="B17" i="47"/>
  <c r="B17" i="46"/>
  <c r="B17" i="4"/>
  <c r="D46" i="7" l="1"/>
  <c r="D44" i="7"/>
  <c r="C46" i="7"/>
  <c r="C44" i="7"/>
  <c r="D43" i="7"/>
  <c r="D41" i="7"/>
  <c r="C43" i="7"/>
  <c r="C41" i="7"/>
  <c r="C40" i="7"/>
  <c r="C38" i="7"/>
  <c r="C37" i="7"/>
  <c r="C35" i="7"/>
  <c r="C34" i="7"/>
  <c r="C32" i="7"/>
  <c r="D31" i="7"/>
  <c r="D29" i="7"/>
  <c r="C31" i="7"/>
  <c r="C29" i="7"/>
  <c r="D28" i="7"/>
  <c r="C28" i="7"/>
  <c r="D26" i="7"/>
  <c r="C26" i="7"/>
  <c r="C25" i="7"/>
  <c r="C22" i="7"/>
  <c r="C21" i="7"/>
  <c r="C19" i="7"/>
  <c r="C18" i="7"/>
  <c r="C17" i="7"/>
  <c r="C14" i="7"/>
  <c r="C13" i="7"/>
  <c r="C11" i="7"/>
  <c r="C10" i="7"/>
  <c r="C9" i="7"/>
  <c r="C7" i="7"/>
  <c r="C6" i="7"/>
  <c r="C5" i="7"/>
  <c r="C3" i="7"/>
  <c r="C2" i="7"/>
  <c r="F33" i="81" l="1"/>
  <c r="F31" i="81"/>
  <c r="E31" i="81"/>
  <c r="G31" i="81" s="1"/>
  <c r="D31" i="81"/>
  <c r="E19" i="81"/>
  <c r="E18" i="81"/>
  <c r="E17" i="81"/>
  <c r="G17" i="81" s="1"/>
  <c r="D17" i="81"/>
  <c r="E16" i="81"/>
  <c r="F33" i="79"/>
  <c r="F31" i="79"/>
  <c r="E31" i="79"/>
  <c r="D31" i="79"/>
  <c r="E19" i="79"/>
  <c r="E18" i="79"/>
  <c r="E17" i="79"/>
  <c r="G17" i="79" s="1"/>
  <c r="D17" i="79"/>
  <c r="E16" i="79"/>
  <c r="F33" i="78"/>
  <c r="F31" i="78"/>
  <c r="E31" i="78"/>
  <c r="G31" i="78" s="1"/>
  <c r="D31" i="78"/>
  <c r="E19" i="78"/>
  <c r="E18" i="78"/>
  <c r="E17" i="78"/>
  <c r="G17" i="78" s="1"/>
  <c r="D17" i="78"/>
  <c r="E16" i="78"/>
  <c r="F33" i="76"/>
  <c r="F31" i="76"/>
  <c r="E31" i="76"/>
  <c r="G31" i="76" s="1"/>
  <c r="D31" i="76"/>
  <c r="E19" i="76"/>
  <c r="E18" i="76"/>
  <c r="E17" i="76"/>
  <c r="G17" i="76" s="1"/>
  <c r="D17" i="76"/>
  <c r="E16" i="76"/>
  <c r="F31" i="75"/>
  <c r="E31" i="75"/>
  <c r="D31" i="75"/>
  <c r="E19" i="75"/>
  <c r="E18" i="75"/>
  <c r="E17" i="75"/>
  <c r="G17" i="75" s="1"/>
  <c r="D17" i="75"/>
  <c r="E16" i="75"/>
  <c r="F33" i="73"/>
  <c r="F31" i="73"/>
  <c r="E31" i="73"/>
  <c r="D31" i="73"/>
  <c r="E19" i="73"/>
  <c r="E18" i="73"/>
  <c r="E17" i="73"/>
  <c r="G17" i="73" s="1"/>
  <c r="D17" i="73"/>
  <c r="E16" i="73"/>
  <c r="F31" i="72"/>
  <c r="E31" i="72"/>
  <c r="D31" i="72"/>
  <c r="E19" i="72"/>
  <c r="E18" i="72"/>
  <c r="E17" i="72"/>
  <c r="G17" i="72" s="1"/>
  <c r="D17" i="72"/>
  <c r="E16" i="72"/>
  <c r="F33" i="5"/>
  <c r="F31" i="5"/>
  <c r="E31" i="5"/>
  <c r="G31" i="5" s="1"/>
  <c r="D31" i="5"/>
  <c r="E19" i="5"/>
  <c r="E18" i="5"/>
  <c r="E17" i="5"/>
  <c r="G17" i="5" s="1"/>
  <c r="D17" i="5"/>
  <c r="E16" i="5"/>
  <c r="F34" i="70"/>
  <c r="F32" i="70"/>
  <c r="E32" i="70"/>
  <c r="G32" i="70" s="1"/>
  <c r="D32" i="70"/>
  <c r="E18" i="70"/>
  <c r="E17" i="70"/>
  <c r="E16" i="70"/>
  <c r="G16" i="70" s="1"/>
  <c r="D16" i="70"/>
  <c r="E15" i="70"/>
  <c r="F34" i="68"/>
  <c r="F32" i="68"/>
  <c r="E32" i="68"/>
  <c r="G32" i="68" s="1"/>
  <c r="D32" i="68"/>
  <c r="E18" i="68"/>
  <c r="E17" i="68"/>
  <c r="E16" i="68"/>
  <c r="G16" i="68" s="1"/>
  <c r="D16" i="68"/>
  <c r="E15" i="68"/>
  <c r="F34" i="67"/>
  <c r="F32" i="67"/>
  <c r="E32" i="67"/>
  <c r="G32" i="67" s="1"/>
  <c r="D32" i="67"/>
  <c r="E18" i="67"/>
  <c r="E17" i="67"/>
  <c r="E16" i="67"/>
  <c r="G16" i="67" s="1"/>
  <c r="D16" i="67"/>
  <c r="E15" i="67"/>
  <c r="F34" i="65"/>
  <c r="F32" i="65"/>
  <c r="E32" i="65"/>
  <c r="D32" i="65"/>
  <c r="E18" i="65"/>
  <c r="E17" i="65"/>
  <c r="E16" i="65"/>
  <c r="G16" i="65" s="1"/>
  <c r="D16" i="65"/>
  <c r="E15" i="65"/>
  <c r="F34" i="64"/>
  <c r="F32" i="64"/>
  <c r="E32" i="64"/>
  <c r="D32" i="64"/>
  <c r="E18" i="64"/>
  <c r="E17" i="64"/>
  <c r="E16" i="64"/>
  <c r="G16" i="64" s="1"/>
  <c r="D16" i="64"/>
  <c r="E15" i="64"/>
  <c r="F41" i="62"/>
  <c r="F39" i="62"/>
  <c r="E39" i="62"/>
  <c r="G39" i="62" s="1"/>
  <c r="D39" i="62"/>
  <c r="F28" i="62"/>
  <c r="F26" i="62"/>
  <c r="G26" i="62" s="1"/>
  <c r="C26" i="62"/>
  <c r="D26" i="62" s="1"/>
  <c r="E22" i="62"/>
  <c r="E21" i="62"/>
  <c r="E20" i="62"/>
  <c r="G20" i="62" s="1"/>
  <c r="D20" i="62"/>
  <c r="E19" i="62"/>
  <c r="F41" i="61"/>
  <c r="F39" i="61"/>
  <c r="E39" i="61"/>
  <c r="G39" i="61" s="1"/>
  <c r="D39" i="61"/>
  <c r="F28" i="61"/>
  <c r="F26" i="61"/>
  <c r="G26" i="61" s="1"/>
  <c r="C26" i="61"/>
  <c r="D26" i="61" s="1"/>
  <c r="E22" i="61"/>
  <c r="E21" i="61"/>
  <c r="E20" i="61"/>
  <c r="G20" i="61" s="1"/>
  <c r="D20" i="61"/>
  <c r="E19" i="61"/>
  <c r="F41" i="60"/>
  <c r="F39" i="60"/>
  <c r="E39" i="60"/>
  <c r="G39" i="60" s="1"/>
  <c r="D39" i="60"/>
  <c r="F28" i="60"/>
  <c r="F26" i="60"/>
  <c r="G26" i="60" s="1"/>
  <c r="C26" i="60"/>
  <c r="D26" i="60" s="1"/>
  <c r="E22" i="60"/>
  <c r="E21" i="60"/>
  <c r="E20" i="60"/>
  <c r="G20" i="60" s="1"/>
  <c r="D20" i="60"/>
  <c r="E19" i="60"/>
  <c r="F41" i="59"/>
  <c r="F39" i="59"/>
  <c r="E39" i="59"/>
  <c r="G39" i="59" s="1"/>
  <c r="D39" i="59"/>
  <c r="F28" i="59"/>
  <c r="F26" i="59"/>
  <c r="G26" i="59" s="1"/>
  <c r="C26" i="59"/>
  <c r="D26" i="59" s="1"/>
  <c r="E22" i="59"/>
  <c r="E21" i="59"/>
  <c r="E20" i="59"/>
  <c r="G20" i="59" s="1"/>
  <c r="D20" i="59"/>
  <c r="E19" i="59"/>
  <c r="F41" i="58"/>
  <c r="F39" i="58"/>
  <c r="E39" i="58"/>
  <c r="G39" i="58" s="1"/>
  <c r="D39" i="58"/>
  <c r="F28" i="58"/>
  <c r="F26" i="58"/>
  <c r="G26" i="58" s="1"/>
  <c r="C26" i="58"/>
  <c r="D26" i="58" s="1"/>
  <c r="E22" i="58"/>
  <c r="E21" i="58"/>
  <c r="E20" i="58"/>
  <c r="G20" i="58" s="1"/>
  <c r="D20" i="58"/>
  <c r="E19" i="58"/>
  <c r="F41" i="57"/>
  <c r="F39" i="57"/>
  <c r="E39" i="57"/>
  <c r="D39" i="57"/>
  <c r="F28" i="57"/>
  <c r="F26" i="57"/>
  <c r="G26" i="57" s="1"/>
  <c r="C26" i="57"/>
  <c r="D26" i="57" s="1"/>
  <c r="E22" i="57"/>
  <c r="E21" i="57"/>
  <c r="E20" i="57"/>
  <c r="G20" i="57" s="1"/>
  <c r="D20" i="57"/>
  <c r="E19" i="57"/>
  <c r="F41" i="56"/>
  <c r="F39" i="56"/>
  <c r="E39" i="56"/>
  <c r="G39" i="56" s="1"/>
  <c r="D39" i="56"/>
  <c r="F28" i="56"/>
  <c r="F26" i="56"/>
  <c r="G26" i="56" s="1"/>
  <c r="C26" i="56"/>
  <c r="D26" i="56" s="1"/>
  <c r="E22" i="56"/>
  <c r="E21" i="56"/>
  <c r="E20" i="56"/>
  <c r="G20" i="56" s="1"/>
  <c r="D20" i="56"/>
  <c r="E19" i="56"/>
  <c r="F41" i="54"/>
  <c r="F39" i="54"/>
  <c r="E39" i="54"/>
  <c r="D39" i="54"/>
  <c r="F28" i="54"/>
  <c r="F26" i="54"/>
  <c r="G26" i="54" s="1"/>
  <c r="C26" i="54"/>
  <c r="D26" i="54" s="1"/>
  <c r="E22" i="54"/>
  <c r="E21" i="54"/>
  <c r="E20" i="54"/>
  <c r="G20" i="54" s="1"/>
  <c r="D20" i="54"/>
  <c r="E19" i="54"/>
  <c r="F41" i="53"/>
  <c r="F39" i="53"/>
  <c r="E39" i="53"/>
  <c r="G39" i="53" s="1"/>
  <c r="D39" i="53"/>
  <c r="F28" i="53"/>
  <c r="F26" i="53"/>
  <c r="G26" i="53" s="1"/>
  <c r="C26" i="53"/>
  <c r="D26" i="53" s="1"/>
  <c r="E22" i="53"/>
  <c r="E21" i="53"/>
  <c r="E20" i="53"/>
  <c r="G20" i="53" s="1"/>
  <c r="D20" i="53"/>
  <c r="E19" i="53"/>
  <c r="F41" i="52"/>
  <c r="F39" i="52"/>
  <c r="E39" i="52"/>
  <c r="D39" i="52"/>
  <c r="F28" i="52"/>
  <c r="F26" i="52"/>
  <c r="G26" i="52" s="1"/>
  <c r="C26" i="52"/>
  <c r="D26" i="52" s="1"/>
  <c r="E22" i="52"/>
  <c r="E21" i="52"/>
  <c r="E20" i="52"/>
  <c r="G20" i="52" s="1"/>
  <c r="D20" i="52"/>
  <c r="E19" i="52"/>
  <c r="F41" i="51"/>
  <c r="F39" i="51"/>
  <c r="E39" i="51"/>
  <c r="D39" i="51"/>
  <c r="F28" i="51"/>
  <c r="F26" i="51"/>
  <c r="G26" i="51" s="1"/>
  <c r="C26" i="51"/>
  <c r="D26" i="51" s="1"/>
  <c r="E22" i="51"/>
  <c r="E21" i="51"/>
  <c r="E20" i="51"/>
  <c r="G20" i="51" s="1"/>
  <c r="D20" i="51"/>
  <c r="E19" i="51"/>
  <c r="F41" i="50"/>
  <c r="F39" i="50"/>
  <c r="E39" i="50"/>
  <c r="D39" i="50"/>
  <c r="F28" i="50"/>
  <c r="F26" i="50"/>
  <c r="G26" i="50" s="1"/>
  <c r="C26" i="50"/>
  <c r="D26" i="50" s="1"/>
  <c r="E22" i="50"/>
  <c r="E21" i="50"/>
  <c r="E20" i="50"/>
  <c r="G20" i="50" s="1"/>
  <c r="D20" i="50"/>
  <c r="E19" i="50"/>
  <c r="F41" i="49"/>
  <c r="F39" i="49"/>
  <c r="E39" i="49"/>
  <c r="G39" i="49" s="1"/>
  <c r="D39" i="49"/>
  <c r="F28" i="49"/>
  <c r="F26" i="49"/>
  <c r="G26" i="49" s="1"/>
  <c r="C26" i="49"/>
  <c r="D26" i="49" s="1"/>
  <c r="E22" i="49"/>
  <c r="E21" i="49"/>
  <c r="E20" i="49"/>
  <c r="G20" i="49" s="1"/>
  <c r="D20" i="49"/>
  <c r="E19" i="49"/>
  <c r="F41" i="48"/>
  <c r="F39" i="48"/>
  <c r="E39" i="48"/>
  <c r="D39" i="48"/>
  <c r="F28" i="48"/>
  <c r="F26" i="48"/>
  <c r="G26" i="48" s="1"/>
  <c r="C26" i="48"/>
  <c r="D26" i="48" s="1"/>
  <c r="E22" i="48"/>
  <c r="E21" i="48"/>
  <c r="E20" i="48"/>
  <c r="G20" i="48" s="1"/>
  <c r="D20" i="48"/>
  <c r="E19" i="48"/>
  <c r="F41" i="47"/>
  <c r="F39" i="47"/>
  <c r="E39" i="47"/>
  <c r="G39" i="47" s="1"/>
  <c r="D39" i="47"/>
  <c r="F28" i="47"/>
  <c r="F26" i="47"/>
  <c r="G26" i="47" s="1"/>
  <c r="C26" i="47"/>
  <c r="D26" i="47" s="1"/>
  <c r="E22" i="47"/>
  <c r="E21" i="47"/>
  <c r="E20" i="47"/>
  <c r="G20" i="47" s="1"/>
  <c r="D20" i="47"/>
  <c r="E19" i="47"/>
  <c r="F41" i="46"/>
  <c r="F39" i="46"/>
  <c r="E39" i="46"/>
  <c r="D39" i="46"/>
  <c r="F28" i="46"/>
  <c r="F26" i="46"/>
  <c r="G26" i="46" s="1"/>
  <c r="C26" i="46"/>
  <c r="D26" i="46" s="1"/>
  <c r="E22" i="46"/>
  <c r="E21" i="46"/>
  <c r="E20" i="46"/>
  <c r="G20" i="46" s="1"/>
  <c r="D20" i="46"/>
  <c r="E19" i="46"/>
  <c r="F26" i="4"/>
  <c r="F32" i="46"/>
  <c r="F31" i="46"/>
  <c r="G32" i="65" l="1"/>
  <c r="G32" i="64"/>
  <c r="G31" i="79"/>
  <c r="G31" i="72"/>
  <c r="G39" i="57"/>
  <c r="G39" i="46"/>
  <c r="G39" i="48"/>
  <c r="G39" i="50"/>
  <c r="G39" i="52"/>
  <c r="G39" i="54"/>
  <c r="G39" i="51"/>
  <c r="G31" i="75"/>
  <c r="G31" i="73"/>
  <c r="F32" i="4"/>
  <c r="F31" i="47"/>
  <c r="F32" i="47"/>
  <c r="F31" i="4"/>
  <c r="F25" i="81" l="1"/>
  <c r="F25" i="79"/>
  <c r="F25" i="75"/>
  <c r="F25" i="73"/>
  <c r="F26" i="70"/>
  <c r="F26" i="68"/>
  <c r="F26" i="64"/>
  <c r="F26" i="25"/>
  <c r="F32" i="58"/>
  <c r="F32" i="59"/>
  <c r="F32" i="57"/>
  <c r="F32" i="52"/>
  <c r="F32" i="53"/>
  <c r="F32" i="51"/>
  <c r="F24" i="78"/>
  <c r="F24" i="76"/>
  <c r="F24" i="72"/>
  <c r="F24" i="5"/>
  <c r="F25" i="67"/>
  <c r="F25" i="65"/>
  <c r="F31" i="62"/>
  <c r="F31" i="60"/>
  <c r="F31" i="61"/>
  <c r="F31" i="56"/>
  <c r="F31" i="54"/>
  <c r="F31" i="50"/>
  <c r="F31" i="48"/>
  <c r="F31" i="49"/>
  <c r="F25" i="78"/>
  <c r="F25" i="76"/>
  <c r="F25" i="72"/>
  <c r="F25" i="5"/>
  <c r="F26" i="67"/>
  <c r="F26" i="65"/>
  <c r="F32" i="62"/>
  <c r="F32" i="60"/>
  <c r="F32" i="61"/>
  <c r="F32" i="56"/>
  <c r="F32" i="54"/>
  <c r="F32" i="50"/>
  <c r="F32" i="48"/>
  <c r="F32" i="49"/>
  <c r="F24" i="81"/>
  <c r="F24" i="79"/>
  <c r="F24" i="75"/>
  <c r="F24" i="73"/>
  <c r="F25" i="70"/>
  <c r="F25" i="68"/>
  <c r="F25" i="64"/>
  <c r="F25" i="25"/>
  <c r="F31" i="58"/>
  <c r="F31" i="59"/>
  <c r="F31" i="57"/>
  <c r="F31" i="52"/>
  <c r="F31" i="53"/>
  <c r="F31" i="51"/>
  <c r="F37" i="81" l="1"/>
  <c r="F35" i="81"/>
  <c r="B33" i="81"/>
  <c r="B25" i="81"/>
  <c r="B24" i="81"/>
  <c r="B21" i="81"/>
  <c r="B20" i="81"/>
  <c r="F14" i="81"/>
  <c r="E14" i="81"/>
  <c r="D14" i="81"/>
  <c r="F13" i="81"/>
  <c r="B8" i="81"/>
  <c r="B7" i="81"/>
  <c r="B6" i="81"/>
  <c r="B9" i="81" s="1"/>
  <c r="B22" i="81" s="1"/>
  <c r="F37" i="79"/>
  <c r="F35" i="79"/>
  <c r="B33" i="79"/>
  <c r="B25" i="79"/>
  <c r="B24" i="79"/>
  <c r="B21" i="79"/>
  <c r="B20" i="79"/>
  <c r="F14" i="79"/>
  <c r="E14" i="79"/>
  <c r="D14" i="79"/>
  <c r="F13" i="79"/>
  <c r="B8" i="79"/>
  <c r="B7" i="79"/>
  <c r="B6" i="79"/>
  <c r="B9" i="79" s="1"/>
  <c r="B22" i="79" s="1"/>
  <c r="F37" i="78"/>
  <c r="F35" i="78"/>
  <c r="B33" i="78"/>
  <c r="B25" i="78"/>
  <c r="B24" i="78"/>
  <c r="B21" i="78"/>
  <c r="B20" i="78"/>
  <c r="F14" i="78"/>
  <c r="E14" i="78"/>
  <c r="D14" i="78"/>
  <c r="F13" i="78"/>
  <c r="B8" i="78"/>
  <c r="B7" i="78"/>
  <c r="B6" i="78"/>
  <c r="B9" i="78" s="1"/>
  <c r="B22" i="78" s="1"/>
  <c r="F35" i="76"/>
  <c r="B33" i="76"/>
  <c r="B25" i="76"/>
  <c r="B24" i="76"/>
  <c r="B21" i="76"/>
  <c r="B20" i="76"/>
  <c r="F14" i="76"/>
  <c r="E14" i="76"/>
  <c r="D14" i="76"/>
  <c r="F13" i="76"/>
  <c r="B8" i="76"/>
  <c r="B7" i="76"/>
  <c r="B6" i="76"/>
  <c r="B9" i="76" s="1"/>
  <c r="B22" i="76" s="1"/>
  <c r="E22" i="76" s="1"/>
  <c r="B25" i="75"/>
  <c r="B24" i="75"/>
  <c r="B22" i="75"/>
  <c r="B20" i="75"/>
  <c r="F14" i="75"/>
  <c r="E14" i="75"/>
  <c r="D14" i="75"/>
  <c r="F13" i="75"/>
  <c r="B8" i="75"/>
  <c r="B7" i="75"/>
  <c r="B6" i="75"/>
  <c r="B9" i="75" s="1"/>
  <c r="B21" i="75" s="1"/>
  <c r="F37" i="73"/>
  <c r="F35" i="73"/>
  <c r="B33" i="73"/>
  <c r="B25" i="73"/>
  <c r="B24" i="73"/>
  <c r="B21" i="73"/>
  <c r="B20" i="73"/>
  <c r="F14" i="73"/>
  <c r="E14" i="73"/>
  <c r="D14" i="73"/>
  <c r="F13" i="73"/>
  <c r="B8" i="73"/>
  <c r="B7" i="73"/>
  <c r="B6" i="73"/>
  <c r="B9" i="73" s="1"/>
  <c r="B22" i="73" s="1"/>
  <c r="E22" i="73" s="1"/>
  <c r="B7" i="72"/>
  <c r="B7" i="5"/>
  <c r="B25" i="72"/>
  <c r="B24" i="72"/>
  <c r="B21" i="72"/>
  <c r="B20" i="72"/>
  <c r="F14" i="72"/>
  <c r="E14" i="72"/>
  <c r="D14" i="72"/>
  <c r="F13" i="72"/>
  <c r="B8" i="72"/>
  <c r="B6" i="72"/>
  <c r="F38" i="70"/>
  <c r="F36" i="70"/>
  <c r="B34" i="70"/>
  <c r="H16" i="70"/>
  <c r="I16" i="70" s="1"/>
  <c r="F13" i="70"/>
  <c r="F12" i="70"/>
  <c r="B9" i="70"/>
  <c r="B20" i="70" s="1"/>
  <c r="B7" i="70"/>
  <c r="B6" i="70"/>
  <c r="B8" i="70" s="1"/>
  <c r="B31" i="70" s="1"/>
  <c r="B5" i="70"/>
  <c r="F38" i="68"/>
  <c r="F36" i="68"/>
  <c r="B34" i="68"/>
  <c r="H16" i="68"/>
  <c r="I16" i="68" s="1"/>
  <c r="F13" i="68"/>
  <c r="F12" i="68"/>
  <c r="B9" i="68"/>
  <c r="B20" i="68" s="1"/>
  <c r="B7" i="68"/>
  <c r="B6" i="68"/>
  <c r="B8" i="68" s="1"/>
  <c r="B31" i="68" s="1"/>
  <c r="B5" i="68"/>
  <c r="F38" i="67"/>
  <c r="F36" i="67"/>
  <c r="B34" i="67"/>
  <c r="H16" i="67"/>
  <c r="I16" i="67" s="1"/>
  <c r="F13" i="67"/>
  <c r="F12" i="67"/>
  <c r="B9" i="67"/>
  <c r="B20" i="67" s="1"/>
  <c r="B7" i="67"/>
  <c r="B6" i="67"/>
  <c r="B8" i="67" s="1"/>
  <c r="B31" i="67" s="1"/>
  <c r="B5" i="67"/>
  <c r="F38" i="65"/>
  <c r="F36" i="65"/>
  <c r="B34" i="65"/>
  <c r="H16" i="65"/>
  <c r="I16" i="65" s="1"/>
  <c r="F13" i="65"/>
  <c r="F12" i="65"/>
  <c r="B9" i="65"/>
  <c r="B20" i="65" s="1"/>
  <c r="B7" i="65"/>
  <c r="B6" i="65"/>
  <c r="B8" i="65" s="1"/>
  <c r="B31" i="65" s="1"/>
  <c r="B5" i="65"/>
  <c r="F38" i="64"/>
  <c r="F36" i="64"/>
  <c r="B34" i="64"/>
  <c r="H16" i="64"/>
  <c r="I16" i="64" s="1"/>
  <c r="F13" i="64"/>
  <c r="F12" i="64"/>
  <c r="B9" i="64"/>
  <c r="B20" i="64" s="1"/>
  <c r="B7" i="64"/>
  <c r="B6" i="64"/>
  <c r="B8" i="64" s="1"/>
  <c r="B31" i="64" s="1"/>
  <c r="B5" i="64"/>
  <c r="E17" i="25"/>
  <c r="E18" i="25"/>
  <c r="F48" i="62"/>
  <c r="F43" i="62"/>
  <c r="B41" i="62"/>
  <c r="F17" i="62"/>
  <c r="F16" i="62"/>
  <c r="F15" i="62"/>
  <c r="F13" i="62"/>
  <c r="F12" i="62"/>
  <c r="B9" i="62"/>
  <c r="B24" i="62" s="1"/>
  <c r="B7" i="62"/>
  <c r="B6" i="62"/>
  <c r="B8" i="62" s="1"/>
  <c r="B38" i="62" s="1"/>
  <c r="B5" i="62"/>
  <c r="F48" i="61"/>
  <c r="F45" i="61"/>
  <c r="F43" i="61"/>
  <c r="B41" i="61"/>
  <c r="F17" i="61"/>
  <c r="F16" i="61"/>
  <c r="F15" i="61"/>
  <c r="F13" i="61"/>
  <c r="F12" i="61"/>
  <c r="B9" i="61"/>
  <c r="B24" i="61" s="1"/>
  <c r="B7" i="61"/>
  <c r="B6" i="61"/>
  <c r="B5" i="61"/>
  <c r="B41" i="60"/>
  <c r="F17" i="60"/>
  <c r="F16" i="60"/>
  <c r="F15" i="60"/>
  <c r="F13" i="60"/>
  <c r="F12" i="60"/>
  <c r="B9" i="60"/>
  <c r="B24" i="60" s="1"/>
  <c r="B7" i="60"/>
  <c r="B6" i="60"/>
  <c r="B5" i="60"/>
  <c r="F48" i="59"/>
  <c r="F43" i="59"/>
  <c r="B41" i="59"/>
  <c r="F17" i="59"/>
  <c r="F16" i="59"/>
  <c r="F15" i="59"/>
  <c r="F13" i="59"/>
  <c r="F12" i="59"/>
  <c r="B9" i="59"/>
  <c r="B24" i="59" s="1"/>
  <c r="B7" i="59"/>
  <c r="B6" i="59"/>
  <c r="B8" i="59" s="1"/>
  <c r="B38" i="59" s="1"/>
  <c r="B5" i="59"/>
  <c r="F48" i="58"/>
  <c r="F45" i="58"/>
  <c r="F43" i="58"/>
  <c r="B41" i="58"/>
  <c r="F17" i="58"/>
  <c r="F16" i="58"/>
  <c r="F15" i="58"/>
  <c r="F13" i="58"/>
  <c r="F12" i="58"/>
  <c r="B9" i="58"/>
  <c r="B24" i="58" s="1"/>
  <c r="B7" i="58"/>
  <c r="B6" i="58"/>
  <c r="B5" i="58"/>
  <c r="F48" i="57"/>
  <c r="F45" i="57"/>
  <c r="F43" i="57"/>
  <c r="B41" i="57"/>
  <c r="F17" i="57"/>
  <c r="F16" i="57"/>
  <c r="F15" i="57"/>
  <c r="F13" i="57"/>
  <c r="F12" i="57"/>
  <c r="B9" i="57"/>
  <c r="B24" i="57" s="1"/>
  <c r="B7" i="57"/>
  <c r="B6" i="57"/>
  <c r="B8" i="57" s="1"/>
  <c r="B38" i="57" s="1"/>
  <c r="B5" i="57"/>
  <c r="F48" i="56"/>
  <c r="F45" i="56"/>
  <c r="F43" i="56"/>
  <c r="B41" i="56"/>
  <c r="F17" i="56"/>
  <c r="F16" i="56"/>
  <c r="F15" i="56"/>
  <c r="F13" i="56"/>
  <c r="F12" i="56"/>
  <c r="B9" i="56"/>
  <c r="B24" i="56" s="1"/>
  <c r="B7" i="56"/>
  <c r="B6" i="56"/>
  <c r="B5" i="56"/>
  <c r="F48" i="54"/>
  <c r="F45" i="54"/>
  <c r="F43" i="54"/>
  <c r="B41" i="54"/>
  <c r="F17" i="54"/>
  <c r="F16" i="54"/>
  <c r="F15" i="54"/>
  <c r="F13" i="54"/>
  <c r="F12" i="54"/>
  <c r="B9" i="54"/>
  <c r="B24" i="54" s="1"/>
  <c r="B7" i="54"/>
  <c r="B6" i="54"/>
  <c r="B5" i="54"/>
  <c r="F48" i="53"/>
  <c r="F45" i="53"/>
  <c r="F43" i="53"/>
  <c r="B41" i="53"/>
  <c r="F17" i="53"/>
  <c r="F16" i="53"/>
  <c r="F15" i="53"/>
  <c r="F13" i="53"/>
  <c r="F12" i="53"/>
  <c r="B9" i="53"/>
  <c r="B24" i="53" s="1"/>
  <c r="B7" i="53"/>
  <c r="B6" i="53"/>
  <c r="B8" i="53" s="1"/>
  <c r="B38" i="53" s="1"/>
  <c r="B5" i="53"/>
  <c r="F48" i="52"/>
  <c r="F45" i="52"/>
  <c r="F43" i="52"/>
  <c r="B41" i="52"/>
  <c r="F17" i="52"/>
  <c r="F16" i="52"/>
  <c r="F15" i="52"/>
  <c r="F13" i="52"/>
  <c r="F12" i="52"/>
  <c r="B9" i="52"/>
  <c r="B24" i="52" s="1"/>
  <c r="B7" i="52"/>
  <c r="B6" i="52"/>
  <c r="B5" i="52"/>
  <c r="F48" i="51"/>
  <c r="F45" i="51"/>
  <c r="F43" i="51"/>
  <c r="B41" i="51"/>
  <c r="F17" i="51"/>
  <c r="F16" i="51"/>
  <c r="F15" i="51"/>
  <c r="F13" i="51"/>
  <c r="F12" i="51"/>
  <c r="B9" i="51"/>
  <c r="B7" i="51"/>
  <c r="B6" i="51"/>
  <c r="B8" i="51" s="1"/>
  <c r="B38" i="51" s="1"/>
  <c r="B5" i="51"/>
  <c r="F48" i="50"/>
  <c r="F45" i="50"/>
  <c r="F43" i="50"/>
  <c r="B41" i="50"/>
  <c r="F17" i="50"/>
  <c r="F16" i="50"/>
  <c r="F15" i="50"/>
  <c r="F13" i="50"/>
  <c r="F12" i="50"/>
  <c r="B9" i="50"/>
  <c r="B24" i="50" s="1"/>
  <c r="B7" i="50"/>
  <c r="B6" i="50"/>
  <c r="B5" i="50"/>
  <c r="F48" i="49"/>
  <c r="F45" i="49"/>
  <c r="F43" i="49"/>
  <c r="B41" i="49"/>
  <c r="F17" i="49"/>
  <c r="F16" i="49"/>
  <c r="F15" i="49"/>
  <c r="F13" i="49"/>
  <c r="F12" i="49"/>
  <c r="B9" i="49"/>
  <c r="B24" i="49" s="1"/>
  <c r="B7" i="49"/>
  <c r="B6" i="49"/>
  <c r="B5" i="49"/>
  <c r="F48" i="48"/>
  <c r="F45" i="48"/>
  <c r="F43" i="48"/>
  <c r="B41" i="48"/>
  <c r="F17" i="48"/>
  <c r="F16" i="48"/>
  <c r="F15" i="48"/>
  <c r="F13" i="48"/>
  <c r="F12" i="48"/>
  <c r="B9" i="48"/>
  <c r="B24" i="48" s="1"/>
  <c r="B7" i="48"/>
  <c r="B6" i="48"/>
  <c r="B8" i="48" s="1"/>
  <c r="B38" i="48" s="1"/>
  <c r="B5" i="48"/>
  <c r="F48" i="47"/>
  <c r="F45" i="47"/>
  <c r="F43" i="47"/>
  <c r="B41" i="47"/>
  <c r="F17" i="47"/>
  <c r="F16" i="47"/>
  <c r="F15" i="47"/>
  <c r="F13" i="47"/>
  <c r="F12" i="47"/>
  <c r="B9" i="47"/>
  <c r="B7" i="47"/>
  <c r="B6" i="47"/>
  <c r="B8" i="47" s="1"/>
  <c r="B38" i="47" s="1"/>
  <c r="B5" i="47"/>
  <c r="F48" i="46"/>
  <c r="F45" i="46"/>
  <c r="F43" i="46"/>
  <c r="B41" i="46"/>
  <c r="F17" i="46"/>
  <c r="F16" i="46"/>
  <c r="F15" i="46"/>
  <c r="F13" i="46"/>
  <c r="F12" i="46"/>
  <c r="B9" i="46"/>
  <c r="B24" i="46" s="1"/>
  <c r="B7" i="46"/>
  <c r="B6" i="46"/>
  <c r="B5" i="46"/>
  <c r="E21" i="4"/>
  <c r="E22" i="4"/>
  <c r="D34" i="70" l="1"/>
  <c r="E34" i="70"/>
  <c r="G34" i="70" s="1"/>
  <c r="H34" i="70" s="1"/>
  <c r="I34" i="70" s="1"/>
  <c r="D34" i="64"/>
  <c r="E34" i="64"/>
  <c r="G34" i="64" s="1"/>
  <c r="H34" i="64" s="1"/>
  <c r="I34" i="64" s="1"/>
  <c r="E34" i="68"/>
  <c r="G34" i="68" s="1"/>
  <c r="D34" i="68"/>
  <c r="H34" i="68" s="1"/>
  <c r="I34" i="68" s="1"/>
  <c r="E34" i="67"/>
  <c r="G34" i="67" s="1"/>
  <c r="D34" i="67"/>
  <c r="H34" i="67" s="1"/>
  <c r="I34" i="67" s="1"/>
  <c r="D34" i="65"/>
  <c r="E34" i="65"/>
  <c r="G34" i="65" s="1"/>
  <c r="D41" i="57"/>
  <c r="E41" i="57"/>
  <c r="G41" i="57" s="1"/>
  <c r="E41" i="61"/>
  <c r="G41" i="61" s="1"/>
  <c r="D41" i="61"/>
  <c r="H41" i="61" s="1"/>
  <c r="I41" i="61" s="1"/>
  <c r="E41" i="58"/>
  <c r="G41" i="58" s="1"/>
  <c r="H41" i="58" s="1"/>
  <c r="I41" i="58" s="1"/>
  <c r="D41" i="58"/>
  <c r="D41" i="60"/>
  <c r="H41" i="60" s="1"/>
  <c r="I41" i="60" s="1"/>
  <c r="E41" i="60"/>
  <c r="G41" i="60" s="1"/>
  <c r="D41" i="54"/>
  <c r="E41" i="54"/>
  <c r="G41" i="54" s="1"/>
  <c r="E41" i="52"/>
  <c r="G41" i="52" s="1"/>
  <c r="D41" i="52"/>
  <c r="H41" i="52" s="1"/>
  <c r="I41" i="52" s="1"/>
  <c r="D41" i="49"/>
  <c r="E41" i="49"/>
  <c r="G41" i="49" s="1"/>
  <c r="H41" i="49" s="1"/>
  <c r="I41" i="49" s="1"/>
  <c r="E41" i="46"/>
  <c r="G41" i="46" s="1"/>
  <c r="D41" i="46"/>
  <c r="G14" i="76"/>
  <c r="H14" i="76" s="1"/>
  <c r="I14" i="76" s="1"/>
  <c r="E31" i="67"/>
  <c r="G31" i="67" s="1"/>
  <c r="D31" i="67"/>
  <c r="B13" i="75"/>
  <c r="B30" i="75"/>
  <c r="B13" i="79"/>
  <c r="B30" i="79"/>
  <c r="B13" i="78"/>
  <c r="B30" i="78"/>
  <c r="E31" i="64"/>
  <c r="G31" i="64" s="1"/>
  <c r="D31" i="64"/>
  <c r="E31" i="68"/>
  <c r="G31" i="68" s="1"/>
  <c r="D31" i="68"/>
  <c r="E31" i="70"/>
  <c r="G31" i="70" s="1"/>
  <c r="D31" i="70"/>
  <c r="B13" i="73"/>
  <c r="B30" i="73"/>
  <c r="B13" i="81"/>
  <c r="B30" i="81"/>
  <c r="D31" i="65"/>
  <c r="E31" i="65"/>
  <c r="G31" i="65" s="1"/>
  <c r="B13" i="76"/>
  <c r="B30" i="76"/>
  <c r="E38" i="48"/>
  <c r="G38" i="48" s="1"/>
  <c r="D38" i="48"/>
  <c r="E38" i="47"/>
  <c r="G38" i="47" s="1"/>
  <c r="D38" i="47"/>
  <c r="D38" i="51"/>
  <c r="E38" i="51"/>
  <c r="G38" i="51" s="1"/>
  <c r="E38" i="59"/>
  <c r="G38" i="59" s="1"/>
  <c r="D38" i="59"/>
  <c r="E38" i="53"/>
  <c r="G38" i="53" s="1"/>
  <c r="D38" i="53"/>
  <c r="E38" i="57"/>
  <c r="G38" i="57" s="1"/>
  <c r="D38" i="57"/>
  <c r="D38" i="62"/>
  <c r="E38" i="62"/>
  <c r="G38" i="62" s="1"/>
  <c r="D41" i="56"/>
  <c r="E41" i="56"/>
  <c r="G41" i="56" s="1"/>
  <c r="E41" i="53"/>
  <c r="G41" i="53" s="1"/>
  <c r="D41" i="53"/>
  <c r="E41" i="51"/>
  <c r="G41" i="51" s="1"/>
  <c r="D41" i="51"/>
  <c r="D41" i="50"/>
  <c r="E41" i="50"/>
  <c r="G41" i="50" s="1"/>
  <c r="D41" i="48"/>
  <c r="E41" i="48"/>
  <c r="G41" i="48" s="1"/>
  <c r="E41" i="47"/>
  <c r="G41" i="47" s="1"/>
  <c r="D41" i="47"/>
  <c r="G14" i="72"/>
  <c r="H14" i="72" s="1"/>
  <c r="I14" i="72" s="1"/>
  <c r="G14" i="78"/>
  <c r="H14" i="78" s="1"/>
  <c r="I14" i="78" s="1"/>
  <c r="E24" i="76"/>
  <c r="G24" i="76" s="1"/>
  <c r="D33" i="76"/>
  <c r="E33" i="76"/>
  <c r="G33" i="76" s="1"/>
  <c r="E20" i="76"/>
  <c r="E21" i="76"/>
  <c r="E25" i="76"/>
  <c r="G25" i="76" s="1"/>
  <c r="E20" i="73"/>
  <c r="E21" i="73"/>
  <c r="E25" i="73"/>
  <c r="G25" i="73" s="1"/>
  <c r="E24" i="73"/>
  <c r="G24" i="73" s="1"/>
  <c r="E33" i="73"/>
  <c r="G33" i="73" s="1"/>
  <c r="D33" i="73"/>
  <c r="G14" i="81"/>
  <c r="H14" i="81" s="1"/>
  <c r="I14" i="81" s="1"/>
  <c r="G14" i="79"/>
  <c r="H14" i="79" s="1"/>
  <c r="I14" i="79" s="1"/>
  <c r="G14" i="75"/>
  <c r="H14" i="75" s="1"/>
  <c r="I14" i="75" s="1"/>
  <c r="G14" i="73"/>
  <c r="H14" i="73" s="1"/>
  <c r="I14" i="73" s="1"/>
  <c r="C27" i="46"/>
  <c r="F27" i="46" s="1"/>
  <c r="B12" i="46"/>
  <c r="B13" i="46"/>
  <c r="D13" i="46" s="1"/>
  <c r="C27" i="47"/>
  <c r="F27" i="47" s="1"/>
  <c r="B13" i="47"/>
  <c r="B12" i="47"/>
  <c r="C27" i="48"/>
  <c r="F27" i="48" s="1"/>
  <c r="B12" i="48"/>
  <c r="B13" i="48"/>
  <c r="C27" i="49"/>
  <c r="F27" i="49" s="1"/>
  <c r="B13" i="49"/>
  <c r="D13" i="49" s="1"/>
  <c r="B12" i="49"/>
  <c r="C27" i="50"/>
  <c r="F27" i="50" s="1"/>
  <c r="B12" i="50"/>
  <c r="D12" i="50" s="1"/>
  <c r="B13" i="50"/>
  <c r="C27" i="51"/>
  <c r="F27" i="51" s="1"/>
  <c r="B13" i="51"/>
  <c r="B12" i="51"/>
  <c r="C27" i="52"/>
  <c r="F27" i="52" s="1"/>
  <c r="B12" i="52"/>
  <c r="B13" i="52"/>
  <c r="D13" i="52" s="1"/>
  <c r="C27" i="53"/>
  <c r="F27" i="53" s="1"/>
  <c r="B13" i="53"/>
  <c r="B12" i="53"/>
  <c r="C27" i="54"/>
  <c r="F27" i="54" s="1"/>
  <c r="B12" i="54"/>
  <c r="B13" i="54"/>
  <c r="D13" i="54" s="1"/>
  <c r="C27" i="56"/>
  <c r="F27" i="56" s="1"/>
  <c r="B12" i="56"/>
  <c r="B13" i="56"/>
  <c r="D13" i="56" s="1"/>
  <c r="C27" i="57"/>
  <c r="F27" i="57" s="1"/>
  <c r="B13" i="57"/>
  <c r="B12" i="57"/>
  <c r="C27" i="58"/>
  <c r="F27" i="58" s="1"/>
  <c r="B12" i="58"/>
  <c r="B13" i="58"/>
  <c r="C27" i="59"/>
  <c r="F27" i="59" s="1"/>
  <c r="B13" i="59"/>
  <c r="B12" i="59"/>
  <c r="C27" i="60"/>
  <c r="F27" i="60" s="1"/>
  <c r="B12" i="60"/>
  <c r="D12" i="60" s="1"/>
  <c r="B13" i="60"/>
  <c r="C27" i="61"/>
  <c r="F27" i="61" s="1"/>
  <c r="B13" i="61"/>
  <c r="B12" i="61"/>
  <c r="C27" i="62"/>
  <c r="F27" i="62" s="1"/>
  <c r="B12" i="62"/>
  <c r="B13" i="62"/>
  <c r="C23" i="64"/>
  <c r="F23" i="64" s="1"/>
  <c r="B13" i="64"/>
  <c r="D13" i="64" s="1"/>
  <c r="B12" i="64"/>
  <c r="C23" i="65"/>
  <c r="F23" i="65" s="1"/>
  <c r="B13" i="65"/>
  <c r="D13" i="65" s="1"/>
  <c r="B12" i="65"/>
  <c r="B13" i="67"/>
  <c r="E13" i="67" s="1"/>
  <c r="G13" i="67" s="1"/>
  <c r="B12" i="67"/>
  <c r="B13" i="68"/>
  <c r="E13" i="68" s="1"/>
  <c r="G13" i="68" s="1"/>
  <c r="B12" i="68"/>
  <c r="C23" i="70"/>
  <c r="F23" i="70" s="1"/>
  <c r="B13" i="70"/>
  <c r="D13" i="70" s="1"/>
  <c r="B12" i="70"/>
  <c r="E41" i="62"/>
  <c r="G41" i="62" s="1"/>
  <c r="H41" i="62" s="1"/>
  <c r="I41" i="62" s="1"/>
  <c r="D41" i="62"/>
  <c r="D41" i="59"/>
  <c r="E41" i="59"/>
  <c r="G41" i="59" s="1"/>
  <c r="D33" i="81"/>
  <c r="E33" i="81"/>
  <c r="G33" i="81" s="1"/>
  <c r="E20" i="81"/>
  <c r="E21" i="81"/>
  <c r="E25" i="81"/>
  <c r="G25" i="81" s="1"/>
  <c r="E22" i="81"/>
  <c r="E24" i="81"/>
  <c r="G24" i="81" s="1"/>
  <c r="D33" i="79"/>
  <c r="E33" i="79"/>
  <c r="G33" i="79" s="1"/>
  <c r="E20" i="79"/>
  <c r="E21" i="79"/>
  <c r="E25" i="79"/>
  <c r="G25" i="79" s="1"/>
  <c r="E22" i="79"/>
  <c r="E24" i="79"/>
  <c r="G24" i="79" s="1"/>
  <c r="E33" i="78"/>
  <c r="G33" i="78" s="1"/>
  <c r="H33" i="78" s="1"/>
  <c r="I33" i="78" s="1"/>
  <c r="D33" i="78"/>
  <c r="E20" i="78"/>
  <c r="E21" i="78"/>
  <c r="E25" i="78"/>
  <c r="G25" i="78" s="1"/>
  <c r="E22" i="78"/>
  <c r="E24" i="78"/>
  <c r="G24" i="78" s="1"/>
  <c r="E21" i="75"/>
  <c r="E22" i="75"/>
  <c r="E25" i="75"/>
  <c r="G25" i="75" s="1"/>
  <c r="E20" i="75"/>
  <c r="E24" i="75"/>
  <c r="G24" i="75" s="1"/>
  <c r="E20" i="72"/>
  <c r="E24" i="72"/>
  <c r="G24" i="72" s="1"/>
  <c r="E21" i="72"/>
  <c r="E25" i="72"/>
  <c r="G25" i="72" s="1"/>
  <c r="E20" i="64"/>
  <c r="E20" i="65"/>
  <c r="E20" i="67"/>
  <c r="E20" i="68"/>
  <c r="E20" i="70"/>
  <c r="E24" i="46"/>
  <c r="E24" i="48"/>
  <c r="E24" i="49"/>
  <c r="E24" i="50"/>
  <c r="E24" i="52"/>
  <c r="E24" i="53"/>
  <c r="E24" i="54"/>
  <c r="E24" i="56"/>
  <c r="E24" i="57"/>
  <c r="E24" i="58"/>
  <c r="E24" i="59"/>
  <c r="E24" i="60"/>
  <c r="E24" i="61"/>
  <c r="E24" i="62"/>
  <c r="C23" i="67"/>
  <c r="F23" i="67" s="1"/>
  <c r="C23" i="68"/>
  <c r="F23" i="68" s="1"/>
  <c r="B28" i="81"/>
  <c r="B29" i="81"/>
  <c r="H31" i="81"/>
  <c r="I31" i="81" s="1"/>
  <c r="H17" i="81"/>
  <c r="I17" i="81" s="1"/>
  <c r="H33" i="81"/>
  <c r="I33" i="81" s="1"/>
  <c r="H17" i="79"/>
  <c r="I17" i="79" s="1"/>
  <c r="B28" i="79"/>
  <c r="B29" i="79"/>
  <c r="H31" i="79"/>
  <c r="I31" i="79" s="1"/>
  <c r="H33" i="79"/>
  <c r="I33" i="79" s="1"/>
  <c r="E15" i="53"/>
  <c r="G15" i="53" s="1"/>
  <c r="E16" i="53"/>
  <c r="G16" i="53" s="1"/>
  <c r="E17" i="53"/>
  <c r="G17" i="53" s="1"/>
  <c r="D15" i="47"/>
  <c r="B23" i="49"/>
  <c r="E15" i="61"/>
  <c r="G15" i="61" s="1"/>
  <c r="E15" i="62"/>
  <c r="G15" i="62" s="1"/>
  <c r="E16" i="62"/>
  <c r="G16" i="62" s="1"/>
  <c r="E17" i="62"/>
  <c r="G17" i="62" s="1"/>
  <c r="B28" i="78"/>
  <c r="B29" i="78"/>
  <c r="H31" i="78"/>
  <c r="I31" i="78" s="1"/>
  <c r="H17" i="78"/>
  <c r="I17" i="78" s="1"/>
  <c r="H17" i="76"/>
  <c r="I17" i="76" s="1"/>
  <c r="B28" i="76"/>
  <c r="B29" i="76"/>
  <c r="H31" i="76"/>
  <c r="I31" i="76" s="1"/>
  <c r="H33" i="76"/>
  <c r="I33" i="76" s="1"/>
  <c r="B28" i="75"/>
  <c r="B29" i="75"/>
  <c r="H31" i="75"/>
  <c r="I31" i="75" s="1"/>
  <c r="H17" i="75"/>
  <c r="I17" i="75" s="1"/>
  <c r="H31" i="73"/>
  <c r="I31" i="73" s="1"/>
  <c r="B28" i="73"/>
  <c r="B29" i="73"/>
  <c r="H33" i="73"/>
  <c r="I33" i="73" s="1"/>
  <c r="H17" i="73"/>
  <c r="I17" i="73" s="1"/>
  <c r="H17" i="72"/>
  <c r="I17" i="72" s="1"/>
  <c r="H31" i="72"/>
  <c r="I31" i="72" s="1"/>
  <c r="B9" i="72"/>
  <c r="B22" i="72" s="1"/>
  <c r="E22" i="72" s="1"/>
  <c r="B29" i="70"/>
  <c r="B25" i="70"/>
  <c r="B23" i="70"/>
  <c r="B30" i="70"/>
  <c r="B26" i="70"/>
  <c r="H32" i="70"/>
  <c r="I32" i="70" s="1"/>
  <c r="B19" i="70"/>
  <c r="B21" i="70"/>
  <c r="B29" i="68"/>
  <c r="B25" i="68"/>
  <c r="B23" i="68"/>
  <c r="B30" i="68"/>
  <c r="B26" i="68"/>
  <c r="H32" i="68"/>
  <c r="I32" i="68" s="1"/>
  <c r="B19" i="68"/>
  <c r="B21" i="68"/>
  <c r="B29" i="67"/>
  <c r="B25" i="67"/>
  <c r="B23" i="67"/>
  <c r="B30" i="67"/>
  <c r="B26" i="67"/>
  <c r="H32" i="67"/>
  <c r="I32" i="67" s="1"/>
  <c r="B19" i="67"/>
  <c r="B21" i="67"/>
  <c r="B29" i="65"/>
  <c r="B25" i="65"/>
  <c r="B23" i="65"/>
  <c r="B30" i="65"/>
  <c r="B26" i="65"/>
  <c r="H32" i="65"/>
  <c r="I32" i="65" s="1"/>
  <c r="B19" i="65"/>
  <c r="H34" i="65"/>
  <c r="I34" i="65" s="1"/>
  <c r="B21" i="65"/>
  <c r="B29" i="64"/>
  <c r="B25" i="64"/>
  <c r="B23" i="64"/>
  <c r="B30" i="64"/>
  <c r="B26" i="64"/>
  <c r="H32" i="64"/>
  <c r="I32" i="64" s="1"/>
  <c r="B19" i="64"/>
  <c r="B21" i="64"/>
  <c r="B37" i="62"/>
  <c r="B36" i="62"/>
  <c r="B32" i="62"/>
  <c r="B31" i="62"/>
  <c r="B28" i="62"/>
  <c r="B27" i="62"/>
  <c r="H20" i="62"/>
  <c r="I20" i="62" s="1"/>
  <c r="B23" i="62"/>
  <c r="H39" i="62"/>
  <c r="I39" i="62" s="1"/>
  <c r="H26" i="62"/>
  <c r="I26" i="62" s="1"/>
  <c r="E17" i="61"/>
  <c r="G17" i="61" s="1"/>
  <c r="D17" i="61"/>
  <c r="B8" i="61"/>
  <c r="B38" i="61" s="1"/>
  <c r="H20" i="61"/>
  <c r="I20" i="61" s="1"/>
  <c r="B23" i="61"/>
  <c r="H39" i="61"/>
  <c r="I39" i="61" s="1"/>
  <c r="H26" i="61"/>
  <c r="I26" i="61" s="1"/>
  <c r="E17" i="60"/>
  <c r="G17" i="60" s="1"/>
  <c r="D17" i="60"/>
  <c r="H20" i="60"/>
  <c r="I20" i="60" s="1"/>
  <c r="B8" i="60"/>
  <c r="B38" i="60" s="1"/>
  <c r="B23" i="60"/>
  <c r="H39" i="60"/>
  <c r="I39" i="60" s="1"/>
  <c r="H26" i="60"/>
  <c r="I26" i="60" s="1"/>
  <c r="H20" i="59"/>
  <c r="I20" i="59" s="1"/>
  <c r="B37" i="59"/>
  <c r="B36" i="59"/>
  <c r="B32" i="59"/>
  <c r="B31" i="59"/>
  <c r="B28" i="59"/>
  <c r="B27" i="59"/>
  <c r="H39" i="59"/>
  <c r="I39" i="59" s="1"/>
  <c r="B23" i="59"/>
  <c r="H26" i="59"/>
  <c r="I26" i="59" s="1"/>
  <c r="E17" i="58"/>
  <c r="G17" i="58" s="1"/>
  <c r="D17" i="58"/>
  <c r="B8" i="58"/>
  <c r="B38" i="58" s="1"/>
  <c r="H20" i="58"/>
  <c r="I20" i="58" s="1"/>
  <c r="B23" i="58"/>
  <c r="H39" i="58"/>
  <c r="I39" i="58" s="1"/>
  <c r="H26" i="58"/>
  <c r="I26" i="58" s="1"/>
  <c r="E15" i="57"/>
  <c r="G15" i="57" s="1"/>
  <c r="E16" i="57"/>
  <c r="G16" i="57" s="1"/>
  <c r="E17" i="57"/>
  <c r="G17" i="57" s="1"/>
  <c r="B37" i="57"/>
  <c r="B36" i="57"/>
  <c r="B32" i="57"/>
  <c r="B31" i="57"/>
  <c r="B28" i="57"/>
  <c r="B27" i="57"/>
  <c r="H20" i="57"/>
  <c r="I20" i="57" s="1"/>
  <c r="B23" i="57"/>
  <c r="H39" i="57"/>
  <c r="I39" i="57" s="1"/>
  <c r="H26" i="57"/>
  <c r="I26" i="57" s="1"/>
  <c r="H41" i="57"/>
  <c r="I41" i="57" s="1"/>
  <c r="E17" i="56"/>
  <c r="G17" i="56" s="1"/>
  <c r="D17" i="56"/>
  <c r="H20" i="56"/>
  <c r="I20" i="56" s="1"/>
  <c r="B8" i="56"/>
  <c r="B38" i="56" s="1"/>
  <c r="B23" i="56"/>
  <c r="H26" i="56"/>
  <c r="I26" i="56" s="1"/>
  <c r="H39" i="56"/>
  <c r="I39" i="56" s="1"/>
  <c r="B23" i="54"/>
  <c r="E17" i="54"/>
  <c r="G17" i="54" s="1"/>
  <c r="D17" i="54"/>
  <c r="H20" i="54"/>
  <c r="I20" i="54" s="1"/>
  <c r="B8" i="54"/>
  <c r="B38" i="54" s="1"/>
  <c r="H39" i="54"/>
  <c r="I39" i="54" s="1"/>
  <c r="H26" i="54"/>
  <c r="I26" i="54" s="1"/>
  <c r="H41" i="54"/>
  <c r="I41" i="54" s="1"/>
  <c r="B37" i="53"/>
  <c r="B36" i="53"/>
  <c r="B32" i="53"/>
  <c r="B31" i="53"/>
  <c r="B28" i="53"/>
  <c r="B27" i="53"/>
  <c r="H20" i="53"/>
  <c r="I20" i="53" s="1"/>
  <c r="B23" i="53"/>
  <c r="H39" i="53"/>
  <c r="I39" i="53" s="1"/>
  <c r="H26" i="53"/>
  <c r="I26" i="53" s="1"/>
  <c r="E17" i="52"/>
  <c r="G17" i="52" s="1"/>
  <c r="D17" i="52"/>
  <c r="H20" i="52"/>
  <c r="I20" i="52" s="1"/>
  <c r="B8" i="52"/>
  <c r="B38" i="52" s="1"/>
  <c r="B23" i="52"/>
  <c r="H39" i="52"/>
  <c r="I39" i="52" s="1"/>
  <c r="H26" i="52"/>
  <c r="I26" i="52" s="1"/>
  <c r="D15" i="51"/>
  <c r="D16" i="51"/>
  <c r="D17" i="51"/>
  <c r="B37" i="51"/>
  <c r="B36" i="51"/>
  <c r="B32" i="51"/>
  <c r="B31" i="51"/>
  <c r="B28" i="51"/>
  <c r="B27" i="51"/>
  <c r="B24" i="51"/>
  <c r="H39" i="51"/>
  <c r="I39" i="51" s="1"/>
  <c r="H20" i="51"/>
  <c r="I20" i="51" s="1"/>
  <c r="B23" i="51"/>
  <c r="H26" i="51"/>
  <c r="I26" i="51" s="1"/>
  <c r="E17" i="50"/>
  <c r="G17" i="50" s="1"/>
  <c r="D17" i="50"/>
  <c r="H20" i="50"/>
  <c r="I20" i="50" s="1"/>
  <c r="B8" i="50"/>
  <c r="B38" i="50" s="1"/>
  <c r="B23" i="50"/>
  <c r="H39" i="50"/>
  <c r="I39" i="50" s="1"/>
  <c r="H26" i="50"/>
  <c r="I26" i="50" s="1"/>
  <c r="E17" i="49"/>
  <c r="G17" i="49" s="1"/>
  <c r="D17" i="49"/>
  <c r="H20" i="49"/>
  <c r="I20" i="49" s="1"/>
  <c r="B8" i="49"/>
  <c r="B38" i="49" s="1"/>
  <c r="H39" i="49"/>
  <c r="I39" i="49" s="1"/>
  <c r="H26" i="49"/>
  <c r="I26" i="49" s="1"/>
  <c r="E15" i="48"/>
  <c r="G15" i="48" s="1"/>
  <c r="E16" i="48"/>
  <c r="G16" i="48" s="1"/>
  <c r="E17" i="48"/>
  <c r="G17" i="48" s="1"/>
  <c r="B37" i="48"/>
  <c r="B36" i="48"/>
  <c r="B32" i="48"/>
  <c r="B31" i="48"/>
  <c r="B28" i="48"/>
  <c r="B27" i="48"/>
  <c r="H20" i="48"/>
  <c r="I20" i="48" s="1"/>
  <c r="B23" i="48"/>
  <c r="H39" i="48"/>
  <c r="I39" i="48" s="1"/>
  <c r="H26" i="48"/>
  <c r="I26" i="48" s="1"/>
  <c r="B37" i="47"/>
  <c r="B36" i="47"/>
  <c r="B32" i="47"/>
  <c r="B31" i="47"/>
  <c r="B28" i="47"/>
  <c r="B27" i="47"/>
  <c r="B24" i="47"/>
  <c r="H20" i="47"/>
  <c r="I20" i="47" s="1"/>
  <c r="B23" i="47"/>
  <c r="H39" i="47"/>
  <c r="I39" i="47" s="1"/>
  <c r="H26" i="47"/>
  <c r="I26" i="47" s="1"/>
  <c r="E17" i="46"/>
  <c r="G17" i="46" s="1"/>
  <c r="D17" i="46"/>
  <c r="H20" i="46"/>
  <c r="I20" i="46" s="1"/>
  <c r="B8" i="46"/>
  <c r="B38" i="46" s="1"/>
  <c r="B23" i="46"/>
  <c r="H39" i="46"/>
  <c r="I39" i="46" s="1"/>
  <c r="H26" i="46"/>
  <c r="I26" i="46" s="1"/>
  <c r="H41" i="46" l="1"/>
  <c r="I41" i="46" s="1"/>
  <c r="H41" i="50"/>
  <c r="I41" i="50" s="1"/>
  <c r="H41" i="51"/>
  <c r="I41" i="51" s="1"/>
  <c r="H41" i="53"/>
  <c r="I41" i="53" s="1"/>
  <c r="H31" i="70"/>
  <c r="I31" i="70" s="1"/>
  <c r="H31" i="67"/>
  <c r="I31" i="67" s="1"/>
  <c r="E30" i="76"/>
  <c r="G30" i="76" s="1"/>
  <c r="D30" i="76"/>
  <c r="E30" i="73"/>
  <c r="G30" i="73" s="1"/>
  <c r="D30" i="73"/>
  <c r="H38" i="53"/>
  <c r="I38" i="53" s="1"/>
  <c r="H38" i="48"/>
  <c r="I38" i="48" s="1"/>
  <c r="H31" i="68"/>
  <c r="I31" i="68" s="1"/>
  <c r="H31" i="64"/>
  <c r="I31" i="64" s="1"/>
  <c r="E30" i="81"/>
  <c r="G30" i="81" s="1"/>
  <c r="D30" i="81"/>
  <c r="E30" i="79"/>
  <c r="G30" i="79" s="1"/>
  <c r="D30" i="79"/>
  <c r="B13" i="72"/>
  <c r="B30" i="72"/>
  <c r="H31" i="65"/>
  <c r="I31" i="65" s="1"/>
  <c r="E30" i="78"/>
  <c r="G30" i="78" s="1"/>
  <c r="D30" i="78"/>
  <c r="E30" i="75"/>
  <c r="G30" i="75" s="1"/>
  <c r="D30" i="75"/>
  <c r="E38" i="54"/>
  <c r="G38" i="54" s="1"/>
  <c r="D38" i="54"/>
  <c r="D38" i="46"/>
  <c r="E38" i="46"/>
  <c r="G38" i="46" s="1"/>
  <c r="H38" i="47"/>
  <c r="I38" i="47" s="1"/>
  <c r="E38" i="49"/>
  <c r="G38" i="49" s="1"/>
  <c r="D38" i="49"/>
  <c r="E38" i="50"/>
  <c r="G38" i="50" s="1"/>
  <c r="D38" i="50"/>
  <c r="E38" i="52"/>
  <c r="G38" i="52" s="1"/>
  <c r="D38" i="52"/>
  <c r="E38" i="56"/>
  <c r="G38" i="56" s="1"/>
  <c r="D38" i="56"/>
  <c r="E38" i="60"/>
  <c r="G38" i="60" s="1"/>
  <c r="D38" i="60"/>
  <c r="H38" i="62"/>
  <c r="I38" i="62" s="1"/>
  <c r="H38" i="51"/>
  <c r="I38" i="51" s="1"/>
  <c r="E38" i="61"/>
  <c r="G38" i="61" s="1"/>
  <c r="D38" i="61"/>
  <c r="H38" i="57"/>
  <c r="I38" i="57" s="1"/>
  <c r="H38" i="59"/>
  <c r="I38" i="59" s="1"/>
  <c r="D38" i="58"/>
  <c r="E38" i="58"/>
  <c r="G38" i="58" s="1"/>
  <c r="H41" i="48"/>
  <c r="I41" i="48" s="1"/>
  <c r="H41" i="56"/>
  <c r="I41" i="56" s="1"/>
  <c r="H41" i="47"/>
  <c r="I41" i="47" s="1"/>
  <c r="H41" i="59"/>
  <c r="I41" i="59" s="1"/>
  <c r="D13" i="68"/>
  <c r="H13" i="68" s="1"/>
  <c r="I13" i="68" s="1"/>
  <c r="G26" i="73"/>
  <c r="D13" i="67"/>
  <c r="H13" i="67" s="1"/>
  <c r="I13" i="67" s="1"/>
  <c r="G26" i="76"/>
  <c r="E13" i="56"/>
  <c r="G13" i="56" s="1"/>
  <c r="H13" i="56" s="1"/>
  <c r="I13" i="56" s="1"/>
  <c r="E13" i="70"/>
  <c r="G13" i="70" s="1"/>
  <c r="H13" i="70" s="1"/>
  <c r="I13" i="70" s="1"/>
  <c r="G26" i="75"/>
  <c r="G26" i="79"/>
  <c r="G26" i="81"/>
  <c r="G26" i="78"/>
  <c r="E13" i="64"/>
  <c r="G13" i="64" s="1"/>
  <c r="H13" i="64" s="1"/>
  <c r="I13" i="64" s="1"/>
  <c r="G26" i="72"/>
  <c r="E23" i="46"/>
  <c r="E23" i="47"/>
  <c r="E27" i="47"/>
  <c r="G27" i="47" s="1"/>
  <c r="D27" i="47"/>
  <c r="E31" i="47"/>
  <c r="G31" i="47" s="1"/>
  <c r="D36" i="47"/>
  <c r="E36" i="47"/>
  <c r="G36" i="47" s="1"/>
  <c r="E23" i="48"/>
  <c r="E27" i="48"/>
  <c r="G27" i="48" s="1"/>
  <c r="D27" i="48"/>
  <c r="E31" i="48"/>
  <c r="G31" i="48" s="1"/>
  <c r="E36" i="48"/>
  <c r="G36" i="48" s="1"/>
  <c r="D36" i="48"/>
  <c r="E27" i="51"/>
  <c r="G27" i="51" s="1"/>
  <c r="D27" i="51"/>
  <c r="E31" i="51"/>
  <c r="G31" i="51" s="1"/>
  <c r="D36" i="51"/>
  <c r="E36" i="51"/>
  <c r="G36" i="51" s="1"/>
  <c r="E28" i="53"/>
  <c r="G28" i="53" s="1"/>
  <c r="D28" i="53"/>
  <c r="E32" i="53"/>
  <c r="G32" i="53" s="1"/>
  <c r="D37" i="53"/>
  <c r="E37" i="53"/>
  <c r="G37" i="53" s="1"/>
  <c r="E23" i="57"/>
  <c r="E27" i="57"/>
  <c r="G27" i="57" s="1"/>
  <c r="D27" i="57"/>
  <c r="E31" i="57"/>
  <c r="G31" i="57" s="1"/>
  <c r="E36" i="57"/>
  <c r="G36" i="57" s="1"/>
  <c r="D36" i="57"/>
  <c r="E27" i="59"/>
  <c r="G27" i="59" s="1"/>
  <c r="D27" i="59"/>
  <c r="E31" i="59"/>
  <c r="G31" i="59" s="1"/>
  <c r="E36" i="59"/>
  <c r="G36" i="59" s="1"/>
  <c r="D36" i="59"/>
  <c r="E23" i="62"/>
  <c r="E27" i="62"/>
  <c r="G27" i="62" s="1"/>
  <c r="D27" i="62"/>
  <c r="E31" i="62"/>
  <c r="G31" i="62" s="1"/>
  <c r="D36" i="62"/>
  <c r="E36" i="62"/>
  <c r="G36" i="62" s="1"/>
  <c r="E19" i="64"/>
  <c r="E30" i="64"/>
  <c r="G30" i="64" s="1"/>
  <c r="D30" i="64"/>
  <c r="E25" i="64"/>
  <c r="G25" i="64" s="1"/>
  <c r="E21" i="65"/>
  <c r="D30" i="65"/>
  <c r="E30" i="65"/>
  <c r="G30" i="65" s="1"/>
  <c r="E25" i="65"/>
  <c r="G25" i="65" s="1"/>
  <c r="E26" i="67"/>
  <c r="G26" i="67" s="1"/>
  <c r="E23" i="67"/>
  <c r="G23" i="67" s="1"/>
  <c r="D23" i="67"/>
  <c r="D29" i="67"/>
  <c r="E29" i="67"/>
  <c r="G29" i="67" s="1"/>
  <c r="E19" i="68"/>
  <c r="E26" i="68"/>
  <c r="G26" i="68" s="1"/>
  <c r="E23" i="68"/>
  <c r="G23" i="68" s="1"/>
  <c r="D23" i="68"/>
  <c r="E29" i="68"/>
  <c r="G29" i="68" s="1"/>
  <c r="D29" i="68"/>
  <c r="E19" i="70"/>
  <c r="D30" i="70"/>
  <c r="E30" i="70"/>
  <c r="G30" i="70" s="1"/>
  <c r="E25" i="70"/>
  <c r="G25" i="70" s="1"/>
  <c r="E29" i="73"/>
  <c r="G29" i="73" s="1"/>
  <c r="D29" i="73"/>
  <c r="E29" i="75"/>
  <c r="G29" i="75" s="1"/>
  <c r="D29" i="75"/>
  <c r="D29" i="76"/>
  <c r="E29" i="76"/>
  <c r="G29" i="76" s="1"/>
  <c r="D29" i="78"/>
  <c r="E29" i="78"/>
  <c r="G29" i="78" s="1"/>
  <c r="E29" i="79"/>
  <c r="G29" i="79" s="1"/>
  <c r="D29" i="79"/>
  <c r="D28" i="81"/>
  <c r="E28" i="81"/>
  <c r="G28" i="81" s="1"/>
  <c r="E24" i="47"/>
  <c r="E28" i="47"/>
  <c r="G28" i="47" s="1"/>
  <c r="D28" i="47"/>
  <c r="E32" i="47"/>
  <c r="G32" i="47" s="1"/>
  <c r="D37" i="47"/>
  <c r="E37" i="47"/>
  <c r="G37" i="47" s="1"/>
  <c r="E28" i="48"/>
  <c r="G28" i="48" s="1"/>
  <c r="D28" i="48"/>
  <c r="E32" i="48"/>
  <c r="G32" i="48" s="1"/>
  <c r="E37" i="48"/>
  <c r="G37" i="48" s="1"/>
  <c r="D37" i="48"/>
  <c r="E23" i="50"/>
  <c r="E23" i="51"/>
  <c r="E24" i="51"/>
  <c r="E28" i="51"/>
  <c r="G28" i="51" s="1"/>
  <c r="D28" i="51"/>
  <c r="E32" i="51"/>
  <c r="G32" i="51" s="1"/>
  <c r="D37" i="51"/>
  <c r="E37" i="51"/>
  <c r="G37" i="51" s="1"/>
  <c r="E23" i="52"/>
  <c r="E23" i="53"/>
  <c r="E27" i="53"/>
  <c r="G27" i="53" s="1"/>
  <c r="D27" i="53"/>
  <c r="E31" i="53"/>
  <c r="G31" i="53" s="1"/>
  <c r="D36" i="53"/>
  <c r="E36" i="53"/>
  <c r="G36" i="53" s="1"/>
  <c r="E23" i="54"/>
  <c r="E23" i="56"/>
  <c r="E28" i="57"/>
  <c r="G28" i="57" s="1"/>
  <c r="D28" i="57"/>
  <c r="E32" i="57"/>
  <c r="G32" i="57" s="1"/>
  <c r="E37" i="57"/>
  <c r="G37" i="57" s="1"/>
  <c r="D37" i="57"/>
  <c r="E23" i="58"/>
  <c r="E23" i="59"/>
  <c r="E28" i="59"/>
  <c r="G28" i="59" s="1"/>
  <c r="D28" i="59"/>
  <c r="E32" i="59"/>
  <c r="G32" i="59" s="1"/>
  <c r="E37" i="59"/>
  <c r="G37" i="59" s="1"/>
  <c r="D37" i="59"/>
  <c r="E23" i="60"/>
  <c r="E23" i="61"/>
  <c r="E28" i="62"/>
  <c r="G28" i="62" s="1"/>
  <c r="D28" i="62"/>
  <c r="E32" i="62"/>
  <c r="G32" i="62" s="1"/>
  <c r="D37" i="62"/>
  <c r="E37" i="62"/>
  <c r="G37" i="62" s="1"/>
  <c r="E21" i="64"/>
  <c r="E26" i="64"/>
  <c r="G26" i="64" s="1"/>
  <c r="E23" i="64"/>
  <c r="G23" i="64" s="1"/>
  <c r="D23" i="64"/>
  <c r="E29" i="64"/>
  <c r="G29" i="64" s="1"/>
  <c r="D29" i="64"/>
  <c r="E19" i="65"/>
  <c r="E26" i="65"/>
  <c r="G26" i="65" s="1"/>
  <c r="E23" i="65"/>
  <c r="G23" i="65" s="1"/>
  <c r="D23" i="65"/>
  <c r="D29" i="65"/>
  <c r="E29" i="65"/>
  <c r="G29" i="65" s="1"/>
  <c r="E21" i="67"/>
  <c r="E19" i="67"/>
  <c r="D30" i="67"/>
  <c r="E30" i="67"/>
  <c r="G30" i="67" s="1"/>
  <c r="E25" i="67"/>
  <c r="G25" i="67" s="1"/>
  <c r="E21" i="68"/>
  <c r="E30" i="68"/>
  <c r="G30" i="68" s="1"/>
  <c r="D30" i="68"/>
  <c r="E25" i="68"/>
  <c r="G25" i="68" s="1"/>
  <c r="E21" i="70"/>
  <c r="E26" i="70"/>
  <c r="G26" i="70" s="1"/>
  <c r="E23" i="70"/>
  <c r="G23" i="70" s="1"/>
  <c r="D23" i="70"/>
  <c r="D29" i="70"/>
  <c r="E29" i="70"/>
  <c r="G29" i="70" s="1"/>
  <c r="E28" i="73"/>
  <c r="G28" i="73" s="1"/>
  <c r="D28" i="73"/>
  <c r="E28" i="75"/>
  <c r="G28" i="75" s="1"/>
  <c r="D28" i="75"/>
  <c r="D28" i="76"/>
  <c r="E28" i="76"/>
  <c r="G28" i="76" s="1"/>
  <c r="D28" i="78"/>
  <c r="E28" i="78"/>
  <c r="G28" i="78" s="1"/>
  <c r="E23" i="49"/>
  <c r="E28" i="79"/>
  <c r="G28" i="79" s="1"/>
  <c r="D28" i="79"/>
  <c r="D29" i="81"/>
  <c r="E29" i="81"/>
  <c r="G29" i="81" s="1"/>
  <c r="D15" i="61"/>
  <c r="H15" i="61" s="1"/>
  <c r="I15" i="61" s="1"/>
  <c r="E13" i="49"/>
  <c r="G13" i="49" s="1"/>
  <c r="H13" i="49" s="1"/>
  <c r="I13" i="49" s="1"/>
  <c r="D15" i="53"/>
  <c r="H15" i="53" s="1"/>
  <c r="I15" i="53" s="1"/>
  <c r="D15" i="62"/>
  <c r="H15" i="62" s="1"/>
  <c r="I15" i="62" s="1"/>
  <c r="G18" i="62"/>
  <c r="G18" i="53"/>
  <c r="E13" i="46"/>
  <c r="G13" i="46" s="1"/>
  <c r="H13" i="46" s="1"/>
  <c r="I13" i="46" s="1"/>
  <c r="E15" i="47"/>
  <c r="G15" i="47" s="1"/>
  <c r="H15" i="47" s="1"/>
  <c r="I15" i="47" s="1"/>
  <c r="E13" i="52"/>
  <c r="G13" i="52" s="1"/>
  <c r="H13" i="52" s="1"/>
  <c r="I13" i="52" s="1"/>
  <c r="D17" i="53"/>
  <c r="H17" i="53" s="1"/>
  <c r="I17" i="53" s="1"/>
  <c r="D17" i="57"/>
  <c r="H17" i="57" s="1"/>
  <c r="I17" i="57" s="1"/>
  <c r="D17" i="62"/>
  <c r="H17" i="62" s="1"/>
  <c r="I17" i="62" s="1"/>
  <c r="E13" i="65"/>
  <c r="G13" i="65" s="1"/>
  <c r="H13" i="65" s="1"/>
  <c r="I13" i="65" s="1"/>
  <c r="E15" i="51"/>
  <c r="G15" i="51" s="1"/>
  <c r="H15" i="51" s="1"/>
  <c r="I15" i="51" s="1"/>
  <c r="E12" i="50"/>
  <c r="G12" i="50" s="1"/>
  <c r="H12" i="50" s="1"/>
  <c r="I12" i="50" s="1"/>
  <c r="E17" i="51"/>
  <c r="G17" i="51" s="1"/>
  <c r="H17" i="51" s="1"/>
  <c r="I17" i="51" s="1"/>
  <c r="D16" i="53"/>
  <c r="H16" i="53" s="1"/>
  <c r="I16" i="53" s="1"/>
  <c r="D15" i="57"/>
  <c r="H15" i="57" s="1"/>
  <c r="I15" i="57" s="1"/>
  <c r="D16" i="62"/>
  <c r="H16" i="62" s="1"/>
  <c r="I16" i="62" s="1"/>
  <c r="E13" i="81"/>
  <c r="G13" i="81" s="1"/>
  <c r="D13" i="81"/>
  <c r="D15" i="81" s="1"/>
  <c r="E13" i="79"/>
  <c r="G13" i="79" s="1"/>
  <c r="D13" i="79"/>
  <c r="D15" i="79" s="1"/>
  <c r="D17" i="48"/>
  <c r="H17" i="48" s="1"/>
  <c r="I17" i="48" s="1"/>
  <c r="G18" i="57"/>
  <c r="E12" i="60"/>
  <c r="G12" i="60" s="1"/>
  <c r="H12" i="60" s="1"/>
  <c r="I12" i="60" s="1"/>
  <c r="D15" i="48"/>
  <c r="H15" i="48" s="1"/>
  <c r="I15" i="48" s="1"/>
  <c r="G18" i="48"/>
  <c r="E13" i="78"/>
  <c r="G13" i="78" s="1"/>
  <c r="D13" i="78"/>
  <c r="D15" i="78" s="1"/>
  <c r="E13" i="76"/>
  <c r="G13" i="76" s="1"/>
  <c r="D13" i="76"/>
  <c r="D15" i="76" s="1"/>
  <c r="E13" i="75"/>
  <c r="D13" i="75"/>
  <c r="D15" i="75" s="1"/>
  <c r="E13" i="73"/>
  <c r="G13" i="73" s="1"/>
  <c r="D13" i="73"/>
  <c r="D15" i="73" s="1"/>
  <c r="B28" i="72"/>
  <c r="B29" i="72"/>
  <c r="E12" i="70"/>
  <c r="G12" i="70" s="1"/>
  <c r="D12" i="70"/>
  <c r="D14" i="70" s="1"/>
  <c r="E12" i="68"/>
  <c r="G12" i="68" s="1"/>
  <c r="D12" i="68"/>
  <c r="E12" i="67"/>
  <c r="G12" i="67" s="1"/>
  <c r="D12" i="67"/>
  <c r="E12" i="65"/>
  <c r="G12" i="65" s="1"/>
  <c r="D12" i="65"/>
  <c r="D14" i="65" s="1"/>
  <c r="E12" i="64"/>
  <c r="G12" i="64" s="1"/>
  <c r="D12" i="64"/>
  <c r="D14" i="64" s="1"/>
  <c r="D12" i="62"/>
  <c r="E12" i="62"/>
  <c r="G12" i="62" s="1"/>
  <c r="D13" i="62"/>
  <c r="E13" i="62"/>
  <c r="G13" i="62" s="1"/>
  <c r="E16" i="61"/>
  <c r="G16" i="61" s="1"/>
  <c r="D16" i="61"/>
  <c r="D13" i="61"/>
  <c r="E13" i="61"/>
  <c r="G13" i="61" s="1"/>
  <c r="B37" i="61"/>
  <c r="B36" i="61"/>
  <c r="B32" i="61"/>
  <c r="B31" i="61"/>
  <c r="B28" i="61"/>
  <c r="B27" i="61"/>
  <c r="D12" i="61"/>
  <c r="E12" i="61"/>
  <c r="G12" i="61" s="1"/>
  <c r="H17" i="61"/>
  <c r="I17" i="61" s="1"/>
  <c r="E16" i="60"/>
  <c r="G16" i="60" s="1"/>
  <c r="D16" i="60"/>
  <c r="E15" i="60"/>
  <c r="G15" i="60" s="1"/>
  <c r="D15" i="60"/>
  <c r="D13" i="60"/>
  <c r="D14" i="60" s="1"/>
  <c r="E13" i="60"/>
  <c r="G13" i="60" s="1"/>
  <c r="B37" i="60"/>
  <c r="B36" i="60"/>
  <c r="B32" i="60"/>
  <c r="B31" i="60"/>
  <c r="B28" i="60"/>
  <c r="B27" i="60"/>
  <c r="H17" i="60"/>
  <c r="I17" i="60" s="1"/>
  <c r="E13" i="59"/>
  <c r="G13" i="59" s="1"/>
  <c r="D13" i="59"/>
  <c r="D17" i="59"/>
  <c r="E17" i="59"/>
  <c r="G17" i="59" s="1"/>
  <c r="D15" i="59"/>
  <c r="E15" i="59"/>
  <c r="G15" i="59" s="1"/>
  <c r="E12" i="59"/>
  <c r="G12" i="59" s="1"/>
  <c r="D12" i="59"/>
  <c r="D16" i="59"/>
  <c r="E16" i="59"/>
  <c r="G16" i="59" s="1"/>
  <c r="E15" i="58"/>
  <c r="G15" i="58" s="1"/>
  <c r="D15" i="58"/>
  <c r="D12" i="58"/>
  <c r="E12" i="58"/>
  <c r="G12" i="58" s="1"/>
  <c r="H17" i="58"/>
  <c r="I17" i="58" s="1"/>
  <c r="E16" i="58"/>
  <c r="G16" i="58" s="1"/>
  <c r="D16" i="58"/>
  <c r="D13" i="58"/>
  <c r="E13" i="58"/>
  <c r="G13" i="58" s="1"/>
  <c r="B37" i="58"/>
  <c r="B36" i="58"/>
  <c r="B32" i="58"/>
  <c r="B31" i="58"/>
  <c r="B28" i="58"/>
  <c r="B27" i="58"/>
  <c r="D16" i="57"/>
  <c r="H16" i="57" s="1"/>
  <c r="I16" i="57" s="1"/>
  <c r="D12" i="57"/>
  <c r="E12" i="57"/>
  <c r="G12" i="57" s="1"/>
  <c r="D13" i="57"/>
  <c r="E13" i="57"/>
  <c r="G13" i="57" s="1"/>
  <c r="E16" i="56"/>
  <c r="G16" i="56" s="1"/>
  <c r="D16" i="56"/>
  <c r="B37" i="56"/>
  <c r="B36" i="56"/>
  <c r="B32" i="56"/>
  <c r="B31" i="56"/>
  <c r="B28" i="56"/>
  <c r="B27" i="56"/>
  <c r="H17" i="56"/>
  <c r="I17" i="56" s="1"/>
  <c r="E15" i="56"/>
  <c r="G15" i="56" s="1"/>
  <c r="D15" i="56"/>
  <c r="D12" i="56"/>
  <c r="D14" i="56" s="1"/>
  <c r="E12" i="56"/>
  <c r="G12" i="56" s="1"/>
  <c r="E13" i="54"/>
  <c r="G13" i="54" s="1"/>
  <c r="H13" i="54" s="1"/>
  <c r="I13" i="54" s="1"/>
  <c r="E16" i="54"/>
  <c r="G16" i="54" s="1"/>
  <c r="D16" i="54"/>
  <c r="D12" i="54"/>
  <c r="D14" i="54" s="1"/>
  <c r="E12" i="54"/>
  <c r="G12" i="54" s="1"/>
  <c r="E15" i="54"/>
  <c r="G15" i="54" s="1"/>
  <c r="D15" i="54"/>
  <c r="B37" i="54"/>
  <c r="B36" i="54"/>
  <c r="B32" i="54"/>
  <c r="B31" i="54"/>
  <c r="B28" i="54"/>
  <c r="B27" i="54"/>
  <c r="H17" i="54"/>
  <c r="I17" i="54" s="1"/>
  <c r="D12" i="53"/>
  <c r="E12" i="53"/>
  <c r="G12" i="53" s="1"/>
  <c r="D13" i="53"/>
  <c r="E13" i="53"/>
  <c r="G13" i="53" s="1"/>
  <c r="E15" i="52"/>
  <c r="G15" i="52" s="1"/>
  <c r="D15" i="52"/>
  <c r="B37" i="52"/>
  <c r="B36" i="52"/>
  <c r="B32" i="52"/>
  <c r="B31" i="52"/>
  <c r="B28" i="52"/>
  <c r="B27" i="52"/>
  <c r="E16" i="52"/>
  <c r="G16" i="52" s="1"/>
  <c r="D16" i="52"/>
  <c r="D12" i="52"/>
  <c r="D14" i="52" s="1"/>
  <c r="E12" i="52"/>
  <c r="G12" i="52" s="1"/>
  <c r="H17" i="52"/>
  <c r="I17" i="52" s="1"/>
  <c r="E16" i="51"/>
  <c r="G16" i="51" s="1"/>
  <c r="D18" i="51"/>
  <c r="E12" i="51"/>
  <c r="G12" i="51" s="1"/>
  <c r="D12" i="51"/>
  <c r="E13" i="51"/>
  <c r="G13" i="51" s="1"/>
  <c r="D13" i="51"/>
  <c r="E16" i="50"/>
  <c r="G16" i="50" s="1"/>
  <c r="D16" i="50"/>
  <c r="E15" i="50"/>
  <c r="G15" i="50" s="1"/>
  <c r="D15" i="50"/>
  <c r="D13" i="50"/>
  <c r="D14" i="50" s="1"/>
  <c r="E13" i="50"/>
  <c r="G13" i="50" s="1"/>
  <c r="B37" i="50"/>
  <c r="B36" i="50"/>
  <c r="B32" i="50"/>
  <c r="B31" i="50"/>
  <c r="B28" i="50"/>
  <c r="B27" i="50"/>
  <c r="H17" i="50"/>
  <c r="I17" i="50" s="1"/>
  <c r="E16" i="49"/>
  <c r="G16" i="49" s="1"/>
  <c r="D16" i="49"/>
  <c r="D12" i="49"/>
  <c r="D14" i="49" s="1"/>
  <c r="E12" i="49"/>
  <c r="G12" i="49" s="1"/>
  <c r="E15" i="49"/>
  <c r="G15" i="49" s="1"/>
  <c r="D15" i="49"/>
  <c r="B37" i="49"/>
  <c r="B36" i="49"/>
  <c r="B32" i="49"/>
  <c r="B31" i="49"/>
  <c r="B28" i="49"/>
  <c r="B27" i="49"/>
  <c r="H17" i="49"/>
  <c r="I17" i="49" s="1"/>
  <c r="D16" i="48"/>
  <c r="H16" i="48" s="1"/>
  <c r="I16" i="48" s="1"/>
  <c r="D12" i="48"/>
  <c r="E12" i="48"/>
  <c r="G12" i="48" s="1"/>
  <c r="D13" i="48"/>
  <c r="E13" i="48"/>
  <c r="G13" i="48" s="1"/>
  <c r="E13" i="47"/>
  <c r="G13" i="47" s="1"/>
  <c r="D13" i="47"/>
  <c r="D17" i="47"/>
  <c r="E17" i="47"/>
  <c r="G17" i="47" s="1"/>
  <c r="E12" i="47"/>
  <c r="G12" i="47" s="1"/>
  <c r="D12" i="47"/>
  <c r="D16" i="47"/>
  <c r="E16" i="47"/>
  <c r="G16" i="47" s="1"/>
  <c r="H17" i="46"/>
  <c r="I17" i="46" s="1"/>
  <c r="E15" i="46"/>
  <c r="G15" i="46" s="1"/>
  <c r="D15" i="46"/>
  <c r="D12" i="46"/>
  <c r="D14" i="46" s="1"/>
  <c r="E12" i="46"/>
  <c r="G12" i="46" s="1"/>
  <c r="B37" i="46"/>
  <c r="B36" i="46"/>
  <c r="B32" i="46"/>
  <c r="B31" i="46"/>
  <c r="B28" i="46"/>
  <c r="B27" i="46"/>
  <c r="E16" i="46"/>
  <c r="G16" i="46" s="1"/>
  <c r="D16" i="46"/>
  <c r="D18" i="47" l="1"/>
  <c r="G13" i="75"/>
  <c r="G15" i="75" s="1"/>
  <c r="G32" i="79"/>
  <c r="H38" i="60"/>
  <c r="I38" i="60" s="1"/>
  <c r="H38" i="52"/>
  <c r="I38" i="52" s="1"/>
  <c r="H38" i="49"/>
  <c r="I38" i="49" s="1"/>
  <c r="H30" i="76"/>
  <c r="I30" i="76" s="1"/>
  <c r="D32" i="79"/>
  <c r="H30" i="75"/>
  <c r="I30" i="75" s="1"/>
  <c r="H30" i="79"/>
  <c r="I30" i="79" s="1"/>
  <c r="H30" i="81"/>
  <c r="I30" i="81" s="1"/>
  <c r="H38" i="46"/>
  <c r="I38" i="46" s="1"/>
  <c r="H30" i="78"/>
  <c r="I30" i="78" s="1"/>
  <c r="E30" i="72"/>
  <c r="G30" i="72" s="1"/>
  <c r="D30" i="72"/>
  <c r="H30" i="73"/>
  <c r="I30" i="73" s="1"/>
  <c r="H38" i="54"/>
  <c r="I38" i="54" s="1"/>
  <c r="H38" i="58"/>
  <c r="I38" i="58" s="1"/>
  <c r="H38" i="61"/>
  <c r="I38" i="61" s="1"/>
  <c r="H38" i="56"/>
  <c r="I38" i="56" s="1"/>
  <c r="H38" i="50"/>
  <c r="I38" i="50" s="1"/>
  <c r="D14" i="61"/>
  <c r="D18" i="61"/>
  <c r="D14" i="68"/>
  <c r="D14" i="67"/>
  <c r="G27" i="67"/>
  <c r="D33" i="65"/>
  <c r="G33" i="53"/>
  <c r="G33" i="65"/>
  <c r="G40" i="53"/>
  <c r="D14" i="59"/>
  <c r="D40" i="53"/>
  <c r="G32" i="78"/>
  <c r="D32" i="75"/>
  <c r="D32" i="73"/>
  <c r="G33" i="70"/>
  <c r="G33" i="64"/>
  <c r="G32" i="76"/>
  <c r="D32" i="78"/>
  <c r="D32" i="76"/>
  <c r="G32" i="75"/>
  <c r="G32" i="73"/>
  <c r="D33" i="70"/>
  <c r="D33" i="64"/>
  <c r="G27" i="68"/>
  <c r="G18" i="51"/>
  <c r="H18" i="51" s="1"/>
  <c r="I18" i="51" s="1"/>
  <c r="E28" i="46"/>
  <c r="G28" i="46" s="1"/>
  <c r="D28" i="46"/>
  <c r="E32" i="46"/>
  <c r="G32" i="46" s="1"/>
  <c r="E37" i="46"/>
  <c r="G37" i="46" s="1"/>
  <c r="D37" i="46"/>
  <c r="E28" i="49"/>
  <c r="G28" i="49" s="1"/>
  <c r="D28" i="49"/>
  <c r="E32" i="49"/>
  <c r="G32" i="49" s="1"/>
  <c r="D37" i="49"/>
  <c r="E37" i="49"/>
  <c r="G37" i="49" s="1"/>
  <c r="E28" i="50"/>
  <c r="G28" i="50" s="1"/>
  <c r="D28" i="50"/>
  <c r="E32" i="50"/>
  <c r="G32" i="50" s="1"/>
  <c r="E37" i="50"/>
  <c r="G37" i="50" s="1"/>
  <c r="D37" i="50"/>
  <c r="E27" i="52"/>
  <c r="G27" i="52" s="1"/>
  <c r="D27" i="52"/>
  <c r="E31" i="52"/>
  <c r="G31" i="52" s="1"/>
  <c r="E36" i="52"/>
  <c r="G36" i="52" s="1"/>
  <c r="D36" i="52"/>
  <c r="E27" i="54"/>
  <c r="G27" i="54" s="1"/>
  <c r="D27" i="54"/>
  <c r="E31" i="54"/>
  <c r="G31" i="54" s="1"/>
  <c r="D36" i="54"/>
  <c r="E36" i="54"/>
  <c r="G36" i="54" s="1"/>
  <c r="E28" i="56"/>
  <c r="G28" i="56" s="1"/>
  <c r="D28" i="56"/>
  <c r="E32" i="56"/>
  <c r="G32" i="56" s="1"/>
  <c r="D37" i="56"/>
  <c r="E37" i="56"/>
  <c r="G37" i="56" s="1"/>
  <c r="E27" i="58"/>
  <c r="G27" i="58" s="1"/>
  <c r="D27" i="58"/>
  <c r="E31" i="58"/>
  <c r="G31" i="58" s="1"/>
  <c r="D36" i="58"/>
  <c r="E36" i="58"/>
  <c r="G36" i="58" s="1"/>
  <c r="E27" i="60"/>
  <c r="G27" i="60" s="1"/>
  <c r="D27" i="60"/>
  <c r="E31" i="60"/>
  <c r="G31" i="60" s="1"/>
  <c r="D36" i="60"/>
  <c r="E36" i="60"/>
  <c r="G36" i="60" s="1"/>
  <c r="E27" i="61"/>
  <c r="G27" i="61" s="1"/>
  <c r="D27" i="61"/>
  <c r="E31" i="61"/>
  <c r="G31" i="61" s="1"/>
  <c r="E36" i="61"/>
  <c r="G36" i="61" s="1"/>
  <c r="D36" i="61"/>
  <c r="D29" i="72"/>
  <c r="E29" i="72"/>
  <c r="G29" i="72" s="1"/>
  <c r="G32" i="81"/>
  <c r="D33" i="68"/>
  <c r="G33" i="67"/>
  <c r="G40" i="62"/>
  <c r="D40" i="59"/>
  <c r="D40" i="57"/>
  <c r="G40" i="51"/>
  <c r="D40" i="48"/>
  <c r="G40" i="47"/>
  <c r="E27" i="46"/>
  <c r="G27" i="46" s="1"/>
  <c r="D27" i="46"/>
  <c r="E31" i="46"/>
  <c r="G31" i="46" s="1"/>
  <c r="E36" i="46"/>
  <c r="G36" i="46" s="1"/>
  <c r="D36" i="46"/>
  <c r="E27" i="49"/>
  <c r="G27" i="49" s="1"/>
  <c r="D27" i="49"/>
  <c r="E31" i="49"/>
  <c r="G31" i="49" s="1"/>
  <c r="D36" i="49"/>
  <c r="E36" i="49"/>
  <c r="G36" i="49" s="1"/>
  <c r="E27" i="50"/>
  <c r="G27" i="50" s="1"/>
  <c r="D27" i="50"/>
  <c r="E31" i="50"/>
  <c r="G31" i="50" s="1"/>
  <c r="E36" i="50"/>
  <c r="G36" i="50" s="1"/>
  <c r="D36" i="50"/>
  <c r="E28" i="52"/>
  <c r="G28" i="52" s="1"/>
  <c r="D28" i="52"/>
  <c r="E32" i="52"/>
  <c r="G32" i="52" s="1"/>
  <c r="E37" i="52"/>
  <c r="G37" i="52" s="1"/>
  <c r="D37" i="52"/>
  <c r="E28" i="54"/>
  <c r="G28" i="54" s="1"/>
  <c r="D28" i="54"/>
  <c r="E32" i="54"/>
  <c r="G32" i="54" s="1"/>
  <c r="D37" i="54"/>
  <c r="E37" i="54"/>
  <c r="G37" i="54" s="1"/>
  <c r="E27" i="56"/>
  <c r="G27" i="56" s="1"/>
  <c r="D27" i="56"/>
  <c r="E31" i="56"/>
  <c r="G31" i="56" s="1"/>
  <c r="D36" i="56"/>
  <c r="E36" i="56"/>
  <c r="G36" i="56" s="1"/>
  <c r="E28" i="58"/>
  <c r="G28" i="58" s="1"/>
  <c r="D28" i="58"/>
  <c r="E32" i="58"/>
  <c r="G32" i="58" s="1"/>
  <c r="D37" i="58"/>
  <c r="E37" i="58"/>
  <c r="G37" i="58" s="1"/>
  <c r="E28" i="60"/>
  <c r="G28" i="60" s="1"/>
  <c r="D28" i="60"/>
  <c r="E32" i="60"/>
  <c r="G32" i="60" s="1"/>
  <c r="D37" i="60"/>
  <c r="E37" i="60"/>
  <c r="G37" i="60" s="1"/>
  <c r="E28" i="61"/>
  <c r="G28" i="61" s="1"/>
  <c r="D28" i="61"/>
  <c r="E32" i="61"/>
  <c r="G32" i="61" s="1"/>
  <c r="E37" i="61"/>
  <c r="G37" i="61" s="1"/>
  <c r="D37" i="61"/>
  <c r="D28" i="72"/>
  <c r="E28" i="72"/>
  <c r="G28" i="72" s="1"/>
  <c r="D32" i="81"/>
  <c r="G27" i="70"/>
  <c r="G33" i="68"/>
  <c r="D33" i="67"/>
  <c r="G27" i="65"/>
  <c r="G27" i="64"/>
  <c r="D40" i="62"/>
  <c r="G33" i="62"/>
  <c r="G40" i="59"/>
  <c r="G33" i="59"/>
  <c r="G40" i="57"/>
  <c r="G33" i="57"/>
  <c r="D40" i="51"/>
  <c r="G33" i="51"/>
  <c r="G40" i="48"/>
  <c r="G33" i="48"/>
  <c r="D40" i="47"/>
  <c r="G33" i="47"/>
  <c r="D18" i="53"/>
  <c r="H18" i="53" s="1"/>
  <c r="I18" i="53" s="1"/>
  <c r="D18" i="62"/>
  <c r="H18" i="62" s="1"/>
  <c r="I18" i="62" s="1"/>
  <c r="D18" i="48"/>
  <c r="H18" i="48" s="1"/>
  <c r="I18" i="48" s="1"/>
  <c r="D18" i="49"/>
  <c r="D18" i="50"/>
  <c r="D18" i="60"/>
  <c r="H28" i="81"/>
  <c r="I28" i="81" s="1"/>
  <c r="G15" i="81"/>
  <c r="H13" i="81"/>
  <c r="I13" i="81" s="1"/>
  <c r="H29" i="81"/>
  <c r="I29" i="81" s="1"/>
  <c r="H28" i="79"/>
  <c r="I28" i="79" s="1"/>
  <c r="G15" i="79"/>
  <c r="H13" i="79"/>
  <c r="I13" i="79" s="1"/>
  <c r="H29" i="79"/>
  <c r="I29" i="79" s="1"/>
  <c r="D18" i="57"/>
  <c r="H18" i="57" s="1"/>
  <c r="I18" i="57" s="1"/>
  <c r="H16" i="51"/>
  <c r="I16" i="51" s="1"/>
  <c r="D14" i="51"/>
  <c r="H28" i="78"/>
  <c r="I28" i="78" s="1"/>
  <c r="G15" i="78"/>
  <c r="H13" i="78"/>
  <c r="I13" i="78" s="1"/>
  <c r="H29" i="78"/>
  <c r="I29" i="78" s="1"/>
  <c r="H28" i="76"/>
  <c r="I28" i="76" s="1"/>
  <c r="G15" i="76"/>
  <c r="H13" i="76"/>
  <c r="I13" i="76" s="1"/>
  <c r="H29" i="76"/>
  <c r="I29" i="76" s="1"/>
  <c r="H28" i="75"/>
  <c r="I28" i="75" s="1"/>
  <c r="H29" i="75"/>
  <c r="I29" i="75" s="1"/>
  <c r="H28" i="73"/>
  <c r="I28" i="73" s="1"/>
  <c r="G15" i="73"/>
  <c r="H13" i="73"/>
  <c r="I13" i="73" s="1"/>
  <c r="H29" i="73"/>
  <c r="I29" i="73" s="1"/>
  <c r="E13" i="72"/>
  <c r="D13" i="72"/>
  <c r="D15" i="72" s="1"/>
  <c r="H23" i="70"/>
  <c r="I23" i="70" s="1"/>
  <c r="H30" i="70"/>
  <c r="I30" i="70" s="1"/>
  <c r="H29" i="70"/>
  <c r="I29" i="70" s="1"/>
  <c r="G14" i="70"/>
  <c r="H12" i="70"/>
  <c r="I12" i="70" s="1"/>
  <c r="H23" i="68"/>
  <c r="I23" i="68" s="1"/>
  <c r="H30" i="68"/>
  <c r="I30" i="68" s="1"/>
  <c r="H29" i="68"/>
  <c r="I29" i="68" s="1"/>
  <c r="G14" i="68"/>
  <c r="H12" i="68"/>
  <c r="I12" i="68" s="1"/>
  <c r="H30" i="67"/>
  <c r="I30" i="67" s="1"/>
  <c r="H23" i="67"/>
  <c r="I23" i="67" s="1"/>
  <c r="H29" i="67"/>
  <c r="I29" i="67" s="1"/>
  <c r="G14" i="67"/>
  <c r="H12" i="67"/>
  <c r="I12" i="67" s="1"/>
  <c r="H23" i="65"/>
  <c r="I23" i="65" s="1"/>
  <c r="H30" i="65"/>
  <c r="I30" i="65" s="1"/>
  <c r="H29" i="65"/>
  <c r="I29" i="65" s="1"/>
  <c r="G14" i="65"/>
  <c r="H12" i="65"/>
  <c r="I12" i="65" s="1"/>
  <c r="H23" i="64"/>
  <c r="I23" i="64" s="1"/>
  <c r="H30" i="64"/>
  <c r="I30" i="64" s="1"/>
  <c r="H29" i="64"/>
  <c r="I29" i="64" s="1"/>
  <c r="G14" i="64"/>
  <c r="H12" i="64"/>
  <c r="I12" i="64" s="1"/>
  <c r="D14" i="62"/>
  <c r="H37" i="62"/>
  <c r="I37" i="62" s="1"/>
  <c r="H36" i="62"/>
  <c r="I36" i="62" s="1"/>
  <c r="G14" i="62"/>
  <c r="H12" i="62"/>
  <c r="I12" i="62" s="1"/>
  <c r="H28" i="62"/>
  <c r="I28" i="62" s="1"/>
  <c r="H13" i="62"/>
  <c r="I13" i="62" s="1"/>
  <c r="H27" i="62"/>
  <c r="I27" i="62" s="1"/>
  <c r="G14" i="61"/>
  <c r="H12" i="61"/>
  <c r="I12" i="61" s="1"/>
  <c r="H13" i="61"/>
  <c r="I13" i="61" s="1"/>
  <c r="H16" i="61"/>
  <c r="I16" i="61" s="1"/>
  <c r="G18" i="61"/>
  <c r="H13" i="60"/>
  <c r="I13" i="60" s="1"/>
  <c r="G14" i="60"/>
  <c r="G18" i="60"/>
  <c r="H15" i="60"/>
  <c r="I15" i="60" s="1"/>
  <c r="H16" i="60"/>
  <c r="I16" i="60" s="1"/>
  <c r="D14" i="58"/>
  <c r="H37" i="59"/>
  <c r="I37" i="59" s="1"/>
  <c r="H16" i="59"/>
  <c r="I16" i="59" s="1"/>
  <c r="H27" i="59"/>
  <c r="I27" i="59" s="1"/>
  <c r="G18" i="59"/>
  <c r="H15" i="59"/>
  <c r="I15" i="59" s="1"/>
  <c r="H17" i="59"/>
  <c r="I17" i="59" s="1"/>
  <c r="H28" i="59"/>
  <c r="I28" i="59" s="1"/>
  <c r="G14" i="59"/>
  <c r="H12" i="59"/>
  <c r="I12" i="59" s="1"/>
  <c r="H36" i="59"/>
  <c r="I36" i="59" s="1"/>
  <c r="D18" i="59"/>
  <c r="H13" i="59"/>
  <c r="I13" i="59" s="1"/>
  <c r="G14" i="58"/>
  <c r="H12" i="58"/>
  <c r="I12" i="58" s="1"/>
  <c r="D18" i="58"/>
  <c r="H13" i="58"/>
  <c r="I13" i="58" s="1"/>
  <c r="H16" i="58"/>
  <c r="I16" i="58" s="1"/>
  <c r="G18" i="58"/>
  <c r="H15" i="58"/>
  <c r="I15" i="58" s="1"/>
  <c r="H28" i="57"/>
  <c r="I28" i="57" s="1"/>
  <c r="H13" i="57"/>
  <c r="I13" i="57" s="1"/>
  <c r="H27" i="57"/>
  <c r="I27" i="57" s="1"/>
  <c r="G14" i="57"/>
  <c r="H12" i="57"/>
  <c r="I12" i="57" s="1"/>
  <c r="H37" i="57"/>
  <c r="I37" i="57" s="1"/>
  <c r="H36" i="57"/>
  <c r="I36" i="57" s="1"/>
  <c r="D14" i="57"/>
  <c r="G18" i="56"/>
  <c r="H15" i="56"/>
  <c r="I15" i="56" s="1"/>
  <c r="G14" i="56"/>
  <c r="H12" i="56"/>
  <c r="I12" i="56" s="1"/>
  <c r="D18" i="56"/>
  <c r="H16" i="56"/>
  <c r="I16" i="56" s="1"/>
  <c r="D18" i="54"/>
  <c r="G18" i="54"/>
  <c r="H15" i="54"/>
  <c r="I15" i="54" s="1"/>
  <c r="G14" i="54"/>
  <c r="H12" i="54"/>
  <c r="I12" i="54" s="1"/>
  <c r="H16" i="54"/>
  <c r="I16" i="54" s="1"/>
  <c r="D14" i="53"/>
  <c r="H28" i="53"/>
  <c r="I28" i="53" s="1"/>
  <c r="H37" i="53"/>
  <c r="I37" i="53" s="1"/>
  <c r="H36" i="53"/>
  <c r="I36" i="53" s="1"/>
  <c r="G14" i="53"/>
  <c r="H12" i="53"/>
  <c r="I12" i="53" s="1"/>
  <c r="H13" i="53"/>
  <c r="I13" i="53" s="1"/>
  <c r="H27" i="53"/>
  <c r="I27" i="53" s="1"/>
  <c r="G14" i="52"/>
  <c r="H12" i="52"/>
  <c r="I12" i="52" s="1"/>
  <c r="D18" i="52"/>
  <c r="H16" i="52"/>
  <c r="I16" i="52" s="1"/>
  <c r="G18" i="52"/>
  <c r="H15" i="52"/>
  <c r="I15" i="52" s="1"/>
  <c r="H13" i="51"/>
  <c r="I13" i="51" s="1"/>
  <c r="H36" i="51"/>
  <c r="I36" i="51" s="1"/>
  <c r="H37" i="51"/>
  <c r="I37" i="51" s="1"/>
  <c r="H28" i="51"/>
  <c r="I28" i="51" s="1"/>
  <c r="H27" i="51"/>
  <c r="I27" i="51" s="1"/>
  <c r="G14" i="51"/>
  <c r="H12" i="51"/>
  <c r="I12" i="51" s="1"/>
  <c r="H13" i="50"/>
  <c r="I13" i="50" s="1"/>
  <c r="G18" i="50"/>
  <c r="H15" i="50"/>
  <c r="I15" i="50" s="1"/>
  <c r="G14" i="50"/>
  <c r="H16" i="50"/>
  <c r="I16" i="50" s="1"/>
  <c r="G14" i="49"/>
  <c r="H12" i="49"/>
  <c r="I12" i="49" s="1"/>
  <c r="G18" i="49"/>
  <c r="H15" i="49"/>
  <c r="I15" i="49" s="1"/>
  <c r="H16" i="49"/>
  <c r="I16" i="49" s="1"/>
  <c r="H36" i="48"/>
  <c r="I36" i="48" s="1"/>
  <c r="H27" i="48"/>
  <c r="I27" i="48" s="1"/>
  <c r="H13" i="48"/>
  <c r="I13" i="48" s="1"/>
  <c r="H28" i="48"/>
  <c r="I28" i="48" s="1"/>
  <c r="G14" i="48"/>
  <c r="H12" i="48"/>
  <c r="I12" i="48" s="1"/>
  <c r="H37" i="48"/>
  <c r="I37" i="48" s="1"/>
  <c r="D14" i="48"/>
  <c r="H37" i="47"/>
  <c r="I37" i="47" s="1"/>
  <c r="G14" i="47"/>
  <c r="H12" i="47"/>
  <c r="I12" i="47" s="1"/>
  <c r="H36" i="47"/>
  <c r="I36" i="47" s="1"/>
  <c r="H28" i="47"/>
  <c r="I28" i="47" s="1"/>
  <c r="H16" i="47"/>
  <c r="I16" i="47" s="1"/>
  <c r="D14" i="47"/>
  <c r="H17" i="47"/>
  <c r="I17" i="47" s="1"/>
  <c r="H27" i="47"/>
  <c r="I27" i="47" s="1"/>
  <c r="G18" i="47"/>
  <c r="H13" i="47"/>
  <c r="I13" i="47" s="1"/>
  <c r="G14" i="46"/>
  <c r="H12" i="46"/>
  <c r="I12" i="46" s="1"/>
  <c r="D18" i="46"/>
  <c r="H16" i="46"/>
  <c r="I16" i="46" s="1"/>
  <c r="G18" i="46"/>
  <c r="H15" i="46"/>
  <c r="I15" i="46" s="1"/>
  <c r="H13" i="75" l="1"/>
  <c r="I13" i="75" s="1"/>
  <c r="G13" i="72"/>
  <c r="H13" i="72" s="1"/>
  <c r="I13" i="72" s="1"/>
  <c r="H30" i="72"/>
  <c r="I30" i="72" s="1"/>
  <c r="D32" i="72"/>
  <c r="D40" i="56"/>
  <c r="G33" i="56"/>
  <c r="G40" i="50"/>
  <c r="D40" i="49"/>
  <c r="G33" i="49"/>
  <c r="G40" i="46"/>
  <c r="G33" i="50"/>
  <c r="G33" i="46"/>
  <c r="G32" i="72"/>
  <c r="G40" i="56"/>
  <c r="D40" i="50"/>
  <c r="G40" i="49"/>
  <c r="D40" i="46"/>
  <c r="D40" i="61"/>
  <c r="G40" i="60"/>
  <c r="G40" i="58"/>
  <c r="G40" i="54"/>
  <c r="D40" i="52"/>
  <c r="G40" i="61"/>
  <c r="G33" i="61"/>
  <c r="D40" i="60"/>
  <c r="G33" i="60"/>
  <c r="D40" i="58"/>
  <c r="G33" i="58"/>
  <c r="D40" i="54"/>
  <c r="G33" i="54"/>
  <c r="G40" i="52"/>
  <c r="G33" i="52"/>
  <c r="H32" i="81"/>
  <c r="I32" i="81" s="1"/>
  <c r="H15" i="81"/>
  <c r="I15" i="81" s="1"/>
  <c r="H32" i="79"/>
  <c r="I32" i="79" s="1"/>
  <c r="H15" i="79"/>
  <c r="I15" i="79" s="1"/>
  <c r="H15" i="78"/>
  <c r="I15" i="78" s="1"/>
  <c r="H32" i="78"/>
  <c r="I32" i="78" s="1"/>
  <c r="H15" i="76"/>
  <c r="I15" i="76" s="1"/>
  <c r="H32" i="76"/>
  <c r="I32" i="76" s="1"/>
  <c r="H32" i="75"/>
  <c r="I32" i="75" s="1"/>
  <c r="H15" i="75"/>
  <c r="I15" i="75" s="1"/>
  <c r="H15" i="73"/>
  <c r="I15" i="73" s="1"/>
  <c r="H32" i="73"/>
  <c r="I32" i="73" s="1"/>
  <c r="H29" i="72"/>
  <c r="I29" i="72" s="1"/>
  <c r="H28" i="72"/>
  <c r="I28" i="72" s="1"/>
  <c r="H33" i="70"/>
  <c r="I33" i="70" s="1"/>
  <c r="H14" i="70"/>
  <c r="I14" i="70" s="1"/>
  <c r="H14" i="68"/>
  <c r="I14" i="68" s="1"/>
  <c r="H33" i="68"/>
  <c r="I33" i="68" s="1"/>
  <c r="H14" i="67"/>
  <c r="I14" i="67" s="1"/>
  <c r="H33" i="67"/>
  <c r="I33" i="67" s="1"/>
  <c r="H33" i="65"/>
  <c r="I33" i="65" s="1"/>
  <c r="H14" i="65"/>
  <c r="I14" i="65" s="1"/>
  <c r="H33" i="64"/>
  <c r="I33" i="64" s="1"/>
  <c r="H14" i="64"/>
  <c r="I14" i="64" s="1"/>
  <c r="H40" i="62"/>
  <c r="I40" i="62" s="1"/>
  <c r="H14" i="62"/>
  <c r="I14" i="62" s="1"/>
  <c r="H18" i="61"/>
  <c r="I18" i="61" s="1"/>
  <c r="H37" i="61"/>
  <c r="I37" i="61" s="1"/>
  <c r="H27" i="61"/>
  <c r="I27" i="61" s="1"/>
  <c r="H28" i="61"/>
  <c r="I28" i="61" s="1"/>
  <c r="H36" i="61"/>
  <c r="I36" i="61" s="1"/>
  <c r="H14" i="61"/>
  <c r="I14" i="61" s="1"/>
  <c r="H37" i="60"/>
  <c r="I37" i="60" s="1"/>
  <c r="H27" i="60"/>
  <c r="I27" i="60" s="1"/>
  <c r="H18" i="60"/>
  <c r="I18" i="60" s="1"/>
  <c r="H28" i="60"/>
  <c r="I28" i="60" s="1"/>
  <c r="H14" i="60"/>
  <c r="I14" i="60" s="1"/>
  <c r="H36" i="60"/>
  <c r="I36" i="60" s="1"/>
  <c r="H18" i="59"/>
  <c r="I18" i="59" s="1"/>
  <c r="H40" i="59"/>
  <c r="I40" i="59" s="1"/>
  <c r="H14" i="59"/>
  <c r="I14" i="59" s="1"/>
  <c r="H18" i="58"/>
  <c r="I18" i="58" s="1"/>
  <c r="H27" i="58"/>
  <c r="I27" i="58" s="1"/>
  <c r="H14" i="58"/>
  <c r="I14" i="58" s="1"/>
  <c r="H28" i="58"/>
  <c r="I28" i="58" s="1"/>
  <c r="H36" i="58"/>
  <c r="I36" i="58" s="1"/>
  <c r="H37" i="58"/>
  <c r="I37" i="58" s="1"/>
  <c r="H14" i="57"/>
  <c r="I14" i="57" s="1"/>
  <c r="H40" i="57"/>
  <c r="I40" i="57" s="1"/>
  <c r="H36" i="56"/>
  <c r="I36" i="56" s="1"/>
  <c r="H14" i="56"/>
  <c r="I14" i="56" s="1"/>
  <c r="H37" i="56"/>
  <c r="I37" i="56" s="1"/>
  <c r="H27" i="56"/>
  <c r="I27" i="56" s="1"/>
  <c r="H28" i="56"/>
  <c r="I28" i="56" s="1"/>
  <c r="H18" i="56"/>
  <c r="I18" i="56" s="1"/>
  <c r="H14" i="54"/>
  <c r="I14" i="54" s="1"/>
  <c r="H27" i="54"/>
  <c r="I27" i="54" s="1"/>
  <c r="H28" i="54"/>
  <c r="I28" i="54" s="1"/>
  <c r="H36" i="54"/>
  <c r="I36" i="54" s="1"/>
  <c r="H18" i="54"/>
  <c r="I18" i="54" s="1"/>
  <c r="H37" i="54"/>
  <c r="I37" i="54" s="1"/>
  <c r="H40" i="53"/>
  <c r="I40" i="53" s="1"/>
  <c r="H14" i="53"/>
  <c r="I14" i="53" s="1"/>
  <c r="H27" i="52"/>
  <c r="I27" i="52" s="1"/>
  <c r="H18" i="52"/>
  <c r="I18" i="52" s="1"/>
  <c r="H37" i="52"/>
  <c r="I37" i="52" s="1"/>
  <c r="H28" i="52"/>
  <c r="I28" i="52" s="1"/>
  <c r="H36" i="52"/>
  <c r="I36" i="52" s="1"/>
  <c r="H14" i="52"/>
  <c r="I14" i="52" s="1"/>
  <c r="H40" i="51"/>
  <c r="I40" i="51" s="1"/>
  <c r="H14" i="51"/>
  <c r="I14" i="51" s="1"/>
  <c r="H18" i="50"/>
  <c r="I18" i="50" s="1"/>
  <c r="H28" i="50"/>
  <c r="I28" i="50" s="1"/>
  <c r="H36" i="50"/>
  <c r="I36" i="50" s="1"/>
  <c r="H14" i="50"/>
  <c r="I14" i="50" s="1"/>
  <c r="H37" i="50"/>
  <c r="I37" i="50" s="1"/>
  <c r="H27" i="50"/>
  <c r="I27" i="50" s="1"/>
  <c r="H18" i="49"/>
  <c r="I18" i="49" s="1"/>
  <c r="H37" i="49"/>
  <c r="I37" i="49" s="1"/>
  <c r="H14" i="49"/>
  <c r="I14" i="49" s="1"/>
  <c r="H27" i="49"/>
  <c r="I27" i="49" s="1"/>
  <c r="H28" i="49"/>
  <c r="I28" i="49" s="1"/>
  <c r="H36" i="49"/>
  <c r="I36" i="49" s="1"/>
  <c r="H40" i="48"/>
  <c r="I40" i="48" s="1"/>
  <c r="H14" i="48"/>
  <c r="I14" i="48" s="1"/>
  <c r="H40" i="47"/>
  <c r="I40" i="47" s="1"/>
  <c r="H14" i="47"/>
  <c r="I14" i="47" s="1"/>
  <c r="H18" i="47"/>
  <c r="I18" i="47" s="1"/>
  <c r="H18" i="46"/>
  <c r="I18" i="46" s="1"/>
  <c r="H28" i="46"/>
  <c r="I28" i="46" s="1"/>
  <c r="H27" i="46"/>
  <c r="I27" i="46" s="1"/>
  <c r="H37" i="46"/>
  <c r="I37" i="46" s="1"/>
  <c r="H14" i="46"/>
  <c r="I14" i="46" s="1"/>
  <c r="H36" i="46"/>
  <c r="I36" i="46" s="1"/>
  <c r="G15" i="72" l="1"/>
  <c r="H32" i="72"/>
  <c r="I32" i="72" s="1"/>
  <c r="H40" i="61"/>
  <c r="I40" i="61" s="1"/>
  <c r="H40" i="60"/>
  <c r="I40" i="60" s="1"/>
  <c r="H40" i="58"/>
  <c r="I40" i="58" s="1"/>
  <c r="H40" i="56"/>
  <c r="I40" i="56" s="1"/>
  <c r="H40" i="54"/>
  <c r="I40" i="54" s="1"/>
  <c r="H40" i="52"/>
  <c r="I40" i="52" s="1"/>
  <c r="H40" i="50"/>
  <c r="I40" i="50" s="1"/>
  <c r="H40" i="49"/>
  <c r="I40" i="49" s="1"/>
  <c r="H40" i="46"/>
  <c r="I40" i="46" s="1"/>
  <c r="H15" i="72" l="1"/>
  <c r="I15" i="72" s="1"/>
  <c r="F37" i="5"/>
  <c r="F35" i="5"/>
  <c r="B25" i="5" l="1"/>
  <c r="B24" i="5"/>
  <c r="H17" i="5"/>
  <c r="I17" i="5" s="1"/>
  <c r="F14" i="5"/>
  <c r="F13" i="5"/>
  <c r="F38" i="25"/>
  <c r="F36" i="25"/>
  <c r="F34" i="25"/>
  <c r="B34" i="25"/>
  <c r="E34" i="25" s="1"/>
  <c r="F32" i="25"/>
  <c r="E32" i="25"/>
  <c r="D32" i="25"/>
  <c r="E16" i="25"/>
  <c r="G16" i="25" s="1"/>
  <c r="D16" i="25"/>
  <c r="E15" i="25"/>
  <c r="F13" i="25"/>
  <c r="F12" i="25"/>
  <c r="H16" i="25" l="1"/>
  <c r="I16" i="25" s="1"/>
  <c r="G32" i="25"/>
  <c r="G34" i="25"/>
  <c r="E25" i="5"/>
  <c r="G25" i="5" s="1"/>
  <c r="E24" i="5"/>
  <c r="G24" i="5" s="1"/>
  <c r="H31" i="5"/>
  <c r="I31" i="5" s="1"/>
  <c r="H32" i="25"/>
  <c r="I32" i="25" s="1"/>
  <c r="D34" i="25"/>
  <c r="H34" i="25" s="1"/>
  <c r="I34" i="25" s="1"/>
  <c r="B9" i="4"/>
  <c r="C26" i="4"/>
  <c r="D26" i="4" s="1"/>
  <c r="G26" i="5" l="1"/>
  <c r="B23" i="4"/>
  <c r="B24" i="4"/>
  <c r="B9" i="25" l="1"/>
  <c r="B7" i="25"/>
  <c r="B6" i="25"/>
  <c r="B5" i="25"/>
  <c r="B13" i="25" l="1"/>
  <c r="B12" i="25"/>
  <c r="B20" i="25"/>
  <c r="B19" i="25"/>
  <c r="B21" i="25"/>
  <c r="C23" i="25"/>
  <c r="F23" i="25" s="1"/>
  <c r="B8" i="25"/>
  <c r="B31" i="25" s="1"/>
  <c r="E31" i="25" l="1"/>
  <c r="G31" i="25" s="1"/>
  <c r="D31" i="25"/>
  <c r="E13" i="25"/>
  <c r="G13" i="25" s="1"/>
  <c r="D13" i="25"/>
  <c r="E19" i="25"/>
  <c r="B30" i="25"/>
  <c r="B26" i="25"/>
  <c r="B29" i="25"/>
  <c r="B25" i="25"/>
  <c r="B23" i="25"/>
  <c r="E12" i="25"/>
  <c r="G12" i="25" s="1"/>
  <c r="D12" i="25"/>
  <c r="E21" i="25"/>
  <c r="E20" i="25"/>
  <c r="H31" i="25" l="1"/>
  <c r="I31" i="25" s="1"/>
  <c r="D14" i="25"/>
  <c r="D23" i="25"/>
  <c r="E23" i="25"/>
  <c r="G23" i="25" s="1"/>
  <c r="E25" i="25"/>
  <c r="E26" i="25"/>
  <c r="H12" i="25"/>
  <c r="I12" i="25" s="1"/>
  <c r="G14" i="25"/>
  <c r="E29" i="25"/>
  <c r="G29" i="25" s="1"/>
  <c r="D29" i="25"/>
  <c r="E30" i="25"/>
  <c r="G30" i="25" s="1"/>
  <c r="D30" i="25"/>
  <c r="H13" i="25"/>
  <c r="I13" i="25" s="1"/>
  <c r="B33" i="5"/>
  <c r="D33" i="5" l="1"/>
  <c r="E33" i="5"/>
  <c r="G33" i="5" s="1"/>
  <c r="H23" i="25"/>
  <c r="I23" i="25" s="1"/>
  <c r="G33" i="25"/>
  <c r="H29" i="25"/>
  <c r="I29" i="25" s="1"/>
  <c r="H30" i="25"/>
  <c r="I30" i="25" s="1"/>
  <c r="D33" i="25"/>
  <c r="H14" i="25"/>
  <c r="I14" i="25" s="1"/>
  <c r="H33" i="25" l="1"/>
  <c r="I33" i="25" s="1"/>
  <c r="H33" i="5"/>
  <c r="I33" i="5" s="1"/>
  <c r="B8" i="5" l="1"/>
  <c r="B6" i="5"/>
  <c r="B7" i="4"/>
  <c r="B6" i="4"/>
  <c r="B5" i="4"/>
  <c r="B13" i="4" l="1"/>
  <c r="B12" i="4"/>
  <c r="B21" i="5"/>
  <c r="B20" i="5"/>
  <c r="E14" i="5"/>
  <c r="G14" i="5" s="1"/>
  <c r="D14" i="5"/>
  <c r="F28" i="4"/>
  <c r="C27" i="4"/>
  <c r="F27" i="4" s="1"/>
  <c r="E24" i="4"/>
  <c r="E21" i="5" l="1"/>
  <c r="E20" i="5"/>
  <c r="H14" i="5"/>
  <c r="I14" i="5" s="1"/>
  <c r="B9" i="5"/>
  <c r="B22" i="5" s="1"/>
  <c r="E22" i="5" s="1"/>
  <c r="B13" i="5" l="1"/>
  <c r="E13" i="5" s="1"/>
  <c r="G13" i="5" s="1"/>
  <c r="B30" i="5"/>
  <c r="B28" i="5"/>
  <c r="B29" i="5"/>
  <c r="F48" i="4"/>
  <c r="F45" i="4"/>
  <c r="F43" i="4"/>
  <c r="F41" i="4"/>
  <c r="F39" i="4"/>
  <c r="E39" i="4"/>
  <c r="D39" i="4"/>
  <c r="E20" i="4"/>
  <c r="G20" i="4" s="1"/>
  <c r="D20" i="4"/>
  <c r="E19" i="4"/>
  <c r="F17" i="4"/>
  <c r="F16" i="4"/>
  <c r="F15" i="4"/>
  <c r="F13" i="4"/>
  <c r="F12" i="4"/>
  <c r="D13" i="5" l="1"/>
  <c r="D15" i="5" s="1"/>
  <c r="E30" i="5"/>
  <c r="G30" i="5" s="1"/>
  <c r="D30" i="5"/>
  <c r="D28" i="5"/>
  <c r="E28" i="5"/>
  <c r="G28" i="5" s="1"/>
  <c r="D29" i="5"/>
  <c r="E29" i="5"/>
  <c r="G29" i="5" s="1"/>
  <c r="G39" i="4"/>
  <c r="H39" i="4" s="1"/>
  <c r="I39" i="4" s="1"/>
  <c r="G15" i="5"/>
  <c r="E13" i="4"/>
  <c r="G13" i="4" s="1"/>
  <c r="D13" i="4"/>
  <c r="B41" i="4"/>
  <c r="B8" i="4"/>
  <c r="B38" i="4" s="1"/>
  <c r="H20" i="4"/>
  <c r="I20" i="4" s="1"/>
  <c r="H13" i="5" l="1"/>
  <c r="I13" i="5" s="1"/>
  <c r="H30" i="5"/>
  <c r="I30" i="5" s="1"/>
  <c r="E38" i="4"/>
  <c r="G38" i="4" s="1"/>
  <c r="D38" i="4"/>
  <c r="H15" i="5"/>
  <c r="I15" i="5" s="1"/>
  <c r="G32" i="5"/>
  <c r="D32" i="5"/>
  <c r="H28" i="5"/>
  <c r="I28" i="5" s="1"/>
  <c r="H29" i="5"/>
  <c r="I29" i="5" s="1"/>
  <c r="B27" i="4"/>
  <c r="D27" i="4" s="1"/>
  <c r="B28" i="4"/>
  <c r="D15" i="4"/>
  <c r="E15" i="4"/>
  <c r="G15" i="4" s="1"/>
  <c r="E16" i="4"/>
  <c r="G16" i="4" s="1"/>
  <c r="D16" i="4"/>
  <c r="E41" i="4"/>
  <c r="G41" i="4" s="1"/>
  <c r="D41" i="4"/>
  <c r="E23" i="4"/>
  <c r="B37" i="4"/>
  <c r="B36" i="4"/>
  <c r="B32" i="4"/>
  <c r="B31" i="4"/>
  <c r="E17" i="4"/>
  <c r="G17" i="4" s="1"/>
  <c r="D17" i="4"/>
  <c r="E12" i="4"/>
  <c r="G12" i="4" s="1"/>
  <c r="D12" i="4"/>
  <c r="D14" i="4" s="1"/>
  <c r="H13" i="4"/>
  <c r="I13" i="4" s="1"/>
  <c r="H38" i="4" l="1"/>
  <c r="I38" i="4" s="1"/>
  <c r="H32" i="5"/>
  <c r="I32" i="5" s="1"/>
  <c r="E27" i="4"/>
  <c r="G27" i="4" s="1"/>
  <c r="D28" i="4"/>
  <c r="E28" i="4"/>
  <c r="G28" i="4" s="1"/>
  <c r="D18" i="4"/>
  <c r="E31" i="4"/>
  <c r="E36" i="4"/>
  <c r="G36" i="4" s="1"/>
  <c r="D36" i="4"/>
  <c r="G18" i="4"/>
  <c r="H15" i="4"/>
  <c r="I15" i="4" s="1"/>
  <c r="G14" i="4"/>
  <c r="H12" i="4"/>
  <c r="I12" i="4" s="1"/>
  <c r="H17" i="4"/>
  <c r="I17" i="4" s="1"/>
  <c r="E32" i="4"/>
  <c r="E37" i="4"/>
  <c r="G37" i="4" s="1"/>
  <c r="D37" i="4"/>
  <c r="H41" i="4"/>
  <c r="I41" i="4" s="1"/>
  <c r="H16" i="4"/>
  <c r="I16" i="4" s="1"/>
  <c r="H27" i="4" l="1"/>
  <c r="I27" i="4" s="1"/>
  <c r="H28" i="4"/>
  <c r="I28" i="4" s="1"/>
  <c r="D40" i="4"/>
  <c r="H37" i="4"/>
  <c r="I37" i="4" s="1"/>
  <c r="H14" i="4"/>
  <c r="I14" i="4" s="1"/>
  <c r="H36" i="4"/>
  <c r="I36" i="4" s="1"/>
  <c r="G40" i="4"/>
  <c r="H18" i="4"/>
  <c r="I18" i="4" s="1"/>
  <c r="H40" i="4" l="1"/>
  <c r="I40" i="4" s="1"/>
  <c r="G26" i="4" l="1"/>
  <c r="H26" i="4" s="1"/>
  <c r="I26" i="4" s="1"/>
  <c r="G26" i="25" l="1"/>
  <c r="G32" i="4"/>
  <c r="G25" i="25"/>
  <c r="G31" i="4"/>
  <c r="G33" i="4" l="1"/>
  <c r="G27" i="25"/>
  <c r="G21" i="59" l="1"/>
  <c r="G21" i="58"/>
  <c r="G21" i="57"/>
  <c r="G21" i="60"/>
  <c r="G21" i="62"/>
  <c r="G21" i="61"/>
  <c r="G18" i="81"/>
  <c r="G18" i="79"/>
  <c r="G22" i="73"/>
  <c r="G22" i="76"/>
  <c r="G22" i="78"/>
  <c r="G22" i="81"/>
  <c r="G22" i="79"/>
  <c r="G21" i="70"/>
  <c r="G21" i="68"/>
  <c r="G21" i="46"/>
  <c r="G21" i="47"/>
  <c r="G21" i="4"/>
  <c r="G22" i="5"/>
  <c r="G21" i="67"/>
  <c r="G21" i="65"/>
  <c r="G21" i="25"/>
  <c r="G21" i="64"/>
  <c r="G21" i="53"/>
  <c r="G21" i="52"/>
  <c r="G21" i="51"/>
  <c r="G17" i="70"/>
  <c r="G17" i="68"/>
  <c r="G17" i="64"/>
  <c r="G17" i="25"/>
  <c r="G17" i="67" l="1"/>
  <c r="G17" i="65"/>
  <c r="G21" i="50"/>
  <c r="G21" i="49"/>
  <c r="G21" i="48"/>
  <c r="G18" i="5"/>
  <c r="G18" i="72"/>
  <c r="G18" i="78"/>
  <c r="G18" i="76"/>
  <c r="G18" i="75"/>
  <c r="G18" i="73"/>
  <c r="G21" i="56"/>
  <c r="G21" i="54"/>
  <c r="D21" i="47" l="1"/>
  <c r="D21" i="4"/>
  <c r="D21" i="46"/>
  <c r="D21" i="50"/>
  <c r="D21" i="48"/>
  <c r="D21" i="49"/>
  <c r="D21" i="51"/>
  <c r="D21" i="53"/>
  <c r="D21" i="52"/>
  <c r="D21" i="54"/>
  <c r="D21" i="56"/>
  <c r="D21" i="57"/>
  <c r="D21" i="59"/>
  <c r="D21" i="58"/>
  <c r="D21" i="61"/>
  <c r="D21" i="60"/>
  <c r="D21" i="62"/>
  <c r="D17" i="64"/>
  <c r="D17" i="25"/>
  <c r="H17" i="25" s="1"/>
  <c r="I17" i="25" s="1"/>
  <c r="D17" i="67"/>
  <c r="D17" i="65"/>
  <c r="D17" i="70"/>
  <c r="D17" i="68"/>
  <c r="D18" i="72"/>
  <c r="D18" i="5"/>
  <c r="D18" i="75"/>
  <c r="D18" i="73"/>
  <c r="D18" i="78"/>
  <c r="D18" i="76"/>
  <c r="D18" i="81"/>
  <c r="D18" i="79"/>
  <c r="D21" i="64"/>
  <c r="D21" i="25"/>
  <c r="D21" i="67"/>
  <c r="D21" i="65"/>
  <c r="D21" i="70"/>
  <c r="D21" i="68"/>
  <c r="D22" i="5"/>
  <c r="H22" i="5" s="1"/>
  <c r="I22" i="5" s="1"/>
  <c r="D20" i="72"/>
  <c r="D22" i="73"/>
  <c r="H22" i="73" s="1"/>
  <c r="I22" i="73" s="1"/>
  <c r="D20" i="75"/>
  <c r="D22" i="76"/>
  <c r="H22" i="76" s="1"/>
  <c r="I22" i="76" s="1"/>
  <c r="D22" i="78"/>
  <c r="H22" i="78" s="1"/>
  <c r="I22" i="78" s="1"/>
  <c r="D22" i="79"/>
  <c r="H22" i="79" s="1"/>
  <c r="I22" i="79" s="1"/>
  <c r="D22" i="81"/>
  <c r="H22" i="81" s="1"/>
  <c r="I22" i="81" s="1"/>
  <c r="H21" i="70" l="1"/>
  <c r="I21" i="70" s="1"/>
  <c r="H21" i="65"/>
  <c r="I21" i="65" s="1"/>
  <c r="H21" i="67"/>
  <c r="I21" i="67" s="1"/>
  <c r="H21" i="68"/>
  <c r="I21" i="68" s="1"/>
  <c r="H21" i="64"/>
  <c r="I21" i="64" s="1"/>
  <c r="H18" i="76"/>
  <c r="I18" i="76" s="1"/>
  <c r="H18" i="78"/>
  <c r="I18" i="78" s="1"/>
  <c r="H18" i="5"/>
  <c r="I18" i="5" s="1"/>
  <c r="H18" i="72"/>
  <c r="I18" i="72" s="1"/>
  <c r="H17" i="70"/>
  <c r="I17" i="70" s="1"/>
  <c r="H17" i="67"/>
  <c r="I17" i="67" s="1"/>
  <c r="H17" i="64"/>
  <c r="I17" i="64" s="1"/>
  <c r="H21" i="62"/>
  <c r="I21" i="62" s="1"/>
  <c r="H21" i="61"/>
  <c r="I21" i="61" s="1"/>
  <c r="H21" i="59"/>
  <c r="I21" i="59" s="1"/>
  <c r="H21" i="56"/>
  <c r="I21" i="56" s="1"/>
  <c r="H21" i="53"/>
  <c r="I21" i="53" s="1"/>
  <c r="H21" i="49"/>
  <c r="I21" i="49" s="1"/>
  <c r="H21" i="50"/>
  <c r="I21" i="50" s="1"/>
  <c r="H21" i="4"/>
  <c r="I21" i="4" s="1"/>
  <c r="H21" i="25"/>
  <c r="I21" i="25" s="1"/>
  <c r="H18" i="79"/>
  <c r="I18" i="79" s="1"/>
  <c r="H18" i="81"/>
  <c r="I18" i="81" s="1"/>
  <c r="H18" i="73"/>
  <c r="I18" i="73" s="1"/>
  <c r="H18" i="75"/>
  <c r="I18" i="75" s="1"/>
  <c r="H17" i="68"/>
  <c r="I17" i="68" s="1"/>
  <c r="H17" i="65"/>
  <c r="I17" i="65" s="1"/>
  <c r="H21" i="60"/>
  <c r="I21" i="60" s="1"/>
  <c r="H21" i="58"/>
  <c r="I21" i="58" s="1"/>
  <c r="H21" i="57"/>
  <c r="I21" i="57" s="1"/>
  <c r="H21" i="54"/>
  <c r="I21" i="54" s="1"/>
  <c r="H21" i="52"/>
  <c r="I21" i="52" s="1"/>
  <c r="H21" i="51"/>
  <c r="I21" i="51" s="1"/>
  <c r="H21" i="48"/>
  <c r="I21" i="48" s="1"/>
  <c r="H21" i="46"/>
  <c r="I21" i="46" s="1"/>
  <c r="H21" i="47"/>
  <c r="I21" i="47" s="1"/>
  <c r="D18" i="64" l="1"/>
  <c r="C18" i="25" l="1"/>
  <c r="D18" i="25" s="1"/>
  <c r="C22" i="50" l="1"/>
  <c r="D22" i="50" s="1"/>
  <c r="C22" i="48"/>
  <c r="D22" i="48" s="1"/>
  <c r="C22" i="49"/>
  <c r="D22" i="49" s="1"/>
  <c r="C22" i="54"/>
  <c r="D22" i="54" s="1"/>
  <c r="C22" i="56"/>
  <c r="D22" i="56" s="1"/>
  <c r="C22" i="104"/>
  <c r="D22" i="104" s="1"/>
  <c r="C22" i="62"/>
  <c r="D22" i="62" s="1"/>
  <c r="C22" i="61"/>
  <c r="D22" i="61" s="1"/>
  <c r="C22" i="60"/>
  <c r="D22" i="60" s="1"/>
  <c r="C18" i="67"/>
  <c r="D18" i="67" s="1"/>
  <c r="C18" i="65"/>
  <c r="D18" i="65" s="1"/>
  <c r="C19" i="5"/>
  <c r="D19" i="5" s="1"/>
  <c r="C19" i="72"/>
  <c r="D19" i="72" s="1"/>
  <c r="C19" i="76"/>
  <c r="D19" i="76" s="1"/>
  <c r="C19" i="78"/>
  <c r="D19" i="78" s="1"/>
  <c r="C24" i="49"/>
  <c r="D24" i="49" s="1"/>
  <c r="C24" i="50"/>
  <c r="D24" i="50" s="1"/>
  <c r="C24" i="48"/>
  <c r="D24" i="48" s="1"/>
  <c r="C24" i="54"/>
  <c r="D24" i="54" s="1"/>
  <c r="C24" i="104"/>
  <c r="D24" i="104" s="1"/>
  <c r="C24" i="56"/>
  <c r="D24" i="56" s="1"/>
  <c r="C24" i="61"/>
  <c r="D24" i="61" s="1"/>
  <c r="C24" i="60"/>
  <c r="D24" i="60" s="1"/>
  <c r="C24" i="62"/>
  <c r="D24" i="62" s="1"/>
  <c r="C20" i="65"/>
  <c r="D20" i="65" s="1"/>
  <c r="C20" i="67"/>
  <c r="D20" i="67" s="1"/>
  <c r="C21" i="5"/>
  <c r="D21" i="5" s="1"/>
  <c r="C21" i="72"/>
  <c r="D21" i="72" s="1"/>
  <c r="C21" i="76"/>
  <c r="D21" i="76" s="1"/>
  <c r="C21" i="78"/>
  <c r="D21" i="78" s="1"/>
  <c r="C22" i="46"/>
  <c r="D22" i="46" s="1"/>
  <c r="C22" i="47"/>
  <c r="D22" i="47" s="1"/>
  <c r="C22" i="4"/>
  <c r="D22" i="4" s="1"/>
  <c r="C22" i="53"/>
  <c r="D22" i="53" s="1"/>
  <c r="C22" i="52"/>
  <c r="D22" i="52" s="1"/>
  <c r="C22" i="51"/>
  <c r="D22" i="51" s="1"/>
  <c r="C22" i="57"/>
  <c r="D22" i="57" s="1"/>
  <c r="C22" i="58"/>
  <c r="D22" i="58" s="1"/>
  <c r="C22" i="59"/>
  <c r="D22" i="59" s="1"/>
  <c r="C18" i="70"/>
  <c r="D18" i="70" s="1"/>
  <c r="C18" i="68"/>
  <c r="D18" i="68" s="1"/>
  <c r="C19" i="73"/>
  <c r="D19" i="73" s="1"/>
  <c r="C19" i="75"/>
  <c r="D19" i="75" s="1"/>
  <c r="C19" i="81"/>
  <c r="D19" i="81" s="1"/>
  <c r="C19" i="79"/>
  <c r="D19" i="79" s="1"/>
  <c r="C24" i="46"/>
  <c r="D24" i="46" s="1"/>
  <c r="C24" i="47"/>
  <c r="D24" i="47" s="1"/>
  <c r="C24" i="4"/>
  <c r="D24" i="4" s="1"/>
  <c r="C24" i="53"/>
  <c r="D24" i="53" s="1"/>
  <c r="C24" i="51"/>
  <c r="D24" i="51" s="1"/>
  <c r="C24" i="52"/>
  <c r="D24" i="52" s="1"/>
  <c r="C24" i="57"/>
  <c r="D24" i="57" s="1"/>
  <c r="C24" i="58"/>
  <c r="D24" i="58" s="1"/>
  <c r="C24" i="59"/>
  <c r="D24" i="59" s="1"/>
  <c r="C20" i="64"/>
  <c r="D20" i="64" s="1"/>
  <c r="C20" i="25"/>
  <c r="D20" i="25" s="1"/>
  <c r="C20" i="68"/>
  <c r="D20" i="68" s="1"/>
  <c r="C20" i="70"/>
  <c r="D20" i="70" s="1"/>
  <c r="C21" i="73"/>
  <c r="D21" i="73" s="1"/>
  <c r="C22" i="75"/>
  <c r="D22" i="75" s="1"/>
  <c r="C21" i="81"/>
  <c r="D21" i="81" s="1"/>
  <c r="C21" i="79"/>
  <c r="D21" i="79" s="1"/>
  <c r="F21" i="5" l="1"/>
  <c r="G21" i="5" s="1"/>
  <c r="F21" i="72"/>
  <c r="G21" i="72" s="1"/>
  <c r="F21" i="73"/>
  <c r="G21" i="73" s="1"/>
  <c r="F22" i="75"/>
  <c r="G22" i="75" s="1"/>
  <c r="F21" i="78" l="1"/>
  <c r="G21" i="78" s="1"/>
  <c r="H21" i="78" s="1"/>
  <c r="I21" i="78" s="1"/>
  <c r="F21" i="76"/>
  <c r="G21" i="76" s="1"/>
  <c r="H21" i="76" s="1"/>
  <c r="I21" i="76" s="1"/>
  <c r="H22" i="75"/>
  <c r="I22" i="75" s="1"/>
  <c r="H21" i="5"/>
  <c r="I21" i="5" s="1"/>
  <c r="H21" i="73"/>
  <c r="I21" i="73" s="1"/>
  <c r="H21" i="72"/>
  <c r="I21" i="72" s="1"/>
  <c r="F21" i="81" l="1"/>
  <c r="G21" i="81" s="1"/>
  <c r="F21" i="79"/>
  <c r="G21" i="79" s="1"/>
  <c r="H21" i="81" l="1"/>
  <c r="I21" i="81" s="1"/>
  <c r="H21" i="79"/>
  <c r="I21" i="79" s="1"/>
  <c r="D19" i="122" l="1"/>
  <c r="D24" i="122" s="1"/>
  <c r="D19" i="126"/>
  <c r="D24" i="126" s="1"/>
  <c r="D19" i="125"/>
  <c r="D24" i="125" s="1"/>
  <c r="D19" i="123"/>
  <c r="D24" i="123" s="1"/>
  <c r="D19" i="124"/>
  <c r="D24" i="124" s="1"/>
  <c r="D19" i="127"/>
  <c r="D24" i="127" s="1"/>
  <c r="D46" i="124" l="1"/>
  <c r="D41" i="124"/>
  <c r="D29" i="124"/>
  <c r="D34" i="124" s="1"/>
  <c r="D28" i="124"/>
  <c r="D33" i="124" s="1"/>
  <c r="D29" i="126"/>
  <c r="D34" i="126" s="1"/>
  <c r="D28" i="126"/>
  <c r="D33" i="126" s="1"/>
  <c r="D46" i="126"/>
  <c r="D41" i="126"/>
  <c r="D28" i="123"/>
  <c r="D33" i="123" s="1"/>
  <c r="D29" i="123"/>
  <c r="D34" i="123" s="1"/>
  <c r="D41" i="123"/>
  <c r="D46" i="123"/>
  <c r="D29" i="122"/>
  <c r="D34" i="122" s="1"/>
  <c r="D46" i="122"/>
  <c r="D41" i="122"/>
  <c r="D28" i="122"/>
  <c r="D33" i="122" s="1"/>
  <c r="D46" i="127"/>
  <c r="D49" i="127" s="1"/>
  <c r="D41" i="127"/>
  <c r="D29" i="127"/>
  <c r="D34" i="127" s="1"/>
  <c r="D28" i="127"/>
  <c r="D33" i="127" s="1"/>
  <c r="D28" i="125"/>
  <c r="D33" i="125" s="1"/>
  <c r="D41" i="125"/>
  <c r="D46" i="125"/>
  <c r="D29" i="125"/>
  <c r="D34" i="125" s="1"/>
  <c r="D47" i="123" l="1"/>
  <c r="D48" i="123" s="1"/>
  <c r="D49" i="123"/>
  <c r="D42" i="122"/>
  <c r="D43" i="122" s="1"/>
  <c r="D44" i="122"/>
  <c r="D47" i="126"/>
  <c r="D48" i="126" s="1"/>
  <c r="D49" i="126"/>
  <c r="D42" i="125"/>
  <c r="D43" i="125" s="1"/>
  <c r="D44" i="125"/>
  <c r="D42" i="127"/>
  <c r="D43" i="127" s="1"/>
  <c r="D44" i="127"/>
  <c r="D47" i="122"/>
  <c r="D48" i="122" s="1"/>
  <c r="D49" i="122"/>
  <c r="D42" i="124"/>
  <c r="D43" i="124" s="1"/>
  <c r="D44" i="124"/>
  <c r="D42" i="126"/>
  <c r="D43" i="126" s="1"/>
  <c r="D44" i="126"/>
  <c r="D47" i="125"/>
  <c r="D48" i="125" s="1"/>
  <c r="D49" i="125"/>
  <c r="D42" i="123"/>
  <c r="D43" i="123" s="1"/>
  <c r="D44" i="123"/>
  <c r="D47" i="124"/>
  <c r="D48" i="124" s="1"/>
  <c r="D49" i="124"/>
  <c r="D47" i="127"/>
  <c r="D48" i="127" s="1"/>
  <c r="D50" i="124" l="1"/>
  <c r="E23" i="179" s="1"/>
  <c r="D50" i="125"/>
  <c r="E35" i="179" s="1"/>
  <c r="D50" i="123"/>
  <c r="E22" i="179" s="1"/>
  <c r="D50" i="126"/>
  <c r="E37" i="179" s="1"/>
  <c r="D45" i="124"/>
  <c r="D50" i="122"/>
  <c r="E20" i="179" s="1"/>
  <c r="D45" i="127"/>
  <c r="D45" i="126"/>
  <c r="D45" i="125"/>
  <c r="D45" i="122"/>
  <c r="D45" i="123"/>
  <c r="D50" i="127"/>
  <c r="E38" i="179" s="1"/>
  <c r="E25" i="199" l="1"/>
  <c r="G25" i="199" s="1"/>
  <c r="E19" i="199"/>
  <c r="E21" i="199"/>
  <c r="G21" i="199" s="1"/>
  <c r="E24" i="199"/>
  <c r="G24" i="199" s="1"/>
  <c r="B19" i="199" l="1"/>
  <c r="D19" i="199" s="1"/>
  <c r="B25" i="199"/>
  <c r="B24" i="199"/>
  <c r="B21" i="199"/>
  <c r="D21" i="199" s="1"/>
  <c r="H21" i="199" s="1"/>
  <c r="I21" i="199" s="1"/>
  <c r="G26" i="199"/>
  <c r="C17" i="179" l="1"/>
  <c r="C31" i="179"/>
  <c r="E21" i="132" l="1"/>
  <c r="F26" i="132"/>
  <c r="E21" i="129"/>
  <c r="F26" i="129"/>
  <c r="C44" i="179"/>
  <c r="C29" i="179"/>
  <c r="C26" i="179"/>
  <c r="B33" i="199"/>
  <c r="E22" i="199"/>
  <c r="G22" i="199" s="1"/>
  <c r="B7" i="199"/>
  <c r="C41" i="179"/>
  <c r="B15" i="132"/>
  <c r="B40" i="132"/>
  <c r="B12" i="132"/>
  <c r="B8" i="132"/>
  <c r="E27" i="132" s="1"/>
  <c r="B16" i="132"/>
  <c r="B23" i="132"/>
  <c r="B17" i="132"/>
  <c r="B13" i="132"/>
  <c r="B13" i="160"/>
  <c r="E21" i="160"/>
  <c r="E18" i="160"/>
  <c r="C8" i="160"/>
  <c r="C23" i="160"/>
  <c r="F23" i="160" s="1"/>
  <c r="B34" i="160"/>
  <c r="B8" i="160"/>
  <c r="E19" i="160"/>
  <c r="G19" i="160" s="1"/>
  <c r="B16" i="129"/>
  <c r="B13" i="129"/>
  <c r="B12" i="129"/>
  <c r="B40" i="129"/>
  <c r="B17" i="129"/>
  <c r="B15" i="129"/>
  <c r="B23" i="129"/>
  <c r="B8" i="129"/>
  <c r="B7" i="138"/>
  <c r="B9" i="138"/>
  <c r="B31" i="138"/>
  <c r="B7" i="135"/>
  <c r="B9" i="135"/>
  <c r="B31" i="135"/>
  <c r="C25" i="185"/>
  <c r="F25" i="185" s="1"/>
  <c r="B8" i="185"/>
  <c r="E26" i="129" l="1"/>
  <c r="E27" i="129"/>
  <c r="E29" i="185"/>
  <c r="E25" i="185"/>
  <c r="E36" i="185"/>
  <c r="E26" i="185"/>
  <c r="E34" i="185"/>
  <c r="E35" i="185"/>
  <c r="E30" i="185"/>
  <c r="C8" i="129"/>
  <c r="B21" i="129"/>
  <c r="C26" i="129"/>
  <c r="C8" i="132"/>
  <c r="B21" i="132"/>
  <c r="D21" i="132" s="1"/>
  <c r="C26" i="132"/>
  <c r="E13" i="138"/>
  <c r="E26" i="138"/>
  <c r="E27" i="138"/>
  <c r="E28" i="138"/>
  <c r="E13" i="135"/>
  <c r="E26" i="135"/>
  <c r="E28" i="135"/>
  <c r="E27" i="135"/>
  <c r="C7" i="135"/>
  <c r="C9" i="135"/>
  <c r="C7" i="138"/>
  <c r="C9" i="138"/>
  <c r="E26" i="132"/>
  <c r="E30" i="132"/>
  <c r="E37" i="132"/>
  <c r="E36" i="132"/>
  <c r="E35" i="132"/>
  <c r="E31" i="132"/>
  <c r="E37" i="129"/>
  <c r="E36" i="129"/>
  <c r="E35" i="129"/>
  <c r="E31" i="129"/>
  <c r="E30" i="129"/>
  <c r="G16" i="185"/>
  <c r="G12" i="185"/>
  <c r="E31" i="138"/>
  <c r="G31" i="138" s="1"/>
  <c r="D31" i="138"/>
  <c r="E23" i="129"/>
  <c r="D23" i="129"/>
  <c r="E40" i="129"/>
  <c r="G40" i="129" s="1"/>
  <c r="D40" i="129"/>
  <c r="E13" i="129"/>
  <c r="G13" i="129" s="1"/>
  <c r="D13" i="129"/>
  <c r="E25" i="160"/>
  <c r="G25" i="160" s="1"/>
  <c r="E30" i="160"/>
  <c r="G30" i="160" s="1"/>
  <c r="E26" i="160"/>
  <c r="G26" i="160" s="1"/>
  <c r="E23" i="160"/>
  <c r="G23" i="160" s="1"/>
  <c r="E31" i="160"/>
  <c r="G31" i="160" s="1"/>
  <c r="E29" i="160"/>
  <c r="G29" i="160" s="1"/>
  <c r="D13" i="132"/>
  <c r="E13" i="132"/>
  <c r="G13" i="132" s="1"/>
  <c r="D16" i="132"/>
  <c r="E16" i="132"/>
  <c r="G16" i="132" s="1"/>
  <c r="C9" i="199"/>
  <c r="C7" i="199"/>
  <c r="D21" i="185"/>
  <c r="G15" i="185"/>
  <c r="E15" i="129"/>
  <c r="G15" i="129" s="1"/>
  <c r="D15" i="129"/>
  <c r="E16" i="129"/>
  <c r="G16" i="129" s="1"/>
  <c r="D16" i="129"/>
  <c r="E34" i="160"/>
  <c r="G34" i="160" s="1"/>
  <c r="D34" i="160"/>
  <c r="D15" i="132"/>
  <c r="E15" i="132"/>
  <c r="G15" i="132" s="1"/>
  <c r="D33" i="199"/>
  <c r="E33" i="199"/>
  <c r="G33" i="199" s="1"/>
  <c r="G13" i="185"/>
  <c r="E31" i="135"/>
  <c r="G31" i="135" s="1"/>
  <c r="D31" i="135"/>
  <c r="E17" i="129"/>
  <c r="G17" i="129" s="1"/>
  <c r="D17" i="129"/>
  <c r="E12" i="129"/>
  <c r="G12" i="129" s="1"/>
  <c r="D12" i="129"/>
  <c r="D12" i="160"/>
  <c r="E12" i="160"/>
  <c r="G12" i="160" s="1"/>
  <c r="D13" i="160"/>
  <c r="E13" i="160"/>
  <c r="G13" i="160" s="1"/>
  <c r="D17" i="132"/>
  <c r="E17" i="132"/>
  <c r="G17" i="132" s="1"/>
  <c r="E12" i="132"/>
  <c r="G12" i="132" s="1"/>
  <c r="D12" i="132"/>
  <c r="D39" i="185"/>
  <c r="G39" i="185"/>
  <c r="G17" i="185"/>
  <c r="D21" i="129"/>
  <c r="H19" i="160"/>
  <c r="I19" i="160" s="1"/>
  <c r="B23" i="160"/>
  <c r="D23" i="160" s="1"/>
  <c r="D24" i="160" s="1"/>
  <c r="B29" i="160"/>
  <c r="D29" i="160" s="1"/>
  <c r="B30" i="160"/>
  <c r="D30" i="160" s="1"/>
  <c r="B31" i="160"/>
  <c r="D31" i="160" s="1"/>
  <c r="E23" i="132"/>
  <c r="D23" i="132"/>
  <c r="E40" i="132"/>
  <c r="G40" i="132" s="1"/>
  <c r="D40" i="132"/>
  <c r="E29" i="199"/>
  <c r="G29" i="199" s="1"/>
  <c r="E30" i="199"/>
  <c r="G30" i="199" s="1"/>
  <c r="E28" i="199"/>
  <c r="G28" i="199" s="1"/>
  <c r="B36" i="132" l="1"/>
  <c r="B27" i="132"/>
  <c r="D27" i="132" s="1"/>
  <c r="B37" i="129"/>
  <c r="D37" i="129" s="1"/>
  <c r="B27" i="129"/>
  <c r="D27" i="129" s="1"/>
  <c r="B13" i="199"/>
  <c r="D13" i="199" s="1"/>
  <c r="D15" i="199" s="1"/>
  <c r="B22" i="199"/>
  <c r="D22" i="199" s="1"/>
  <c r="D23" i="185"/>
  <c r="B30" i="129"/>
  <c r="D30" i="129" s="1"/>
  <c r="B31" i="129"/>
  <c r="D31" i="129" s="1"/>
  <c r="B35" i="129"/>
  <c r="D35" i="129" s="1"/>
  <c r="B26" i="129"/>
  <c r="D26" i="129" s="1"/>
  <c r="B36" i="129"/>
  <c r="D36" i="129" s="1"/>
  <c r="B26" i="132"/>
  <c r="D26" i="132" s="1"/>
  <c r="B30" i="132"/>
  <c r="D30" i="132" s="1"/>
  <c r="B37" i="132"/>
  <c r="D37" i="132" s="1"/>
  <c r="B31" i="132"/>
  <c r="D31" i="132" s="1"/>
  <c r="B35" i="132"/>
  <c r="D35" i="132" s="1"/>
  <c r="B13" i="135"/>
  <c r="D13" i="135" s="1"/>
  <c r="D15" i="135" s="1"/>
  <c r="B28" i="135"/>
  <c r="D28" i="135" s="1"/>
  <c r="B26" i="135"/>
  <c r="D26" i="135" s="1"/>
  <c r="B27" i="135"/>
  <c r="D27" i="135" s="1"/>
  <c r="B13" i="138"/>
  <c r="D13" i="138" s="1"/>
  <c r="D15" i="138" s="1"/>
  <c r="B28" i="138"/>
  <c r="D28" i="138" s="1"/>
  <c r="B27" i="138"/>
  <c r="D27" i="138" s="1"/>
  <c r="B26" i="138"/>
  <c r="D26" i="138" s="1"/>
  <c r="D18" i="185"/>
  <c r="D14" i="132"/>
  <c r="D24" i="132"/>
  <c r="D14" i="160"/>
  <c r="D24" i="129"/>
  <c r="D14" i="129"/>
  <c r="D14" i="185"/>
  <c r="G26" i="129"/>
  <c r="G28" i="135"/>
  <c r="G29" i="185"/>
  <c r="D29" i="185"/>
  <c r="D18" i="129"/>
  <c r="H31" i="160"/>
  <c r="I31" i="160" s="1"/>
  <c r="H40" i="132"/>
  <c r="I40" i="132" s="1"/>
  <c r="D25" i="185"/>
  <c r="G25" i="185"/>
  <c r="H17" i="132"/>
  <c r="I17" i="132" s="1"/>
  <c r="G32" i="199"/>
  <c r="D33" i="160"/>
  <c r="G36" i="129"/>
  <c r="G30" i="129"/>
  <c r="G26" i="135"/>
  <c r="D34" i="185"/>
  <c r="G34" i="185"/>
  <c r="G36" i="185"/>
  <c r="D36" i="185"/>
  <c r="H39" i="185"/>
  <c r="I39" i="185" s="1"/>
  <c r="G14" i="129"/>
  <c r="H12" i="129"/>
  <c r="I12" i="129" s="1"/>
  <c r="D18" i="132"/>
  <c r="G36" i="132"/>
  <c r="D36" i="132"/>
  <c r="H16" i="129"/>
  <c r="I16" i="129" s="1"/>
  <c r="G26" i="138"/>
  <c r="G18" i="185"/>
  <c r="H15" i="185"/>
  <c r="I15" i="185" s="1"/>
  <c r="H29" i="160"/>
  <c r="I29" i="160" s="1"/>
  <c r="G33" i="160"/>
  <c r="H30" i="160"/>
  <c r="I30" i="160" s="1"/>
  <c r="H16" i="185"/>
  <c r="I16" i="185" s="1"/>
  <c r="G35" i="185"/>
  <c r="D35" i="185"/>
  <c r="G26" i="132"/>
  <c r="G27" i="160"/>
  <c r="G27" i="135"/>
  <c r="H17" i="129"/>
  <c r="I17" i="129" s="1"/>
  <c r="H31" i="135"/>
  <c r="I31" i="135" s="1"/>
  <c r="H13" i="185"/>
  <c r="I13" i="185" s="1"/>
  <c r="H33" i="199"/>
  <c r="I33" i="199" s="1"/>
  <c r="G37" i="132"/>
  <c r="G31" i="132"/>
  <c r="H34" i="160"/>
  <c r="I34" i="160" s="1"/>
  <c r="H15" i="129"/>
  <c r="I15" i="129" s="1"/>
  <c r="G18" i="129"/>
  <c r="G28" i="138"/>
  <c r="H23" i="160"/>
  <c r="I23" i="160" s="1"/>
  <c r="H31" i="138"/>
  <c r="I31" i="138" s="1"/>
  <c r="G14" i="185"/>
  <c r="H12" i="185"/>
  <c r="I12" i="185" s="1"/>
  <c r="H12" i="132"/>
  <c r="I12" i="132" s="1"/>
  <c r="G14" i="132"/>
  <c r="G14" i="160"/>
  <c r="H12" i="160"/>
  <c r="I12" i="160" s="1"/>
  <c r="G30" i="132"/>
  <c r="G13" i="138"/>
  <c r="H16" i="132"/>
  <c r="I16" i="132" s="1"/>
  <c r="H40" i="129"/>
  <c r="I40" i="129" s="1"/>
  <c r="G37" i="129"/>
  <c r="G31" i="129"/>
  <c r="H17" i="185"/>
  <c r="I17" i="185" s="1"/>
  <c r="G13" i="199"/>
  <c r="G35" i="129"/>
  <c r="G27" i="129"/>
  <c r="G13" i="135"/>
  <c r="D30" i="185"/>
  <c r="G30" i="185"/>
  <c r="G26" i="185"/>
  <c r="D26" i="185"/>
  <c r="H13" i="160"/>
  <c r="I13" i="160" s="1"/>
  <c r="G18" i="132"/>
  <c r="H15" i="132"/>
  <c r="I15" i="132" s="1"/>
  <c r="G35" i="132"/>
  <c r="G27" i="132"/>
  <c r="G27" i="138"/>
  <c r="B28" i="199"/>
  <c r="D28" i="199" s="1"/>
  <c r="H28" i="199" s="1"/>
  <c r="I28" i="199" s="1"/>
  <c r="B30" i="199"/>
  <c r="D30" i="199" s="1"/>
  <c r="H30" i="199" s="1"/>
  <c r="I30" i="199" s="1"/>
  <c r="B29" i="199"/>
  <c r="D29" i="199" s="1"/>
  <c r="H29" i="199" s="1"/>
  <c r="I29" i="199" s="1"/>
  <c r="H13" i="132"/>
  <c r="I13" i="132" s="1"/>
  <c r="H13" i="129"/>
  <c r="I13" i="129" s="1"/>
  <c r="D23" i="199" l="1"/>
  <c r="H22" i="199"/>
  <c r="I22" i="199" s="1"/>
  <c r="D29" i="132"/>
  <c r="D28" i="132"/>
  <c r="D28" i="129"/>
  <c r="D29" i="129"/>
  <c r="D32" i="132"/>
  <c r="D30" i="138"/>
  <c r="D32" i="138" s="1"/>
  <c r="D39" i="132"/>
  <c r="D39" i="129"/>
  <c r="H26" i="138"/>
  <c r="I26" i="138" s="1"/>
  <c r="G30" i="138"/>
  <c r="D32" i="129"/>
  <c r="H37" i="129"/>
  <c r="I37" i="129" s="1"/>
  <c r="H28" i="135"/>
  <c r="I28" i="135" s="1"/>
  <c r="H33" i="160"/>
  <c r="I33" i="160" s="1"/>
  <c r="H14" i="160"/>
  <c r="I14" i="160" s="1"/>
  <c r="H31" i="132"/>
  <c r="I31" i="132" s="1"/>
  <c r="H35" i="185"/>
  <c r="I35" i="185" s="1"/>
  <c r="H36" i="185"/>
  <c r="I36" i="185" s="1"/>
  <c r="G32" i="129"/>
  <c r="H30" i="129"/>
  <c r="I30" i="129" s="1"/>
  <c r="H18" i="132"/>
  <c r="I18" i="132" s="1"/>
  <c r="G39" i="129"/>
  <c r="H35" i="129"/>
  <c r="I35" i="129" s="1"/>
  <c r="H30" i="132"/>
  <c r="I30" i="132" s="1"/>
  <c r="G32" i="132"/>
  <c r="H14" i="185"/>
  <c r="I14" i="185" s="1"/>
  <c r="H37" i="132"/>
  <c r="I37" i="132" s="1"/>
  <c r="H26" i="132"/>
  <c r="I26" i="132" s="1"/>
  <c r="H25" i="185"/>
  <c r="I25" i="185" s="1"/>
  <c r="G31" i="185"/>
  <c r="H29" i="185"/>
  <c r="I29" i="185" s="1"/>
  <c r="H26" i="129"/>
  <c r="I26" i="129" s="1"/>
  <c r="D32" i="199"/>
  <c r="H27" i="138"/>
  <c r="I27" i="138" s="1"/>
  <c r="H35" i="132"/>
  <c r="I35" i="132" s="1"/>
  <c r="G39" i="132"/>
  <c r="H26" i="185"/>
  <c r="I26" i="185" s="1"/>
  <c r="H13" i="135"/>
  <c r="I13" i="135" s="1"/>
  <c r="G15" i="135"/>
  <c r="H27" i="129"/>
  <c r="I27" i="129" s="1"/>
  <c r="H31" i="129"/>
  <c r="I31" i="129" s="1"/>
  <c r="H14" i="132"/>
  <c r="I14" i="132" s="1"/>
  <c r="H28" i="138"/>
  <c r="I28" i="138" s="1"/>
  <c r="H18" i="129"/>
  <c r="I18" i="129" s="1"/>
  <c r="H18" i="185"/>
  <c r="I18" i="185" s="1"/>
  <c r="H36" i="132"/>
  <c r="I36" i="132" s="1"/>
  <c r="G38" i="185"/>
  <c r="H34" i="185"/>
  <c r="I34" i="185" s="1"/>
  <c r="H26" i="135"/>
  <c r="I26" i="135" s="1"/>
  <c r="G30" i="135"/>
  <c r="D28" i="185"/>
  <c r="D27" i="185"/>
  <c r="H27" i="132"/>
  <c r="I27" i="132" s="1"/>
  <c r="H30" i="185"/>
  <c r="I30" i="185" s="1"/>
  <c r="H13" i="199"/>
  <c r="I13" i="199" s="1"/>
  <c r="G15" i="199"/>
  <c r="G15" i="138"/>
  <c r="H13" i="138"/>
  <c r="I13" i="138" s="1"/>
  <c r="H27" i="135"/>
  <c r="I27" i="135" s="1"/>
  <c r="H14" i="129"/>
  <c r="I14" i="129" s="1"/>
  <c r="D38" i="185"/>
  <c r="D30" i="135"/>
  <c r="D32" i="135" s="1"/>
  <c r="H36" i="129"/>
  <c r="I36" i="129" s="1"/>
  <c r="D31" i="185"/>
  <c r="D33" i="135" l="1"/>
  <c r="D34" i="135" s="1"/>
  <c r="D35" i="135"/>
  <c r="D33" i="138"/>
  <c r="D34" i="138" s="1"/>
  <c r="D35" i="138"/>
  <c r="D34" i="132"/>
  <c r="D33" i="129"/>
  <c r="D34" i="129"/>
  <c r="D33" i="132"/>
  <c r="D46" i="129"/>
  <c r="D41" i="132"/>
  <c r="D46" i="132"/>
  <c r="D32" i="185"/>
  <c r="H15" i="138"/>
  <c r="I15" i="138" s="1"/>
  <c r="H15" i="199"/>
  <c r="I15" i="199" s="1"/>
  <c r="D33" i="185"/>
  <c r="H30" i="135"/>
  <c r="I30" i="135" s="1"/>
  <c r="H38" i="185"/>
  <c r="I38" i="185" s="1"/>
  <c r="D40" i="185"/>
  <c r="H39" i="129"/>
  <c r="I39" i="129" s="1"/>
  <c r="D45" i="185"/>
  <c r="H32" i="199"/>
  <c r="I32" i="199" s="1"/>
  <c r="H32" i="129"/>
  <c r="I32" i="129" s="1"/>
  <c r="D41" i="129"/>
  <c r="H30" i="138"/>
  <c r="I30" i="138" s="1"/>
  <c r="H32" i="132"/>
  <c r="I32" i="132" s="1"/>
  <c r="H15" i="135"/>
  <c r="I15" i="135" s="1"/>
  <c r="H39" i="132"/>
  <c r="I39" i="132" s="1"/>
  <c r="H31" i="185"/>
  <c r="I31" i="185" s="1"/>
  <c r="D36" i="135" l="1"/>
  <c r="E29" i="179" s="1"/>
  <c r="D41" i="185"/>
  <c r="D42" i="185" s="1"/>
  <c r="D43" i="185"/>
  <c r="D46" i="185"/>
  <c r="D47" i="185" s="1"/>
  <c r="D48" i="185"/>
  <c r="D47" i="129"/>
  <c r="D48" i="129" s="1"/>
  <c r="D49" i="129"/>
  <c r="D42" i="129"/>
  <c r="D43" i="129" s="1"/>
  <c r="D44" i="129"/>
  <c r="D47" i="132"/>
  <c r="D48" i="132" s="1"/>
  <c r="D49" i="132"/>
  <c r="D36" i="138"/>
  <c r="E44" i="179" s="1"/>
  <c r="D42" i="132"/>
  <c r="D43" i="132" s="1"/>
  <c r="D44" i="132"/>
  <c r="D45" i="132" l="1"/>
  <c r="D49" i="185"/>
  <c r="E4" i="179" s="1"/>
  <c r="D50" i="132"/>
  <c r="E41" i="179" s="1"/>
  <c r="D44" i="185"/>
  <c r="D45" i="129"/>
  <c r="D50" i="129"/>
  <c r="E26" i="179" s="1"/>
  <c r="G20" i="186"/>
  <c r="G20" i="117"/>
  <c r="G20" i="118"/>
  <c r="G20" i="116"/>
  <c r="G23" i="186"/>
  <c r="F23" i="117"/>
  <c r="F23" i="118"/>
  <c r="G23" i="118" s="1"/>
  <c r="H23" i="118" s="1"/>
  <c r="I23" i="118" s="1"/>
  <c r="F23" i="116"/>
  <c r="G23" i="116" s="1"/>
  <c r="H23" i="116" s="1"/>
  <c r="I23" i="116" s="1"/>
  <c r="G23" i="188"/>
  <c r="H23" i="188" s="1"/>
  <c r="I23" i="188" s="1"/>
  <c r="G23" i="126"/>
  <c r="H23" i="126" s="1"/>
  <c r="I23" i="126" s="1"/>
  <c r="G23" i="127"/>
  <c r="H23" i="127" s="1"/>
  <c r="I23" i="127" s="1"/>
  <c r="G23" i="125"/>
  <c r="H23" i="125" s="1"/>
  <c r="I23" i="125" s="1"/>
  <c r="G23" i="190"/>
  <c r="H23" i="190" s="1"/>
  <c r="I23" i="190" s="1"/>
  <c r="G23" i="189"/>
  <c r="H23" i="189" s="1"/>
  <c r="I23" i="189" s="1"/>
  <c r="G23" i="131"/>
  <c r="H23" i="131" s="1"/>
  <c r="I23" i="131" s="1"/>
  <c r="G23" i="130"/>
  <c r="H23" i="130" s="1"/>
  <c r="I23" i="130" s="1"/>
  <c r="G23" i="132"/>
  <c r="H23" i="132" s="1"/>
  <c r="I23" i="132" s="1"/>
  <c r="G23" i="129"/>
  <c r="H23" i="129" s="1"/>
  <c r="I23" i="129" s="1"/>
  <c r="G23" i="128"/>
  <c r="H23" i="128" s="1"/>
  <c r="I23" i="128" s="1"/>
  <c r="G23" i="133"/>
  <c r="H23" i="133" s="1"/>
  <c r="I23" i="133" s="1"/>
  <c r="G20" i="185"/>
  <c r="G20" i="115"/>
  <c r="G20" i="113"/>
  <c r="G20" i="112"/>
  <c r="H20" i="113" l="1"/>
  <c r="I20" i="113" s="1"/>
  <c r="H20" i="186"/>
  <c r="I20" i="186" s="1"/>
  <c r="H20" i="112"/>
  <c r="I20" i="112" s="1"/>
  <c r="F24" i="182"/>
  <c r="F24" i="50"/>
  <c r="G24" i="50" s="1"/>
  <c r="H24" i="50" s="1"/>
  <c r="I24" i="50" s="1"/>
  <c r="F24" i="49"/>
  <c r="G24" i="49" s="1"/>
  <c r="H24" i="49" s="1"/>
  <c r="I24" i="49" s="1"/>
  <c r="F24" i="48"/>
  <c r="G24" i="48" s="1"/>
  <c r="H24" i="48" s="1"/>
  <c r="I24" i="48" s="1"/>
  <c r="F24" i="184"/>
  <c r="F24" i="58"/>
  <c r="G24" i="58" s="1"/>
  <c r="H24" i="58" s="1"/>
  <c r="I24" i="58" s="1"/>
  <c r="F24" i="57"/>
  <c r="G24" i="57" s="1"/>
  <c r="H24" i="57" s="1"/>
  <c r="I24" i="57" s="1"/>
  <c r="F24" i="59"/>
  <c r="G24" i="59" s="1"/>
  <c r="H24" i="59" s="1"/>
  <c r="I24" i="59" s="1"/>
  <c r="F24" i="183"/>
  <c r="F24" i="60"/>
  <c r="G24" i="60" s="1"/>
  <c r="H24" i="60" s="1"/>
  <c r="I24" i="60" s="1"/>
  <c r="F24" i="62"/>
  <c r="G24" i="62" s="1"/>
  <c r="H24" i="62" s="1"/>
  <c r="I24" i="62" s="1"/>
  <c r="F24" i="61"/>
  <c r="G24" i="61" s="1"/>
  <c r="H24" i="61" s="1"/>
  <c r="I24" i="61" s="1"/>
  <c r="G21" i="197"/>
  <c r="H21" i="197" s="1"/>
  <c r="I21" i="197" s="1"/>
  <c r="F20" i="174"/>
  <c r="G21" i="198"/>
  <c r="H21" i="198" s="1"/>
  <c r="I21" i="198" s="1"/>
  <c r="F20" i="67"/>
  <c r="G20" i="67" s="1"/>
  <c r="H20" i="67" s="1"/>
  <c r="I20" i="67" s="1"/>
  <c r="F20" i="65"/>
  <c r="G20" i="65" s="1"/>
  <c r="H20" i="65" s="1"/>
  <c r="I20" i="65" s="1"/>
  <c r="H20" i="117"/>
  <c r="I20" i="117" s="1"/>
  <c r="H20" i="115"/>
  <c r="I20" i="115" s="1"/>
  <c r="G21" i="154"/>
  <c r="H21" i="154" s="1"/>
  <c r="I21" i="154" s="1"/>
  <c r="F20" i="175"/>
  <c r="F20" i="68"/>
  <c r="G20" i="68" s="1"/>
  <c r="H20" i="68" s="1"/>
  <c r="I20" i="68" s="1"/>
  <c r="F20" i="70"/>
  <c r="G20" i="70" s="1"/>
  <c r="H20" i="70" s="1"/>
  <c r="I20" i="70" s="1"/>
  <c r="G20" i="144"/>
  <c r="H20" i="144" s="1"/>
  <c r="I20" i="144" s="1"/>
  <c r="G21" i="160"/>
  <c r="H21" i="160" s="1"/>
  <c r="I21" i="160" s="1"/>
  <c r="F20" i="169"/>
  <c r="G21" i="157"/>
  <c r="H21" i="157" s="1"/>
  <c r="I21" i="157" s="1"/>
  <c r="F20" i="25"/>
  <c r="G20" i="25" s="1"/>
  <c r="H20" i="25" s="1"/>
  <c r="I20" i="25" s="1"/>
  <c r="F20" i="64"/>
  <c r="G20" i="64" s="1"/>
  <c r="H20" i="64" s="1"/>
  <c r="I20" i="64" s="1"/>
  <c r="F24" i="168"/>
  <c r="F24" i="54"/>
  <c r="G24" i="54" s="1"/>
  <c r="H24" i="54" s="1"/>
  <c r="I24" i="54" s="1"/>
  <c r="F24" i="56"/>
  <c r="G24" i="56" s="1"/>
  <c r="H24" i="56" s="1"/>
  <c r="I24" i="56" s="1"/>
  <c r="F24" i="104"/>
  <c r="G24" i="104" s="1"/>
  <c r="H24" i="104" s="1"/>
  <c r="I24" i="104" s="1"/>
  <c r="H20" i="116"/>
  <c r="I20" i="116" s="1"/>
  <c r="F24" i="181"/>
  <c r="F24" i="53"/>
  <c r="G24" i="53" s="1"/>
  <c r="H24" i="53" s="1"/>
  <c r="I24" i="53" s="1"/>
  <c r="F24" i="51"/>
  <c r="G24" i="51" s="1"/>
  <c r="H24" i="51" s="1"/>
  <c r="I24" i="51" s="1"/>
  <c r="F24" i="52"/>
  <c r="G24" i="52" s="1"/>
  <c r="H24" i="52" s="1"/>
  <c r="I24" i="52" s="1"/>
  <c r="H20" i="185"/>
  <c r="I20" i="185" s="1"/>
  <c r="H23" i="186"/>
  <c r="I23" i="186" s="1"/>
  <c r="H20" i="118"/>
  <c r="I20" i="118" s="1"/>
  <c r="G19" i="170"/>
  <c r="G19" i="75"/>
  <c r="G19" i="73"/>
  <c r="F18" i="169"/>
  <c r="G18" i="169" s="1"/>
  <c r="G17" i="157"/>
  <c r="G17" i="144"/>
  <c r="F18" i="64"/>
  <c r="G18" i="64" s="1"/>
  <c r="F18" i="25"/>
  <c r="G18" i="25" s="1"/>
  <c r="F22" i="183"/>
  <c r="G22" i="183" s="1"/>
  <c r="F22" i="60"/>
  <c r="G22" i="60" s="1"/>
  <c r="F22" i="61"/>
  <c r="G22" i="61" s="1"/>
  <c r="F22" i="62"/>
  <c r="G22" i="62" s="1"/>
  <c r="G16" i="141"/>
  <c r="F18" i="175"/>
  <c r="G18" i="175" s="1"/>
  <c r="F18" i="68"/>
  <c r="G18" i="68" s="1"/>
  <c r="F18" i="70"/>
  <c r="G18" i="70" s="1"/>
  <c r="F22" i="184"/>
  <c r="G22" i="184" s="1"/>
  <c r="F22" i="57"/>
  <c r="G22" i="57" s="1"/>
  <c r="F22" i="58"/>
  <c r="G22" i="58" s="1"/>
  <c r="F22" i="59"/>
  <c r="G22" i="59" s="1"/>
  <c r="G17" i="198"/>
  <c r="G17" i="197"/>
  <c r="F18" i="174"/>
  <c r="G18" i="174" s="1"/>
  <c r="F18" i="67"/>
  <c r="G18" i="67" s="1"/>
  <c r="F18" i="65"/>
  <c r="G18" i="65" s="1"/>
  <c r="F22" i="181"/>
  <c r="G22" i="181" s="1"/>
  <c r="F22" i="51"/>
  <c r="G22" i="51" s="1"/>
  <c r="F22" i="53"/>
  <c r="G22" i="53" s="1"/>
  <c r="F22" i="52"/>
  <c r="G22" i="52" s="1"/>
  <c r="F22" i="168"/>
  <c r="G22" i="168" s="1"/>
  <c r="F22" i="54"/>
  <c r="G22" i="54" s="1"/>
  <c r="F22" i="104"/>
  <c r="G22" i="104" s="1"/>
  <c r="F22" i="56"/>
  <c r="G22" i="56" s="1"/>
  <c r="F18" i="148"/>
  <c r="G18" i="148" s="1"/>
  <c r="G19" i="173"/>
  <c r="F18" i="199"/>
  <c r="G18" i="199" s="1"/>
  <c r="F18" i="146"/>
  <c r="G18" i="146" s="1"/>
  <c r="G19" i="79"/>
  <c r="G19" i="81"/>
  <c r="F22" i="182"/>
  <c r="G22" i="182" s="1"/>
  <c r="F22" i="50"/>
  <c r="G22" i="50" s="1"/>
  <c r="F22" i="49"/>
  <c r="G22" i="49" s="1"/>
  <c r="F22" i="48"/>
  <c r="G22" i="48" s="1"/>
  <c r="G19" i="171"/>
  <c r="G19" i="72"/>
  <c r="G19" i="5"/>
  <c r="H18" i="148" l="1"/>
  <c r="I18" i="148" s="1"/>
  <c r="H22" i="51"/>
  <c r="I22" i="51" s="1"/>
  <c r="H22" i="184"/>
  <c r="I22" i="184" s="1"/>
  <c r="H18" i="64"/>
  <c r="I18" i="64" s="1"/>
  <c r="H19" i="171"/>
  <c r="I19" i="171" s="1"/>
  <c r="H22" i="48"/>
  <c r="I22" i="48" s="1"/>
  <c r="H22" i="182"/>
  <c r="I22" i="182" s="1"/>
  <c r="H19" i="81"/>
  <c r="I19" i="81" s="1"/>
  <c r="H18" i="199"/>
  <c r="I18" i="199" s="1"/>
  <c r="H22" i="56"/>
  <c r="I22" i="56" s="1"/>
  <c r="H22" i="181"/>
  <c r="I22" i="181" s="1"/>
  <c r="H18" i="67"/>
  <c r="I18" i="67" s="1"/>
  <c r="H18" i="174"/>
  <c r="I18" i="174" s="1"/>
  <c r="H17" i="198"/>
  <c r="I17" i="198" s="1"/>
  <c r="H18" i="68"/>
  <c r="I18" i="68" s="1"/>
  <c r="H18" i="175"/>
  <c r="I18" i="175" s="1"/>
  <c r="H22" i="60"/>
  <c r="I22" i="60" s="1"/>
  <c r="H17" i="160"/>
  <c r="I17" i="160" s="1"/>
  <c r="H19" i="73"/>
  <c r="I19" i="73" s="1"/>
  <c r="H18" i="65"/>
  <c r="I18" i="65" s="1"/>
  <c r="H22" i="58"/>
  <c r="I22" i="58" s="1"/>
  <c r="H19" i="170"/>
  <c r="I19" i="170" s="1"/>
  <c r="H19" i="5"/>
  <c r="I19" i="5" s="1"/>
  <c r="H19" i="173"/>
  <c r="I19" i="173" s="1"/>
  <c r="H22" i="104"/>
  <c r="I22" i="104" s="1"/>
  <c r="H22" i="52"/>
  <c r="I22" i="52" s="1"/>
  <c r="H22" i="57"/>
  <c r="I22" i="57" s="1"/>
  <c r="H22" i="62"/>
  <c r="I22" i="62" s="1"/>
  <c r="H17" i="157"/>
  <c r="I17" i="157" s="1"/>
  <c r="H19" i="75"/>
  <c r="I19" i="75" s="1"/>
  <c r="H22" i="50"/>
  <c r="I22" i="50" s="1"/>
  <c r="H18" i="146"/>
  <c r="I18" i="146" s="1"/>
  <c r="H22" i="168"/>
  <c r="I22" i="168" s="1"/>
  <c r="H17" i="197"/>
  <c r="I17" i="197" s="1"/>
  <c r="H16" i="141"/>
  <c r="I16" i="141" s="1"/>
  <c r="H19" i="72"/>
  <c r="I19" i="72" s="1"/>
  <c r="H22" i="49"/>
  <c r="I22" i="49" s="1"/>
  <c r="H19" i="79"/>
  <c r="I19" i="79" s="1"/>
  <c r="H22" i="54"/>
  <c r="I22" i="54" s="1"/>
  <c r="H22" i="53"/>
  <c r="I22" i="53" s="1"/>
  <c r="H22" i="59"/>
  <c r="I22" i="59" s="1"/>
  <c r="H18" i="70"/>
  <c r="I18" i="70" s="1"/>
  <c r="H22" i="61"/>
  <c r="I22" i="61" s="1"/>
  <c r="H22" i="183"/>
  <c r="I22" i="183" s="1"/>
  <c r="H18" i="25"/>
  <c r="I18" i="25" s="1"/>
  <c r="H17" i="144"/>
  <c r="I17" i="144" s="1"/>
  <c r="H18" i="169"/>
  <c r="I18" i="169" s="1"/>
  <c r="F24" i="180" l="1"/>
  <c r="F24" i="4"/>
  <c r="G24" i="4" s="1"/>
  <c r="H24" i="4" s="1"/>
  <c r="I24" i="4" s="1"/>
  <c r="F24" i="46"/>
  <c r="G24" i="46" s="1"/>
  <c r="H24" i="46" s="1"/>
  <c r="I24" i="46" s="1"/>
  <c r="F24" i="47"/>
  <c r="G24" i="47" s="1"/>
  <c r="H24" i="47" s="1"/>
  <c r="I24" i="47" s="1"/>
  <c r="F22" i="180"/>
  <c r="G22" i="180" s="1"/>
  <c r="F22" i="4"/>
  <c r="G22" i="4" s="1"/>
  <c r="F22" i="46"/>
  <c r="G22" i="46" s="1"/>
  <c r="F22" i="47"/>
  <c r="G22" i="47" s="1"/>
  <c r="H22" i="4" l="1"/>
  <c r="I22" i="4" s="1"/>
  <c r="H22" i="180"/>
  <c r="I22" i="180" s="1"/>
  <c r="H22" i="47"/>
  <c r="I22" i="47" s="1"/>
  <c r="H22" i="46"/>
  <c r="I22" i="46" s="1"/>
  <c r="G19" i="172" l="1"/>
  <c r="G19" i="78"/>
  <c r="G19" i="76"/>
  <c r="H19" i="172" l="1"/>
  <c r="I19" i="172" s="1"/>
  <c r="H19" i="76"/>
  <c r="I19" i="76" s="1"/>
  <c r="H19" i="78"/>
  <c r="I19" i="78" s="1"/>
  <c r="G21" i="126" l="1"/>
  <c r="G21" i="125"/>
  <c r="G21" i="127"/>
  <c r="G21" i="188"/>
  <c r="G22" i="72"/>
  <c r="G21" i="75"/>
  <c r="H21" i="188" l="1"/>
  <c r="I21" i="188" s="1"/>
  <c r="H21" i="126"/>
  <c r="I21" i="126" s="1"/>
  <c r="H21" i="125"/>
  <c r="I21" i="125" s="1"/>
  <c r="H21" i="127"/>
  <c r="I21" i="127" s="1"/>
  <c r="C16" i="172" l="1"/>
  <c r="D16" i="172" s="1"/>
  <c r="C16" i="78"/>
  <c r="D16" i="78" s="1"/>
  <c r="C16" i="76"/>
  <c r="D16" i="76" s="1"/>
  <c r="C24" i="170" l="1"/>
  <c r="D24" i="170" s="1"/>
  <c r="C24" i="75"/>
  <c r="D24" i="75" s="1"/>
  <c r="C24" i="73"/>
  <c r="D24" i="73" s="1"/>
  <c r="C32" i="181"/>
  <c r="C32" i="53"/>
  <c r="D32" i="53" s="1"/>
  <c r="H32" i="53" s="1"/>
  <c r="I32" i="53" s="1"/>
  <c r="C32" i="51"/>
  <c r="D32" i="51" s="1"/>
  <c r="H32" i="51" s="1"/>
  <c r="I32" i="51" s="1"/>
  <c r="C32" i="52"/>
  <c r="D32" i="52" s="1"/>
  <c r="H32" i="52" s="1"/>
  <c r="I32" i="52" s="1"/>
  <c r="C24" i="171"/>
  <c r="D24" i="171" s="1"/>
  <c r="C24" i="5"/>
  <c r="D24" i="5" s="1"/>
  <c r="C24" i="72"/>
  <c r="D24" i="72" s="1"/>
  <c r="D25" i="141"/>
  <c r="H25" i="141" s="1"/>
  <c r="I25" i="141" s="1"/>
  <c r="D26" i="154"/>
  <c r="H26" i="154" s="1"/>
  <c r="I26" i="154" s="1"/>
  <c r="C26" i="175"/>
  <c r="C26" i="68"/>
  <c r="D26" i="68" s="1"/>
  <c r="H26" i="68" s="1"/>
  <c r="I26" i="68" s="1"/>
  <c r="C26" i="70"/>
  <c r="D26" i="70" s="1"/>
  <c r="H26" i="70" s="1"/>
  <c r="I26" i="70" s="1"/>
  <c r="C32" i="168"/>
  <c r="C32" i="104"/>
  <c r="D32" i="104" s="1"/>
  <c r="H32" i="104" s="1"/>
  <c r="I32" i="104" s="1"/>
  <c r="C32" i="56"/>
  <c r="D32" i="56" s="1"/>
  <c r="H32" i="56" s="1"/>
  <c r="I32" i="56" s="1"/>
  <c r="C32" i="54"/>
  <c r="D32" i="54" s="1"/>
  <c r="H32" i="54" s="1"/>
  <c r="I32" i="54" s="1"/>
  <c r="C25" i="172"/>
  <c r="D25" i="172" s="1"/>
  <c r="H25" i="172" s="1"/>
  <c r="I25" i="172" s="1"/>
  <c r="C25" i="76"/>
  <c r="D25" i="76" s="1"/>
  <c r="H25" i="76" s="1"/>
  <c r="I25" i="76" s="1"/>
  <c r="C25" i="78"/>
  <c r="D25" i="78" s="1"/>
  <c r="H25" i="78" s="1"/>
  <c r="I25" i="78" s="1"/>
  <c r="C31" i="180"/>
  <c r="C31" i="47"/>
  <c r="D31" i="47" s="1"/>
  <c r="C31" i="4"/>
  <c r="D31" i="4" s="1"/>
  <c r="C31" i="46"/>
  <c r="D31" i="46" s="1"/>
  <c r="C31" i="183"/>
  <c r="C31" i="61"/>
  <c r="D31" i="61" s="1"/>
  <c r="C31" i="60"/>
  <c r="D31" i="60" s="1"/>
  <c r="C31" i="62"/>
  <c r="D31" i="62" s="1"/>
  <c r="D26" i="160"/>
  <c r="H26" i="160" s="1"/>
  <c r="I26" i="160" s="1"/>
  <c r="D25" i="144"/>
  <c r="H25" i="144" s="1"/>
  <c r="I25" i="144" s="1"/>
  <c r="C26" i="169"/>
  <c r="D26" i="157"/>
  <c r="H26" i="157" s="1"/>
  <c r="I26" i="157" s="1"/>
  <c r="C26" i="25"/>
  <c r="D26" i="25" s="1"/>
  <c r="H26" i="25" s="1"/>
  <c r="I26" i="25" s="1"/>
  <c r="C26" i="64"/>
  <c r="D26" i="64" s="1"/>
  <c r="H26" i="64" s="1"/>
  <c r="I26" i="64" s="1"/>
  <c r="C25" i="170"/>
  <c r="D25" i="170" s="1"/>
  <c r="H25" i="170" s="1"/>
  <c r="I25" i="170" s="1"/>
  <c r="C25" i="75"/>
  <c r="D25" i="75" s="1"/>
  <c r="H25" i="75" s="1"/>
  <c r="I25" i="75" s="1"/>
  <c r="C25" i="73"/>
  <c r="D25" i="73" s="1"/>
  <c r="H25" i="73" s="1"/>
  <c r="I25" i="73" s="1"/>
  <c r="C32" i="183"/>
  <c r="C32" i="62"/>
  <c r="D32" i="62" s="1"/>
  <c r="H32" i="62" s="1"/>
  <c r="I32" i="62" s="1"/>
  <c r="C32" i="60"/>
  <c r="D32" i="60" s="1"/>
  <c r="H32" i="60" s="1"/>
  <c r="I32" i="60" s="1"/>
  <c r="C32" i="61"/>
  <c r="D32" i="61" s="1"/>
  <c r="H32" i="61" s="1"/>
  <c r="I32" i="61" s="1"/>
  <c r="C32" i="182"/>
  <c r="C32" i="50"/>
  <c r="D32" i="50" s="1"/>
  <c r="H32" i="50" s="1"/>
  <c r="I32" i="50" s="1"/>
  <c r="C32" i="49"/>
  <c r="D32" i="49" s="1"/>
  <c r="H32" i="49" s="1"/>
  <c r="I32" i="49" s="1"/>
  <c r="C32" i="48"/>
  <c r="D32" i="48" s="1"/>
  <c r="H32" i="48" s="1"/>
  <c r="I32" i="48" s="1"/>
  <c r="C25" i="171"/>
  <c r="D25" i="171" s="1"/>
  <c r="H25" i="171" s="1"/>
  <c r="I25" i="171" s="1"/>
  <c r="C25" i="72"/>
  <c r="D25" i="72" s="1"/>
  <c r="H25" i="72" s="1"/>
  <c r="I25" i="72" s="1"/>
  <c r="C25" i="5"/>
  <c r="D25" i="5" s="1"/>
  <c r="H25" i="5" s="1"/>
  <c r="I25" i="5" s="1"/>
  <c r="C32" i="184"/>
  <c r="C32" i="57"/>
  <c r="D32" i="57" s="1"/>
  <c r="H32" i="57" s="1"/>
  <c r="I32" i="57" s="1"/>
  <c r="C32" i="59"/>
  <c r="D32" i="59" s="1"/>
  <c r="H32" i="59" s="1"/>
  <c r="I32" i="59" s="1"/>
  <c r="C32" i="58"/>
  <c r="D32" i="58" s="1"/>
  <c r="H32" i="58" s="1"/>
  <c r="I32" i="58" s="1"/>
  <c r="C32" i="180"/>
  <c r="C32" i="46"/>
  <c r="D32" i="46" s="1"/>
  <c r="H32" i="46" s="1"/>
  <c r="I32" i="46" s="1"/>
  <c r="C32" i="4"/>
  <c r="D32" i="4" s="1"/>
  <c r="H32" i="4" s="1"/>
  <c r="I32" i="4" s="1"/>
  <c r="C32" i="47"/>
  <c r="D32" i="47" s="1"/>
  <c r="H32" i="47" s="1"/>
  <c r="I32" i="47" s="1"/>
  <c r="C31" i="181"/>
  <c r="C31" i="53"/>
  <c r="D31" i="53" s="1"/>
  <c r="C31" i="51"/>
  <c r="D31" i="51" s="1"/>
  <c r="C31" i="52"/>
  <c r="D31" i="52" s="1"/>
  <c r="D24" i="148"/>
  <c r="C24" i="173"/>
  <c r="D24" i="173" s="1"/>
  <c r="D24" i="199"/>
  <c r="D24" i="146"/>
  <c r="C24" i="79"/>
  <c r="D24" i="79" s="1"/>
  <c r="C24" i="81"/>
  <c r="D24" i="81" s="1"/>
  <c r="C31" i="184"/>
  <c r="C31" i="57"/>
  <c r="D31" i="57" s="1"/>
  <c r="C31" i="59"/>
  <c r="D31" i="59" s="1"/>
  <c r="C31" i="58"/>
  <c r="D31" i="58" s="1"/>
  <c r="C31" i="182"/>
  <c r="C31" i="48"/>
  <c r="D31" i="48" s="1"/>
  <c r="C31" i="50"/>
  <c r="D31" i="50" s="1"/>
  <c r="C31" i="49"/>
  <c r="D31" i="49" s="1"/>
  <c r="D25" i="146"/>
  <c r="H25" i="146" s="1"/>
  <c r="I25" i="146" s="1"/>
  <c r="C25" i="173"/>
  <c r="D25" i="173" s="1"/>
  <c r="H25" i="173" s="1"/>
  <c r="I25" i="173" s="1"/>
  <c r="D25" i="199"/>
  <c r="H25" i="199" s="1"/>
  <c r="I25" i="199" s="1"/>
  <c r="D25" i="148"/>
  <c r="H25" i="148" s="1"/>
  <c r="I25" i="148" s="1"/>
  <c r="C25" i="81"/>
  <c r="D25" i="81" s="1"/>
  <c r="H25" i="81" s="1"/>
  <c r="I25" i="81" s="1"/>
  <c r="C25" i="79"/>
  <c r="D25" i="79" s="1"/>
  <c r="H25" i="79" s="1"/>
  <c r="I25" i="79" s="1"/>
  <c r="C25" i="169"/>
  <c r="D25" i="157"/>
  <c r="D24" i="144"/>
  <c r="D25" i="160"/>
  <c r="C25" i="25"/>
  <c r="D25" i="25" s="1"/>
  <c r="C25" i="64"/>
  <c r="D25" i="64" s="1"/>
  <c r="D25" i="154"/>
  <c r="C25" i="175"/>
  <c r="D24" i="141"/>
  <c r="C25" i="68"/>
  <c r="D25" i="68" s="1"/>
  <c r="C25" i="70"/>
  <c r="D25" i="70" s="1"/>
  <c r="C31" i="168"/>
  <c r="C31" i="54"/>
  <c r="D31" i="54" s="1"/>
  <c r="C31" i="56"/>
  <c r="D31" i="56" s="1"/>
  <c r="C31" i="104"/>
  <c r="D31" i="104" s="1"/>
  <c r="C24" i="172"/>
  <c r="D24" i="172" s="1"/>
  <c r="C24" i="76"/>
  <c r="D24" i="76" s="1"/>
  <c r="C24" i="78"/>
  <c r="D24" i="78" s="1"/>
  <c r="D33" i="104" l="1"/>
  <c r="H31" i="104"/>
  <c r="I31" i="104" s="1"/>
  <c r="D26" i="79"/>
  <c r="H24" i="79"/>
  <c r="I24" i="79" s="1"/>
  <c r="D33" i="53"/>
  <c r="H31" i="53"/>
  <c r="I31" i="53" s="1"/>
  <c r="D26" i="76"/>
  <c r="H24" i="76"/>
  <c r="I24" i="76" s="1"/>
  <c r="H24" i="141"/>
  <c r="I24" i="141" s="1"/>
  <c r="D26" i="141"/>
  <c r="D27" i="64"/>
  <c r="H25" i="64"/>
  <c r="I25" i="64" s="1"/>
  <c r="D26" i="144"/>
  <c r="H24" i="144"/>
  <c r="I24" i="144" s="1"/>
  <c r="D33" i="49"/>
  <c r="H31" i="49"/>
  <c r="I31" i="49" s="1"/>
  <c r="D33" i="58"/>
  <c r="H31" i="58"/>
  <c r="I31" i="58" s="1"/>
  <c r="D26" i="81"/>
  <c r="H24" i="81"/>
  <c r="I24" i="81" s="1"/>
  <c r="D26" i="199"/>
  <c r="H24" i="199"/>
  <c r="I24" i="199" s="1"/>
  <c r="D33" i="52"/>
  <c r="H31" i="52"/>
  <c r="I31" i="52" s="1"/>
  <c r="D33" i="62"/>
  <c r="H31" i="62"/>
  <c r="I31" i="62" s="1"/>
  <c r="H31" i="47"/>
  <c r="I31" i="47" s="1"/>
  <c r="D33" i="47"/>
  <c r="D26" i="171"/>
  <c r="H24" i="171"/>
  <c r="I24" i="171" s="1"/>
  <c r="D33" i="48"/>
  <c r="H31" i="48"/>
  <c r="I31" i="48" s="1"/>
  <c r="D26" i="173"/>
  <c r="H24" i="173"/>
  <c r="I24" i="173" s="1"/>
  <c r="D33" i="60"/>
  <c r="H31" i="60"/>
  <c r="I31" i="60" s="1"/>
  <c r="H25" i="70"/>
  <c r="I25" i="70" s="1"/>
  <c r="D27" i="70"/>
  <c r="H24" i="172"/>
  <c r="I24" i="172" s="1"/>
  <c r="D26" i="172"/>
  <c r="D33" i="54"/>
  <c r="H31" i="54"/>
  <c r="I31" i="54" s="1"/>
  <c r="D27" i="68"/>
  <c r="H25" i="68"/>
  <c r="I25" i="68" s="1"/>
  <c r="H25" i="157"/>
  <c r="I25" i="157" s="1"/>
  <c r="D27" i="157"/>
  <c r="D33" i="50"/>
  <c r="H31" i="50"/>
  <c r="I31" i="50" s="1"/>
  <c r="D33" i="59"/>
  <c r="H31" i="59"/>
  <c r="I31" i="59" s="1"/>
  <c r="D33" i="51"/>
  <c r="H31" i="51"/>
  <c r="I31" i="51" s="1"/>
  <c r="H24" i="72"/>
  <c r="I24" i="72" s="1"/>
  <c r="D26" i="72"/>
  <c r="D26" i="75"/>
  <c r="H24" i="75"/>
  <c r="I24" i="75" s="1"/>
  <c r="D33" i="46"/>
  <c r="H31" i="46"/>
  <c r="I31" i="46" s="1"/>
  <c r="D26" i="78"/>
  <c r="H24" i="78"/>
  <c r="I24" i="78" s="1"/>
  <c r="D33" i="56"/>
  <c r="H31" i="56"/>
  <c r="I31" i="56" s="1"/>
  <c r="D27" i="154"/>
  <c r="H25" i="154"/>
  <c r="I25" i="154" s="1"/>
  <c r="D27" i="25"/>
  <c r="H25" i="25"/>
  <c r="I25" i="25" s="1"/>
  <c r="D27" i="160"/>
  <c r="H25" i="160"/>
  <c r="I25" i="160" s="1"/>
  <c r="D33" i="57"/>
  <c r="H31" i="57"/>
  <c r="I31" i="57" s="1"/>
  <c r="H24" i="146"/>
  <c r="I24" i="146" s="1"/>
  <c r="D26" i="146"/>
  <c r="D26" i="148"/>
  <c r="H24" i="148"/>
  <c r="I24" i="148" s="1"/>
  <c r="D33" i="61"/>
  <c r="H31" i="61"/>
  <c r="I31" i="61" s="1"/>
  <c r="D33" i="4"/>
  <c r="H31" i="4"/>
  <c r="I31" i="4" s="1"/>
  <c r="D26" i="5"/>
  <c r="H24" i="5"/>
  <c r="I24" i="5" s="1"/>
  <c r="H24" i="73"/>
  <c r="I24" i="73" s="1"/>
  <c r="D26" i="73"/>
  <c r="H24" i="170"/>
  <c r="I24" i="170" s="1"/>
  <c r="D26" i="170"/>
  <c r="H26" i="170" l="1"/>
  <c r="I26" i="170" s="1"/>
  <c r="D35" i="157"/>
  <c r="D38" i="157" s="1"/>
  <c r="H27" i="157"/>
  <c r="I27" i="157" s="1"/>
  <c r="D28" i="157"/>
  <c r="H27" i="70"/>
  <c r="I27" i="70" s="1"/>
  <c r="H26" i="5"/>
  <c r="I26" i="5" s="1"/>
  <c r="H33" i="4"/>
  <c r="I33" i="4" s="1"/>
  <c r="H33" i="57"/>
  <c r="I33" i="57" s="1"/>
  <c r="D28" i="160"/>
  <c r="H27" i="160"/>
  <c r="I27" i="160" s="1"/>
  <c r="D35" i="160"/>
  <c r="D38" i="160" s="1"/>
  <c r="H27" i="25"/>
  <c r="I27" i="25" s="1"/>
  <c r="H33" i="56"/>
  <c r="I33" i="56" s="1"/>
  <c r="H33" i="46"/>
  <c r="I33" i="46" s="1"/>
  <c r="H26" i="75"/>
  <c r="I26" i="75" s="1"/>
  <c r="H33" i="59"/>
  <c r="I33" i="59" s="1"/>
  <c r="H33" i="54"/>
  <c r="I33" i="54" s="1"/>
  <c r="H26" i="173"/>
  <c r="I26" i="173" s="1"/>
  <c r="H33" i="48"/>
  <c r="I33" i="48" s="1"/>
  <c r="H26" i="199"/>
  <c r="I26" i="199" s="1"/>
  <c r="D27" i="199"/>
  <c r="D34" i="199"/>
  <c r="D37" i="199" s="1"/>
  <c r="H33" i="49"/>
  <c r="I33" i="49" s="1"/>
  <c r="D27" i="144"/>
  <c r="D34" i="144"/>
  <c r="D37" i="144" s="1"/>
  <c r="H26" i="144"/>
  <c r="I26" i="144" s="1"/>
  <c r="H26" i="76"/>
  <c r="I26" i="76" s="1"/>
  <c r="H26" i="79"/>
  <c r="I26" i="79" s="1"/>
  <c r="D27" i="146"/>
  <c r="D34" i="146"/>
  <c r="D37" i="146" s="1"/>
  <c r="H26" i="146"/>
  <c r="I26" i="146" s="1"/>
  <c r="H26" i="73"/>
  <c r="I26" i="73" s="1"/>
  <c r="H26" i="72"/>
  <c r="I26" i="72" s="1"/>
  <c r="H26" i="172"/>
  <c r="I26" i="172" s="1"/>
  <c r="H33" i="47"/>
  <c r="I33" i="47" s="1"/>
  <c r="D27" i="141"/>
  <c r="D34" i="141"/>
  <c r="D37" i="141" s="1"/>
  <c r="H26" i="141"/>
  <c r="I26" i="141" s="1"/>
  <c r="H33" i="61"/>
  <c r="I33" i="61" s="1"/>
  <c r="D34" i="148"/>
  <c r="D37" i="148" s="1"/>
  <c r="D27" i="148"/>
  <c r="H26" i="148"/>
  <c r="I26" i="148" s="1"/>
  <c r="H27" i="154"/>
  <c r="I27" i="154" s="1"/>
  <c r="D28" i="154"/>
  <c r="D35" i="154"/>
  <c r="D38" i="154" s="1"/>
  <c r="H26" i="78"/>
  <c r="I26" i="78" s="1"/>
  <c r="H33" i="51"/>
  <c r="I33" i="51" s="1"/>
  <c r="H33" i="50"/>
  <c r="I33" i="50" s="1"/>
  <c r="H27" i="68"/>
  <c r="I27" i="68" s="1"/>
  <c r="H33" i="60"/>
  <c r="I33" i="60" s="1"/>
  <c r="H26" i="171"/>
  <c r="I26" i="171" s="1"/>
  <c r="H33" i="62"/>
  <c r="I33" i="62" s="1"/>
  <c r="H33" i="52"/>
  <c r="I33" i="52" s="1"/>
  <c r="H26" i="81"/>
  <c r="I26" i="81" s="1"/>
  <c r="H33" i="58"/>
  <c r="I33" i="58" s="1"/>
  <c r="H27" i="64"/>
  <c r="I27" i="64" s="1"/>
  <c r="H33" i="53"/>
  <c r="I33" i="53" s="1"/>
  <c r="H33" i="104"/>
  <c r="I33" i="104" s="1"/>
  <c r="D35" i="148" l="1"/>
  <c r="D35" i="146"/>
  <c r="D35" i="144"/>
  <c r="D35" i="141"/>
  <c r="D36" i="154"/>
  <c r="D36" i="160"/>
  <c r="D36" i="157"/>
  <c r="D35" i="199"/>
  <c r="D36" i="141" l="1"/>
  <c r="D37" i="157"/>
  <c r="D37" i="154"/>
  <c r="D36" i="199"/>
  <c r="D37" i="160"/>
  <c r="D36" i="144"/>
  <c r="D36" i="146"/>
  <c r="D36" i="148"/>
  <c r="D38" i="144" l="1"/>
  <c r="E14" i="179" s="1"/>
  <c r="D39" i="157"/>
  <c r="E46" i="179" s="1"/>
  <c r="D38" i="199"/>
  <c r="E17" i="179" s="1"/>
  <c r="D39" i="154"/>
  <c r="E48" i="179" s="1"/>
  <c r="D38" i="146"/>
  <c r="E16" i="179" s="1"/>
  <c r="D38" i="141"/>
  <c r="E15" i="179" s="1"/>
  <c r="D38" i="148"/>
  <c r="E18" i="179" s="1"/>
  <c r="D39" i="160"/>
  <c r="E31" i="179" s="1"/>
  <c r="D26" i="198" l="1"/>
  <c r="H26" i="198" s="1"/>
  <c r="I26" i="198" s="1"/>
  <c r="D26" i="197"/>
  <c r="H26" i="197" s="1"/>
  <c r="I26" i="197" s="1"/>
  <c r="C26" i="174"/>
  <c r="C26" i="67"/>
  <c r="D26" i="67" s="1"/>
  <c r="H26" i="67" s="1"/>
  <c r="I26" i="67" s="1"/>
  <c r="C26" i="65"/>
  <c r="D26" i="65" s="1"/>
  <c r="H26" i="65" s="1"/>
  <c r="I26" i="65" s="1"/>
  <c r="C25" i="174"/>
  <c r="D25" i="198"/>
  <c r="D25" i="197"/>
  <c r="C25" i="65"/>
  <c r="D25" i="65" s="1"/>
  <c r="C25" i="67"/>
  <c r="D25" i="67" s="1"/>
  <c r="D27" i="197" l="1"/>
  <c r="H25" i="197"/>
  <c r="I25" i="197" s="1"/>
  <c r="D27" i="67"/>
  <c r="H25" i="67"/>
  <c r="I25" i="67" s="1"/>
  <c r="D27" i="198"/>
  <c r="H25" i="198"/>
  <c r="I25" i="198" s="1"/>
  <c r="D27" i="65"/>
  <c r="H25" i="65"/>
  <c r="I25" i="65" s="1"/>
  <c r="H27" i="65" l="1"/>
  <c r="I27" i="65" s="1"/>
  <c r="H27" i="67"/>
  <c r="I27" i="67" s="1"/>
  <c r="D28" i="198"/>
  <c r="D35" i="198"/>
  <c r="D38" i="198" s="1"/>
  <c r="H27" i="198"/>
  <c r="I27" i="198" s="1"/>
  <c r="D28" i="197"/>
  <c r="D35" i="197"/>
  <c r="D38" i="197" s="1"/>
  <c r="H27" i="197"/>
  <c r="I27" i="197" s="1"/>
  <c r="D36" i="198" l="1"/>
  <c r="D36" i="197"/>
  <c r="D37" i="197" l="1"/>
  <c r="D37" i="198"/>
  <c r="D39" i="198" l="1"/>
  <c r="E47" i="179" s="1"/>
  <c r="D39" i="197"/>
  <c r="E32" i="179" s="1"/>
  <c r="C19" i="184" l="1"/>
  <c r="D19" i="184" s="1"/>
  <c r="C19" i="57"/>
  <c r="D19" i="57" s="1"/>
  <c r="C19" i="58"/>
  <c r="D19" i="58" s="1"/>
  <c r="C19" i="59"/>
  <c r="D19" i="59" s="1"/>
  <c r="C15" i="175"/>
  <c r="D15" i="175" s="1"/>
  <c r="C15" i="70"/>
  <c r="D15" i="70" s="1"/>
  <c r="C15" i="68"/>
  <c r="D15" i="68" s="1"/>
  <c r="C19" i="175"/>
  <c r="C19" i="68"/>
  <c r="D19" i="68" s="1"/>
  <c r="C19" i="70"/>
  <c r="D19" i="70" s="1"/>
  <c r="D22" i="70" l="1"/>
  <c r="D22" i="68"/>
  <c r="C16" i="173"/>
  <c r="D16" i="173" s="1"/>
  <c r="C16" i="79"/>
  <c r="D16" i="79" s="1"/>
  <c r="C16" i="81"/>
  <c r="D16" i="81" s="1"/>
  <c r="C15" i="169"/>
  <c r="D15" i="169" s="1"/>
  <c r="C15" i="25"/>
  <c r="D15" i="25" s="1"/>
  <c r="C15" i="64"/>
  <c r="D15" i="64" s="1"/>
  <c r="C20" i="171"/>
  <c r="D20" i="171" s="1"/>
  <c r="D22" i="72"/>
  <c r="H22" i="72" s="1"/>
  <c r="I22" i="72" s="1"/>
  <c r="C20" i="5"/>
  <c r="D20" i="5" s="1"/>
  <c r="C23" i="183"/>
  <c r="C23" i="62"/>
  <c r="D23" i="62" s="1"/>
  <c r="C23" i="60"/>
  <c r="D23" i="60" s="1"/>
  <c r="C23" i="61"/>
  <c r="D23" i="61" s="1"/>
  <c r="C16" i="171"/>
  <c r="D16" i="171" s="1"/>
  <c r="C16" i="5"/>
  <c r="D16" i="5" s="1"/>
  <c r="C16" i="72"/>
  <c r="D16" i="72" s="1"/>
  <c r="C23" i="184"/>
  <c r="C23" i="58"/>
  <c r="D23" i="58" s="1"/>
  <c r="C23" i="57"/>
  <c r="D23" i="57" s="1"/>
  <c r="C23" i="59"/>
  <c r="D23" i="59" s="1"/>
  <c r="C19" i="182"/>
  <c r="D19" i="182" s="1"/>
  <c r="C19" i="48"/>
  <c r="D19" i="48" s="1"/>
  <c r="C19" i="50"/>
  <c r="D19" i="50" s="1"/>
  <c r="C19" i="49"/>
  <c r="D19" i="49" s="1"/>
  <c r="C19" i="180"/>
  <c r="D19" i="180" s="1"/>
  <c r="C19" i="47"/>
  <c r="D19" i="47" s="1"/>
  <c r="C19" i="46"/>
  <c r="D19" i="46" s="1"/>
  <c r="C19" i="4"/>
  <c r="D19" i="4" s="1"/>
  <c r="C15" i="174"/>
  <c r="D15" i="174" s="1"/>
  <c r="C15" i="67"/>
  <c r="D15" i="67" s="1"/>
  <c r="C15" i="65"/>
  <c r="D15" i="65" s="1"/>
  <c r="C19" i="183"/>
  <c r="D19" i="183" s="1"/>
  <c r="C19" i="60"/>
  <c r="D19" i="60" s="1"/>
  <c r="C19" i="61"/>
  <c r="D19" i="61" s="1"/>
  <c r="C19" i="62"/>
  <c r="D19" i="62" s="1"/>
  <c r="C20" i="170"/>
  <c r="D20" i="170" s="1"/>
  <c r="D21" i="75"/>
  <c r="H21" i="75" s="1"/>
  <c r="I21" i="75" s="1"/>
  <c r="C20" i="73"/>
  <c r="D20" i="73" s="1"/>
  <c r="C20" i="172"/>
  <c r="D20" i="172" s="1"/>
  <c r="C20" i="78"/>
  <c r="D20" i="78" s="1"/>
  <c r="C20" i="76"/>
  <c r="D20" i="76" s="1"/>
  <c r="C16" i="170"/>
  <c r="D16" i="170" s="1"/>
  <c r="C16" i="73"/>
  <c r="D16" i="73" s="1"/>
  <c r="C16" i="75"/>
  <c r="D16" i="75" s="1"/>
  <c r="D23" i="72" l="1"/>
  <c r="D34" i="72" s="1"/>
  <c r="D37" i="72" s="1"/>
  <c r="D25" i="59"/>
  <c r="D42" i="59" s="1"/>
  <c r="D45" i="59" s="1"/>
  <c r="D25" i="57"/>
  <c r="D47" i="57" s="1"/>
  <c r="D50" i="57" s="1"/>
  <c r="D25" i="60"/>
  <c r="D24" i="70"/>
  <c r="D23" i="73"/>
  <c r="D23" i="76"/>
  <c r="C19" i="181"/>
  <c r="D19" i="181" s="1"/>
  <c r="C19" i="53"/>
  <c r="D19" i="53" s="1"/>
  <c r="C19" i="52"/>
  <c r="D19" i="52" s="1"/>
  <c r="C19" i="51"/>
  <c r="D19" i="51" s="1"/>
  <c r="C19" i="169"/>
  <c r="C19" i="25"/>
  <c r="D19" i="25" s="1"/>
  <c r="C19" i="64"/>
  <c r="D19" i="64" s="1"/>
  <c r="C19" i="174"/>
  <c r="C19" i="65"/>
  <c r="D19" i="65" s="1"/>
  <c r="C19" i="67"/>
  <c r="D19" i="67" s="1"/>
  <c r="C23" i="168"/>
  <c r="C23" i="104"/>
  <c r="D23" i="104" s="1"/>
  <c r="C23" i="56"/>
  <c r="D23" i="56" s="1"/>
  <c r="C23" i="54"/>
  <c r="D23" i="54" s="1"/>
  <c r="C20" i="173"/>
  <c r="D20" i="173" s="1"/>
  <c r="C20" i="81"/>
  <c r="D20" i="81" s="1"/>
  <c r="C20" i="79"/>
  <c r="D20" i="79" s="1"/>
  <c r="D25" i="62"/>
  <c r="C19" i="168"/>
  <c r="D19" i="168" s="1"/>
  <c r="C19" i="56"/>
  <c r="D19" i="56" s="1"/>
  <c r="C19" i="54"/>
  <c r="D19" i="54" s="1"/>
  <c r="C19" i="104"/>
  <c r="D19" i="104" s="1"/>
  <c r="C23" i="181"/>
  <c r="C23" i="52"/>
  <c r="D23" i="52" s="1"/>
  <c r="C23" i="51"/>
  <c r="D23" i="51" s="1"/>
  <c r="C23" i="53"/>
  <c r="D23" i="53" s="1"/>
  <c r="D23" i="75"/>
  <c r="D34" i="75" s="1"/>
  <c r="D37" i="75" s="1"/>
  <c r="D24" i="68"/>
  <c r="D23" i="78"/>
  <c r="D25" i="61"/>
  <c r="D23" i="5"/>
  <c r="D25" i="58"/>
  <c r="D22" i="64" l="1"/>
  <c r="D22" i="65"/>
  <c r="D22" i="25"/>
  <c r="D24" i="25" s="1"/>
  <c r="D22" i="67"/>
  <c r="D35" i="72"/>
  <c r="D35" i="75"/>
  <c r="D47" i="59"/>
  <c r="D29" i="59"/>
  <c r="D34" i="59" s="1"/>
  <c r="D30" i="59"/>
  <c r="D23" i="79"/>
  <c r="D34" i="79" s="1"/>
  <c r="D37" i="79" s="1"/>
  <c r="D25" i="56"/>
  <c r="D30" i="56" s="1"/>
  <c r="D35" i="56" s="1"/>
  <c r="D30" i="57"/>
  <c r="D35" i="57" s="1"/>
  <c r="D25" i="104"/>
  <c r="D29" i="104" s="1"/>
  <c r="D34" i="104" s="1"/>
  <c r="D42" i="57"/>
  <c r="D29" i="57"/>
  <c r="D25" i="51"/>
  <c r="D29" i="51" s="1"/>
  <c r="D34" i="51" s="1"/>
  <c r="D30" i="61"/>
  <c r="D29" i="61"/>
  <c r="D42" i="61"/>
  <c r="D45" i="61" s="1"/>
  <c r="D47" i="61"/>
  <c r="D50" i="61" s="1"/>
  <c r="C23" i="182"/>
  <c r="C23" i="49"/>
  <c r="D23" i="49" s="1"/>
  <c r="D25" i="49" s="1"/>
  <c r="C23" i="50"/>
  <c r="D23" i="50" s="1"/>
  <c r="D25" i="50" s="1"/>
  <c r="C23" i="48"/>
  <c r="D23" i="48" s="1"/>
  <c r="D25" i="48" s="1"/>
  <c r="D27" i="5"/>
  <c r="D34" i="5"/>
  <c r="D37" i="5" s="1"/>
  <c r="D27" i="75"/>
  <c r="D48" i="57"/>
  <c r="D27" i="73"/>
  <c r="D34" i="73"/>
  <c r="D37" i="73" s="1"/>
  <c r="D29" i="58"/>
  <c r="D30" i="58"/>
  <c r="D47" i="58"/>
  <c r="D50" i="58" s="1"/>
  <c r="D42" i="58"/>
  <c r="D45" i="58" s="1"/>
  <c r="D25" i="54"/>
  <c r="D29" i="62"/>
  <c r="D30" i="62"/>
  <c r="D42" i="62"/>
  <c r="D45" i="62" s="1"/>
  <c r="D47" i="62"/>
  <c r="D50" i="62" s="1"/>
  <c r="D25" i="53"/>
  <c r="C23" i="180"/>
  <c r="C23" i="4"/>
  <c r="D23" i="4" s="1"/>
  <c r="C23" i="47"/>
  <c r="D23" i="47" s="1"/>
  <c r="C23" i="46"/>
  <c r="D23" i="46" s="1"/>
  <c r="D27" i="72"/>
  <c r="D28" i="70"/>
  <c r="D35" i="70"/>
  <c r="D38" i="70" s="1"/>
  <c r="D35" i="68"/>
  <c r="D38" i="68" s="1"/>
  <c r="D28" i="68"/>
  <c r="D34" i="78"/>
  <c r="D37" i="78" s="1"/>
  <c r="D27" i="78"/>
  <c r="D23" i="81"/>
  <c r="D30" i="60"/>
  <c r="D29" i="60"/>
  <c r="D42" i="60"/>
  <c r="D45" i="60" s="1"/>
  <c r="D47" i="60"/>
  <c r="D50" i="60" s="1"/>
  <c r="D43" i="59"/>
  <c r="D25" i="52"/>
  <c r="D27" i="76"/>
  <c r="D34" i="76"/>
  <c r="D37" i="76" s="1"/>
  <c r="D48" i="59" l="1"/>
  <c r="D50" i="59"/>
  <c r="D43" i="57"/>
  <c r="D45" i="57"/>
  <c r="D24" i="65"/>
  <c r="D35" i="65" s="1"/>
  <c r="D38" i="65" s="1"/>
  <c r="D36" i="72"/>
  <c r="D36" i="75"/>
  <c r="D47" i="56"/>
  <c r="D42" i="104"/>
  <c r="D35" i="59"/>
  <c r="D27" i="79"/>
  <c r="D47" i="104"/>
  <c r="D42" i="51"/>
  <c r="D42" i="56"/>
  <c r="D47" i="51"/>
  <c r="D30" i="104"/>
  <c r="D35" i="104" s="1"/>
  <c r="D30" i="51"/>
  <c r="D35" i="51" s="1"/>
  <c r="D29" i="56"/>
  <c r="D34" i="56" s="1"/>
  <c r="D49" i="59"/>
  <c r="D34" i="57"/>
  <c r="D36" i="70"/>
  <c r="D35" i="58"/>
  <c r="D29" i="48"/>
  <c r="D34" i="48" s="1"/>
  <c r="D30" i="48"/>
  <c r="D35" i="48" s="1"/>
  <c r="D47" i="48"/>
  <c r="D50" i="48" s="1"/>
  <c r="D42" i="48"/>
  <c r="D45" i="48" s="1"/>
  <c r="D44" i="59"/>
  <c r="D35" i="25"/>
  <c r="D38" i="25" s="1"/>
  <c r="D28" i="25"/>
  <c r="D34" i="60"/>
  <c r="D35" i="62"/>
  <c r="D34" i="58"/>
  <c r="D35" i="76"/>
  <c r="D29" i="52"/>
  <c r="D34" i="52" s="1"/>
  <c r="D30" i="52"/>
  <c r="D35" i="52" s="1"/>
  <c r="D42" i="52"/>
  <c r="D45" i="52" s="1"/>
  <c r="D47" i="52"/>
  <c r="D50" i="52" s="1"/>
  <c r="D24" i="64"/>
  <c r="D43" i="60"/>
  <c r="D35" i="78"/>
  <c r="D44" i="57"/>
  <c r="D25" i="4"/>
  <c r="D43" i="62"/>
  <c r="D30" i="54"/>
  <c r="D35" i="54" s="1"/>
  <c r="D29" i="54"/>
  <c r="D34" i="54" s="1"/>
  <c r="D42" i="54"/>
  <c r="D45" i="54" s="1"/>
  <c r="D47" i="54"/>
  <c r="D50" i="54" s="1"/>
  <c r="D35" i="5"/>
  <c r="D29" i="49"/>
  <c r="D34" i="49" s="1"/>
  <c r="D30" i="49"/>
  <c r="D35" i="49" s="1"/>
  <c r="D47" i="49"/>
  <c r="D50" i="49" s="1"/>
  <c r="D42" i="49"/>
  <c r="D45" i="49" s="1"/>
  <c r="D48" i="61"/>
  <c r="D35" i="61"/>
  <c r="D35" i="73"/>
  <c r="D43" i="61"/>
  <c r="D36" i="68"/>
  <c r="D25" i="46"/>
  <c r="D29" i="53"/>
  <c r="D34" i="53" s="1"/>
  <c r="D30" i="53"/>
  <c r="D35" i="53" s="1"/>
  <c r="D47" i="53"/>
  <c r="D50" i="53" s="1"/>
  <c r="D42" i="53"/>
  <c r="D45" i="53" s="1"/>
  <c r="D43" i="58"/>
  <c r="D49" i="57"/>
  <c r="D35" i="79"/>
  <c r="D48" i="60"/>
  <c r="D35" i="60"/>
  <c r="D34" i="81"/>
  <c r="D37" i="81" s="1"/>
  <c r="D27" i="81"/>
  <c r="D25" i="47"/>
  <c r="D24" i="67"/>
  <c r="D48" i="62"/>
  <c r="D34" i="62"/>
  <c r="D48" i="58"/>
  <c r="D30" i="50"/>
  <c r="D35" i="50" s="1"/>
  <c r="D29" i="50"/>
  <c r="D34" i="50" s="1"/>
  <c r="D42" i="50"/>
  <c r="D45" i="50" s="1"/>
  <c r="D47" i="50"/>
  <c r="D50" i="50" s="1"/>
  <c r="D34" i="61"/>
  <c r="D48" i="56" l="1"/>
  <c r="D49" i="56" s="1"/>
  <c r="D50" i="56"/>
  <c r="D43" i="56"/>
  <c r="D44" i="56" s="1"/>
  <c r="D45" i="56"/>
  <c r="D48" i="104"/>
  <c r="D49" i="104" s="1"/>
  <c r="D50" i="104"/>
  <c r="D48" i="51"/>
  <c r="D49" i="51" s="1"/>
  <c r="D50" i="51"/>
  <c r="D43" i="51"/>
  <c r="D44" i="51" s="1"/>
  <c r="D45" i="51"/>
  <c r="D46" i="51" s="1"/>
  <c r="D43" i="104"/>
  <c r="D44" i="104" s="1"/>
  <c r="D45" i="104"/>
  <c r="D28" i="65"/>
  <c r="D49" i="61"/>
  <c r="D36" i="5"/>
  <c r="D36" i="78"/>
  <c r="D44" i="58"/>
  <c r="D44" i="60"/>
  <c r="D37" i="70"/>
  <c r="D43" i="54"/>
  <c r="D44" i="54" s="1"/>
  <c r="D35" i="64"/>
  <c r="D38" i="64" s="1"/>
  <c r="D28" i="64"/>
  <c r="D48" i="50"/>
  <c r="D49" i="50" s="1"/>
  <c r="D30" i="47"/>
  <c r="D29" i="47"/>
  <c r="D42" i="47"/>
  <c r="D45" i="47" s="1"/>
  <c r="D47" i="47"/>
  <c r="D50" i="47" s="1"/>
  <c r="D49" i="58"/>
  <c r="D49" i="62"/>
  <c r="D35" i="81"/>
  <c r="D49" i="60"/>
  <c r="D36" i="79"/>
  <c r="D43" i="53"/>
  <c r="D44" i="53" s="1"/>
  <c r="D29" i="46"/>
  <c r="D30" i="46"/>
  <c r="D42" i="46"/>
  <c r="D45" i="46" s="1"/>
  <c r="D47" i="46"/>
  <c r="D50" i="46" s="1"/>
  <c r="D37" i="68"/>
  <c r="D36" i="73"/>
  <c r="D48" i="54"/>
  <c r="D44" i="62"/>
  <c r="D48" i="52"/>
  <c r="D49" i="52" s="1"/>
  <c r="D36" i="76"/>
  <c r="D48" i="48"/>
  <c r="D49" i="48" s="1"/>
  <c r="D35" i="67"/>
  <c r="D38" i="67" s="1"/>
  <c r="D28" i="67"/>
  <c r="D48" i="53"/>
  <c r="D49" i="53" s="1"/>
  <c r="D43" i="49"/>
  <c r="D43" i="52"/>
  <c r="D44" i="52" s="1"/>
  <c r="D44" i="61"/>
  <c r="D48" i="49"/>
  <c r="D36" i="25"/>
  <c r="D43" i="50"/>
  <c r="D44" i="50" s="1"/>
  <c r="D30" i="4"/>
  <c r="D29" i="4"/>
  <c r="D47" i="4"/>
  <c r="D50" i="4" s="1"/>
  <c r="D42" i="4"/>
  <c r="D45" i="4" s="1"/>
  <c r="D43" i="48"/>
  <c r="D36" i="65"/>
  <c r="D46" i="104" l="1"/>
  <c r="D51" i="104"/>
  <c r="E15" i="7" s="1"/>
  <c r="D38" i="75"/>
  <c r="E31" i="7" s="1"/>
  <c r="D38" i="72"/>
  <c r="E28" i="7" s="1"/>
  <c r="D37" i="25"/>
  <c r="D37" i="65"/>
  <c r="D51" i="57"/>
  <c r="D51" i="61"/>
  <c r="E23" i="7" s="1"/>
  <c r="D36" i="81"/>
  <c r="D46" i="53"/>
  <c r="D46" i="52"/>
  <c r="D51" i="53"/>
  <c r="E13" i="7" s="1"/>
  <c r="D51" i="48"/>
  <c r="E6" i="7" s="1"/>
  <c r="D51" i="52"/>
  <c r="E11" i="7" s="1"/>
  <c r="D43" i="4"/>
  <c r="D35" i="46"/>
  <c r="D34" i="47"/>
  <c r="D36" i="64"/>
  <c r="D46" i="54"/>
  <c r="D46" i="56"/>
  <c r="D51" i="51"/>
  <c r="E10" i="7" s="1"/>
  <c r="D51" i="56"/>
  <c r="E17" i="7" s="1"/>
  <c r="D44" i="49"/>
  <c r="D46" i="57"/>
  <c r="D49" i="54"/>
  <c r="D43" i="46"/>
  <c r="D43" i="47"/>
  <c r="D39" i="70"/>
  <c r="D34" i="4"/>
  <c r="D36" i="67"/>
  <c r="D35" i="4"/>
  <c r="D44" i="48"/>
  <c r="D48" i="4"/>
  <c r="D49" i="49"/>
  <c r="D46" i="60"/>
  <c r="D48" i="46"/>
  <c r="D34" i="46"/>
  <c r="D48" i="47"/>
  <c r="D35" i="47"/>
  <c r="D38" i="5" l="1"/>
  <c r="E18" i="7"/>
  <c r="D38" i="79"/>
  <c r="E44" i="7" s="1"/>
  <c r="D49" i="46"/>
  <c r="D46" i="58"/>
  <c r="D38" i="78"/>
  <c r="D49" i="4"/>
  <c r="D51" i="58"/>
  <c r="D44" i="47"/>
  <c r="D51" i="60"/>
  <c r="E22" i="7" s="1"/>
  <c r="D37" i="64"/>
  <c r="D38" i="73"/>
  <c r="E29" i="7" s="1"/>
  <c r="D39" i="68"/>
  <c r="E38" i="7" s="1"/>
  <c r="D51" i="59"/>
  <c r="E40" i="7"/>
  <c r="D46" i="49"/>
  <c r="D46" i="48"/>
  <c r="D51" i="50"/>
  <c r="E9" i="7" s="1"/>
  <c r="D39" i="65"/>
  <c r="D44" i="46"/>
  <c r="D46" i="50"/>
  <c r="D44" i="4"/>
  <c r="D51" i="54"/>
  <c r="E14" i="7" s="1"/>
  <c r="D49" i="47"/>
  <c r="D38" i="76"/>
  <c r="D51" i="49"/>
  <c r="E7" i="7" s="1"/>
  <c r="D46" i="61"/>
  <c r="D37" i="67"/>
  <c r="D39" i="25" l="1"/>
  <c r="E32" i="7" s="1"/>
  <c r="E43" i="7"/>
  <c r="E26" i="7"/>
  <c r="E19" i="7"/>
  <c r="D38" i="81"/>
  <c r="E21" i="7"/>
  <c r="D46" i="59"/>
  <c r="D51" i="62"/>
  <c r="E41" i="7"/>
  <c r="D39" i="64"/>
  <c r="E35" i="7"/>
  <c r="D46" i="47"/>
  <c r="D46" i="62"/>
  <c r="E46" i="7" l="1"/>
  <c r="D39" i="67"/>
  <c r="E37" i="7" s="1"/>
  <c r="D51" i="46"/>
  <c r="E3" i="7" s="1"/>
  <c r="D46" i="4"/>
  <c r="D51" i="4"/>
  <c r="E34" i="7"/>
  <c r="E25" i="7"/>
  <c r="D51" i="47"/>
  <c r="D46" i="46"/>
  <c r="E2" i="7" l="1"/>
  <c r="E5" i="7"/>
  <c r="C5" i="167" l="1"/>
  <c r="B4" i="181" s="1"/>
  <c r="C6" i="167"/>
  <c r="B4" i="168" s="1"/>
  <c r="C11" i="167"/>
  <c r="C14" i="167"/>
  <c r="B4" i="172" s="1"/>
  <c r="C12" i="7" l="1"/>
  <c r="B13" i="181"/>
  <c r="B8" i="181"/>
  <c r="B17" i="181"/>
  <c r="B24" i="181"/>
  <c r="B41" i="181"/>
  <c r="C27" i="181"/>
  <c r="F27" i="181" s="1"/>
  <c r="B12" i="181"/>
  <c r="B23" i="181"/>
  <c r="B16" i="181"/>
  <c r="B15" i="181"/>
  <c r="C13" i="167"/>
  <c r="B4" i="170" s="1"/>
  <c r="C9" i="167"/>
  <c r="B4" i="169" s="1"/>
  <c r="C4" i="167"/>
  <c r="B4" i="182" s="1"/>
  <c r="C42" i="7"/>
  <c r="B33" i="172"/>
  <c r="B9" i="172"/>
  <c r="B7" i="172"/>
  <c r="E13" i="167"/>
  <c r="C16" i="7"/>
  <c r="B41" i="168"/>
  <c r="C27" i="168"/>
  <c r="F27" i="168" s="1"/>
  <c r="B24" i="168"/>
  <c r="B12" i="168"/>
  <c r="B8" i="168"/>
  <c r="B13" i="168"/>
  <c r="B23" i="168"/>
  <c r="B16" i="168"/>
  <c r="B15" i="168"/>
  <c r="B17" i="168"/>
  <c r="B20" i="151"/>
  <c r="D20" i="151" s="1"/>
  <c r="B4" i="175"/>
  <c r="C10" i="167"/>
  <c r="B4" i="174" s="1"/>
  <c r="E12" i="167"/>
  <c r="E15" i="167"/>
  <c r="C8" i="167"/>
  <c r="B4" i="183" s="1"/>
  <c r="E14" i="167"/>
  <c r="C3" i="167"/>
  <c r="B4" i="180" s="1"/>
  <c r="C12" i="167"/>
  <c r="B4" i="171" s="1"/>
  <c r="C15" i="167"/>
  <c r="B4" i="173" s="1"/>
  <c r="C7" i="167"/>
  <c r="B4" i="184" s="1"/>
  <c r="E23" i="181" l="1"/>
  <c r="D23" i="181"/>
  <c r="E12" i="181"/>
  <c r="G12" i="181" s="1"/>
  <c r="D12" i="181"/>
  <c r="C8" i="7"/>
  <c r="B13" i="182"/>
  <c r="C27" i="182"/>
  <c r="F27" i="182" s="1"/>
  <c r="B17" i="182"/>
  <c r="B24" i="182"/>
  <c r="B15" i="182"/>
  <c r="B8" i="182"/>
  <c r="B41" i="182"/>
  <c r="B23" i="182"/>
  <c r="B12" i="182"/>
  <c r="B16" i="182"/>
  <c r="B19" i="151"/>
  <c r="C33" i="179"/>
  <c r="C4" i="151"/>
  <c r="B12" i="151"/>
  <c r="B8" i="151"/>
  <c r="B21" i="151"/>
  <c r="B13" i="151"/>
  <c r="B18" i="151"/>
  <c r="D18" i="151" s="1"/>
  <c r="E24" i="168"/>
  <c r="G24" i="168" s="1"/>
  <c r="D24" i="168"/>
  <c r="E24" i="181"/>
  <c r="G24" i="181" s="1"/>
  <c r="D24" i="181"/>
  <c r="E23" i="168"/>
  <c r="D23" i="168"/>
  <c r="B22" i="172"/>
  <c r="B28" i="172"/>
  <c r="B30" i="172"/>
  <c r="B13" i="172"/>
  <c r="B29" i="172"/>
  <c r="D12" i="168"/>
  <c r="E12" i="168"/>
  <c r="G12" i="168" s="1"/>
  <c r="C24" i="7"/>
  <c r="B23" i="183"/>
  <c r="B8" i="183"/>
  <c r="B24" i="183"/>
  <c r="B15" i="183"/>
  <c r="B41" i="183"/>
  <c r="B12" i="183"/>
  <c r="B16" i="183"/>
  <c r="B13" i="183"/>
  <c r="C27" i="183"/>
  <c r="F27" i="183" s="1"/>
  <c r="B17" i="183"/>
  <c r="E17" i="168"/>
  <c r="G17" i="168" s="1"/>
  <c r="D17" i="168"/>
  <c r="C30" i="7"/>
  <c r="B33" i="170"/>
  <c r="B9" i="170"/>
  <c r="B7" i="170"/>
  <c r="E17" i="181"/>
  <c r="G17" i="181" s="1"/>
  <c r="D17" i="181"/>
  <c r="D13" i="168"/>
  <c r="E13" i="168"/>
  <c r="G13" i="168" s="1"/>
  <c r="C27" i="7"/>
  <c r="B7" i="171"/>
  <c r="B33" i="171"/>
  <c r="B9" i="171"/>
  <c r="B28" i="168"/>
  <c r="B36" i="168"/>
  <c r="B38" i="168"/>
  <c r="B37" i="168"/>
  <c r="B27" i="168"/>
  <c r="B31" i="168"/>
  <c r="B32" i="168"/>
  <c r="C33" i="7"/>
  <c r="B12" i="169"/>
  <c r="B13" i="169"/>
  <c r="B21" i="169"/>
  <c r="B34" i="169"/>
  <c r="B19" i="169"/>
  <c r="C23" i="169"/>
  <c r="F23" i="169" s="1"/>
  <c r="B8" i="169"/>
  <c r="B20" i="169"/>
  <c r="D41" i="181"/>
  <c r="E41" i="181"/>
  <c r="G41" i="181" s="1"/>
  <c r="E15" i="168"/>
  <c r="G15" i="168" s="1"/>
  <c r="D15" i="168"/>
  <c r="D41" i="168"/>
  <c r="E41" i="168"/>
  <c r="G41" i="168" s="1"/>
  <c r="D15" i="181"/>
  <c r="E15" i="181"/>
  <c r="G15" i="181" s="1"/>
  <c r="B27" i="181"/>
  <c r="B31" i="181"/>
  <c r="B28" i="181"/>
  <c r="B32" i="181"/>
  <c r="B38" i="181"/>
  <c r="B36" i="181"/>
  <c r="B37" i="181"/>
  <c r="C20" i="7"/>
  <c r="B13" i="184"/>
  <c r="B8" i="184"/>
  <c r="B23" i="184"/>
  <c r="B12" i="184"/>
  <c r="C27" i="184"/>
  <c r="F27" i="184" s="1"/>
  <c r="B15" i="184"/>
  <c r="B17" i="184"/>
  <c r="B24" i="184"/>
  <c r="B41" i="184"/>
  <c r="B16" i="184"/>
  <c r="C45" i="7"/>
  <c r="B9" i="173"/>
  <c r="B33" i="173"/>
  <c r="B7" i="173"/>
  <c r="E33" i="172"/>
  <c r="G33" i="172" s="1"/>
  <c r="D33" i="172"/>
  <c r="C36" i="7"/>
  <c r="B21" i="174"/>
  <c r="B34" i="174"/>
  <c r="B19" i="174"/>
  <c r="B13" i="174"/>
  <c r="B20" i="174"/>
  <c r="B8" i="174"/>
  <c r="C23" i="174"/>
  <c r="F23" i="174" s="1"/>
  <c r="B12" i="174"/>
  <c r="B23" i="180"/>
  <c r="B24" i="180"/>
  <c r="B17" i="180"/>
  <c r="B13" i="180"/>
  <c r="C27" i="180"/>
  <c r="F27" i="180" s="1"/>
  <c r="C4" i="7"/>
  <c r="B41" i="180"/>
  <c r="B16" i="180"/>
  <c r="B15" i="180"/>
  <c r="B12" i="180"/>
  <c r="B8" i="180"/>
  <c r="C39" i="7"/>
  <c r="B21" i="175"/>
  <c r="B13" i="175"/>
  <c r="B20" i="175"/>
  <c r="B8" i="175"/>
  <c r="B19" i="175"/>
  <c r="C23" i="175"/>
  <c r="F23" i="175" s="1"/>
  <c r="B34" i="175"/>
  <c r="B12" i="175"/>
  <c r="E16" i="168"/>
  <c r="G16" i="168" s="1"/>
  <c r="D16" i="168"/>
  <c r="D16" i="181"/>
  <c r="E16" i="181"/>
  <c r="G16" i="181" s="1"/>
  <c r="D13" i="181"/>
  <c r="E13" i="181"/>
  <c r="G13" i="181" s="1"/>
  <c r="D19" i="151" l="1"/>
  <c r="E20" i="151"/>
  <c r="G20" i="151" s="1"/>
  <c r="D18" i="168"/>
  <c r="D18" i="181"/>
  <c r="D14" i="168"/>
  <c r="E20" i="175"/>
  <c r="G20" i="175" s="1"/>
  <c r="D20" i="175"/>
  <c r="E19" i="174"/>
  <c r="D19" i="174"/>
  <c r="D37" i="181"/>
  <c r="E37" i="181"/>
  <c r="G37" i="181" s="1"/>
  <c r="H17" i="181"/>
  <c r="I17" i="181" s="1"/>
  <c r="E17" i="183"/>
  <c r="G17" i="183" s="1"/>
  <c r="D17" i="183"/>
  <c r="C8" i="151"/>
  <c r="B34" i="151"/>
  <c r="C23" i="151"/>
  <c r="F23" i="151" s="1"/>
  <c r="H13" i="181"/>
  <c r="I13" i="181" s="1"/>
  <c r="E33" i="173"/>
  <c r="G33" i="173" s="1"/>
  <c r="D33" i="173"/>
  <c r="B25" i="169"/>
  <c r="B23" i="169"/>
  <c r="B30" i="169"/>
  <c r="B31" i="169"/>
  <c r="B26" i="169"/>
  <c r="B29" i="169"/>
  <c r="E13" i="183"/>
  <c r="G13" i="183" s="1"/>
  <c r="D13" i="183"/>
  <c r="H24" i="168"/>
  <c r="I24" i="168" s="1"/>
  <c r="D13" i="180"/>
  <c r="E13" i="180"/>
  <c r="G13" i="180" s="1"/>
  <c r="B22" i="173"/>
  <c r="B29" i="173"/>
  <c r="B13" i="173"/>
  <c r="B30" i="173"/>
  <c r="B28" i="173"/>
  <c r="E32" i="181"/>
  <c r="G32" i="181" s="1"/>
  <c r="D32" i="181"/>
  <c r="E31" i="168"/>
  <c r="G31" i="168" s="1"/>
  <c r="D31" i="168"/>
  <c r="E34" i="175"/>
  <c r="G34" i="175" s="1"/>
  <c r="D34" i="175"/>
  <c r="B32" i="180"/>
  <c r="B36" i="180"/>
  <c r="B37" i="180"/>
  <c r="B31" i="180"/>
  <c r="B28" i="180"/>
  <c r="B27" i="180"/>
  <c r="B38" i="180"/>
  <c r="E17" i="180"/>
  <c r="G17" i="180" s="1"/>
  <c r="D17" i="180"/>
  <c r="E23" i="184"/>
  <c r="D23" i="184"/>
  <c r="D28" i="181"/>
  <c r="E28" i="181"/>
  <c r="G28" i="181" s="1"/>
  <c r="E19" i="169"/>
  <c r="D19" i="169"/>
  <c r="D27" i="168"/>
  <c r="E27" i="168"/>
  <c r="G27" i="168" s="1"/>
  <c r="D12" i="183"/>
  <c r="E12" i="183"/>
  <c r="G12" i="183" s="1"/>
  <c r="D30" i="172"/>
  <c r="E30" i="172"/>
  <c r="G30" i="172" s="1"/>
  <c r="D13" i="151"/>
  <c r="E13" i="151"/>
  <c r="G13" i="151" s="1"/>
  <c r="E16" i="182"/>
  <c r="G16" i="182" s="1"/>
  <c r="D16" i="182"/>
  <c r="D41" i="180"/>
  <c r="E41" i="180"/>
  <c r="G41" i="180" s="1"/>
  <c r="E17" i="184"/>
  <c r="G17" i="184" s="1"/>
  <c r="D17" i="184"/>
  <c r="E12" i="169"/>
  <c r="G12" i="169" s="1"/>
  <c r="D12" i="169"/>
  <c r="B32" i="183"/>
  <c r="B36" i="183"/>
  <c r="B38" i="183"/>
  <c r="B28" i="183"/>
  <c r="B31" i="183"/>
  <c r="B37" i="183"/>
  <c r="B27" i="183"/>
  <c r="H12" i="181"/>
  <c r="I12" i="181" s="1"/>
  <c r="G14" i="181"/>
  <c r="E13" i="175"/>
  <c r="G13" i="175" s="1"/>
  <c r="D13" i="175"/>
  <c r="E34" i="174"/>
  <c r="G34" i="174" s="1"/>
  <c r="D34" i="174"/>
  <c r="D36" i="181"/>
  <c r="E36" i="181"/>
  <c r="G36" i="181" s="1"/>
  <c r="B22" i="171"/>
  <c r="B29" i="171"/>
  <c r="B28" i="171"/>
  <c r="B30" i="171"/>
  <c r="B13" i="171"/>
  <c r="E23" i="183"/>
  <c r="D23" i="183"/>
  <c r="D38" i="181"/>
  <c r="E38" i="181"/>
  <c r="G38" i="181" s="1"/>
  <c r="E32" i="168"/>
  <c r="G32" i="168" s="1"/>
  <c r="D32" i="168"/>
  <c r="E12" i="175"/>
  <c r="G12" i="175" s="1"/>
  <c r="D12" i="175"/>
  <c r="E33" i="170"/>
  <c r="G33" i="170" s="1"/>
  <c r="D33" i="170"/>
  <c r="D12" i="180"/>
  <c r="E12" i="180"/>
  <c r="G12" i="180" s="1"/>
  <c r="D24" i="180"/>
  <c r="E24" i="180"/>
  <c r="G24" i="180" s="1"/>
  <c r="B25" i="174"/>
  <c r="B29" i="174"/>
  <c r="B26" i="174"/>
  <c r="B31" i="174"/>
  <c r="B23" i="174"/>
  <c r="B30" i="174"/>
  <c r="H33" i="172"/>
  <c r="I33" i="172" s="1"/>
  <c r="D16" i="184"/>
  <c r="E16" i="184"/>
  <c r="G16" i="184" s="1"/>
  <c r="B31" i="184"/>
  <c r="B28" i="184"/>
  <c r="B36" i="184"/>
  <c r="B37" i="184"/>
  <c r="B27" i="184"/>
  <c r="B38" i="184"/>
  <c r="B32" i="184"/>
  <c r="E31" i="181"/>
  <c r="G31" i="181" s="1"/>
  <c r="D31" i="181"/>
  <c r="D34" i="169"/>
  <c r="E34" i="169"/>
  <c r="G34" i="169" s="1"/>
  <c r="D37" i="168"/>
  <c r="E37" i="168"/>
  <c r="G37" i="168" s="1"/>
  <c r="H13" i="168"/>
  <c r="I13" i="168" s="1"/>
  <c r="D41" i="183"/>
  <c r="E41" i="183"/>
  <c r="G41" i="183" s="1"/>
  <c r="D28" i="172"/>
  <c r="E28" i="172"/>
  <c r="G28" i="172" s="1"/>
  <c r="D21" i="151"/>
  <c r="E21" i="151"/>
  <c r="G21" i="151" s="1"/>
  <c r="E12" i="182"/>
  <c r="G12" i="182" s="1"/>
  <c r="D12" i="182"/>
  <c r="D13" i="182"/>
  <c r="E13" i="182"/>
  <c r="G13" i="182" s="1"/>
  <c r="D28" i="168"/>
  <c r="E28" i="168"/>
  <c r="G28" i="168" s="1"/>
  <c r="G14" i="168"/>
  <c r="H12" i="168"/>
  <c r="I12" i="168" s="1"/>
  <c r="D15" i="184"/>
  <c r="E15" i="184"/>
  <c r="G15" i="184" s="1"/>
  <c r="E20" i="169"/>
  <c r="G20" i="169" s="1"/>
  <c r="D20" i="169"/>
  <c r="D15" i="182"/>
  <c r="E15" i="182"/>
  <c r="G15" i="182" s="1"/>
  <c r="D21" i="175"/>
  <c r="E21" i="175"/>
  <c r="G21" i="175" s="1"/>
  <c r="D21" i="174"/>
  <c r="E21" i="174"/>
  <c r="G21" i="174" s="1"/>
  <c r="D29" i="172"/>
  <c r="E29" i="172"/>
  <c r="G29" i="172" s="1"/>
  <c r="E19" i="151"/>
  <c r="G19" i="151" s="1"/>
  <c r="E12" i="184"/>
  <c r="G12" i="184" s="1"/>
  <c r="D12" i="184"/>
  <c r="H41" i="181"/>
  <c r="I41" i="181" s="1"/>
  <c r="E18" i="151"/>
  <c r="D17" i="182"/>
  <c r="E17" i="182"/>
  <c r="G17" i="182" s="1"/>
  <c r="E19" i="175"/>
  <c r="D19" i="175"/>
  <c r="E15" i="180"/>
  <c r="G15" i="180" s="1"/>
  <c r="D15" i="180"/>
  <c r="E23" i="180"/>
  <c r="D23" i="180"/>
  <c r="E20" i="174"/>
  <c r="G20" i="174" s="1"/>
  <c r="D20" i="174"/>
  <c r="E41" i="184"/>
  <c r="G41" i="184" s="1"/>
  <c r="D41" i="184"/>
  <c r="E13" i="184"/>
  <c r="G13" i="184" s="1"/>
  <c r="D13" i="184"/>
  <c r="D27" i="181"/>
  <c r="E27" i="181"/>
  <c r="G27" i="181" s="1"/>
  <c r="D21" i="169"/>
  <c r="E21" i="169"/>
  <c r="G21" i="169" s="1"/>
  <c r="D38" i="168"/>
  <c r="E38" i="168"/>
  <c r="G38" i="168" s="1"/>
  <c r="E15" i="183"/>
  <c r="G15" i="183" s="1"/>
  <c r="D15" i="183"/>
  <c r="E22" i="172"/>
  <c r="G22" i="172" s="1"/>
  <c r="D22" i="172"/>
  <c r="D23" i="172" s="1"/>
  <c r="D27" i="172" s="1"/>
  <c r="E23" i="151"/>
  <c r="E25" i="151"/>
  <c r="G25" i="151" s="1"/>
  <c r="E26" i="151"/>
  <c r="G26" i="151" s="1"/>
  <c r="E29" i="151"/>
  <c r="G29" i="151" s="1"/>
  <c r="E31" i="151"/>
  <c r="G31" i="151" s="1"/>
  <c r="E30" i="151"/>
  <c r="G30" i="151" s="1"/>
  <c r="E23" i="182"/>
  <c r="D23" i="182"/>
  <c r="D25" i="181"/>
  <c r="H16" i="168"/>
  <c r="I16" i="168" s="1"/>
  <c r="B31" i="182"/>
  <c r="B36" i="182"/>
  <c r="B32" i="182"/>
  <c r="B37" i="182"/>
  <c r="B38" i="182"/>
  <c r="B27" i="182"/>
  <c r="B28" i="182"/>
  <c r="G18" i="168"/>
  <c r="H15" i="168"/>
  <c r="I15" i="168" s="1"/>
  <c r="E33" i="171"/>
  <c r="G33" i="171" s="1"/>
  <c r="D33" i="171"/>
  <c r="B22" i="170"/>
  <c r="B28" i="170"/>
  <c r="B13" i="170"/>
  <c r="B29" i="170"/>
  <c r="B30" i="170"/>
  <c r="H24" i="181"/>
  <c r="I24" i="181" s="1"/>
  <c r="D24" i="182"/>
  <c r="E24" i="182"/>
  <c r="G24" i="182" s="1"/>
  <c r="H16" i="181"/>
  <c r="I16" i="181" s="1"/>
  <c r="D12" i="174"/>
  <c r="E12" i="174"/>
  <c r="G12" i="174" s="1"/>
  <c r="D16" i="183"/>
  <c r="E16" i="183"/>
  <c r="G16" i="183" s="1"/>
  <c r="E13" i="172"/>
  <c r="G13" i="172" s="1"/>
  <c r="D13" i="172"/>
  <c r="D15" i="172" s="1"/>
  <c r="B30" i="175"/>
  <c r="B26" i="175"/>
  <c r="B23" i="175"/>
  <c r="B25" i="175"/>
  <c r="B29" i="175"/>
  <c r="B31" i="175"/>
  <c r="E16" i="180"/>
  <c r="G16" i="180" s="1"/>
  <c r="D16" i="180"/>
  <c r="E13" i="174"/>
  <c r="G13" i="174" s="1"/>
  <c r="D13" i="174"/>
  <c r="D24" i="184"/>
  <c r="E24" i="184"/>
  <c r="G24" i="184" s="1"/>
  <c r="G18" i="181"/>
  <c r="H15" i="181"/>
  <c r="I15" i="181" s="1"/>
  <c r="H41" i="168"/>
  <c r="I41" i="168" s="1"/>
  <c r="E13" i="169"/>
  <c r="G13" i="169" s="1"/>
  <c r="D13" i="169"/>
  <c r="E36" i="168"/>
  <c r="G36" i="168" s="1"/>
  <c r="D36" i="168"/>
  <c r="H17" i="168"/>
  <c r="I17" i="168" s="1"/>
  <c r="E24" i="183"/>
  <c r="G24" i="183" s="1"/>
  <c r="D24" i="183"/>
  <c r="D25" i="168"/>
  <c r="D12" i="151"/>
  <c r="E12" i="151"/>
  <c r="G12" i="151" s="1"/>
  <c r="D41" i="182"/>
  <c r="E41" i="182"/>
  <c r="G41" i="182" s="1"/>
  <c r="D14" i="181"/>
  <c r="D22" i="151" l="1"/>
  <c r="H19" i="151"/>
  <c r="I19" i="151" s="1"/>
  <c r="H20" i="151"/>
  <c r="I20" i="151" s="1"/>
  <c r="H32" i="181"/>
  <c r="I32" i="181" s="1"/>
  <c r="D25" i="180"/>
  <c r="D14" i="180"/>
  <c r="H32" i="168"/>
  <c r="I32" i="168" s="1"/>
  <c r="D18" i="183"/>
  <c r="D33" i="181"/>
  <c r="D40" i="168"/>
  <c r="D14" i="174"/>
  <c r="D14" i="184"/>
  <c r="D40" i="181"/>
  <c r="D32" i="172"/>
  <c r="D34" i="172" s="1"/>
  <c r="D37" i="172" s="1"/>
  <c r="D14" i="175"/>
  <c r="H33" i="170"/>
  <c r="I33" i="170" s="1"/>
  <c r="H14" i="181"/>
  <c r="I14" i="181" s="1"/>
  <c r="E25" i="169"/>
  <c r="G25" i="169" s="1"/>
  <c r="D25" i="169"/>
  <c r="H41" i="182"/>
  <c r="I41" i="182" s="1"/>
  <c r="G15" i="172"/>
  <c r="H13" i="172"/>
  <c r="I13" i="172" s="1"/>
  <c r="E22" i="170"/>
  <c r="G22" i="170" s="1"/>
  <c r="D22" i="170"/>
  <c r="D23" i="170" s="1"/>
  <c r="D18" i="184"/>
  <c r="H28" i="172"/>
  <c r="I28" i="172" s="1"/>
  <c r="G32" i="172"/>
  <c r="E38" i="183"/>
  <c r="G38" i="183" s="1"/>
  <c r="D38" i="183"/>
  <c r="H28" i="181"/>
  <c r="I28" i="181" s="1"/>
  <c r="E13" i="173"/>
  <c r="G13" i="173" s="1"/>
  <c r="D13" i="173"/>
  <c r="D15" i="173" s="1"/>
  <c r="H21" i="175"/>
  <c r="I21" i="175" s="1"/>
  <c r="D29" i="173"/>
  <c r="E29" i="173"/>
  <c r="G29" i="173" s="1"/>
  <c r="H18" i="181"/>
  <c r="I18" i="181" s="1"/>
  <c r="D27" i="182"/>
  <c r="E27" i="182"/>
  <c r="G27" i="182" s="1"/>
  <c r="H12" i="180"/>
  <c r="I12" i="180" s="1"/>
  <c r="G14" i="180"/>
  <c r="G14" i="183"/>
  <c r="H12" i="183"/>
  <c r="I12" i="183" s="1"/>
  <c r="D25" i="184"/>
  <c r="E37" i="180"/>
  <c r="G37" i="180" s="1"/>
  <c r="D37" i="180"/>
  <c r="D33" i="168"/>
  <c r="E22" i="173"/>
  <c r="G22" i="173" s="1"/>
  <c r="D22" i="173"/>
  <c r="D23" i="173" s="1"/>
  <c r="D27" i="173" s="1"/>
  <c r="E29" i="169"/>
  <c r="G29" i="169" s="1"/>
  <c r="D29" i="169"/>
  <c r="D14" i="151"/>
  <c r="H24" i="184"/>
  <c r="I24" i="184" s="1"/>
  <c r="E25" i="175"/>
  <c r="G25" i="175" s="1"/>
  <c r="D25" i="175"/>
  <c r="H12" i="174"/>
  <c r="I12" i="174" s="1"/>
  <c r="G14" i="174"/>
  <c r="D38" i="182"/>
  <c r="E38" i="182"/>
  <c r="G38" i="182" s="1"/>
  <c r="H13" i="184"/>
  <c r="I13" i="184" s="1"/>
  <c r="G18" i="180"/>
  <c r="H15" i="180"/>
  <c r="I15" i="180" s="1"/>
  <c r="H15" i="182"/>
  <c r="I15" i="182" s="1"/>
  <c r="G18" i="182"/>
  <c r="H14" i="168"/>
  <c r="I14" i="168" s="1"/>
  <c r="H34" i="169"/>
  <c r="I34" i="169" s="1"/>
  <c r="D36" i="184"/>
  <c r="E36" i="184"/>
  <c r="G36" i="184" s="1"/>
  <c r="E23" i="174"/>
  <c r="G23" i="174" s="1"/>
  <c r="D23" i="174"/>
  <c r="D13" i="171"/>
  <c r="D15" i="171" s="1"/>
  <c r="E13" i="171"/>
  <c r="G13" i="171" s="1"/>
  <c r="H34" i="174"/>
  <c r="I34" i="174" s="1"/>
  <c r="D14" i="169"/>
  <c r="D14" i="183"/>
  <c r="D36" i="180"/>
  <c r="E36" i="180"/>
  <c r="G36" i="180" s="1"/>
  <c r="G33" i="168"/>
  <c r="H31" i="168"/>
  <c r="I31" i="168" s="1"/>
  <c r="H13" i="180"/>
  <c r="I13" i="180" s="1"/>
  <c r="E26" i="169"/>
  <c r="G26" i="169" s="1"/>
  <c r="D26" i="169"/>
  <c r="D22" i="174"/>
  <c r="H21" i="174"/>
  <c r="I21" i="174" s="1"/>
  <c r="E32" i="184"/>
  <c r="G32" i="184" s="1"/>
  <c r="D32" i="184"/>
  <c r="H41" i="180"/>
  <c r="I41" i="180" s="1"/>
  <c r="H24" i="180"/>
  <c r="I24" i="180" s="1"/>
  <c r="H36" i="181"/>
  <c r="I36" i="181" s="1"/>
  <c r="G40" i="181"/>
  <c r="H30" i="172"/>
  <c r="I30" i="172" s="1"/>
  <c r="G14" i="175"/>
  <c r="H12" i="175"/>
  <c r="I12" i="175" s="1"/>
  <c r="E36" i="183"/>
  <c r="G36" i="183" s="1"/>
  <c r="D36" i="183"/>
  <c r="E31" i="180"/>
  <c r="G31" i="180" s="1"/>
  <c r="D31" i="180"/>
  <c r="H37" i="181"/>
  <c r="I37" i="181" s="1"/>
  <c r="E29" i="175"/>
  <c r="G29" i="175" s="1"/>
  <c r="D29" i="175"/>
  <c r="D18" i="180"/>
  <c r="H13" i="182"/>
  <c r="I13" i="182" s="1"/>
  <c r="D30" i="174"/>
  <c r="E30" i="174"/>
  <c r="G30" i="174" s="1"/>
  <c r="D30" i="168"/>
  <c r="D29" i="168"/>
  <c r="H13" i="169"/>
  <c r="I13" i="169" s="1"/>
  <c r="E23" i="175"/>
  <c r="G23" i="175" s="1"/>
  <c r="D23" i="175"/>
  <c r="E30" i="170"/>
  <c r="G30" i="170" s="1"/>
  <c r="D30" i="170"/>
  <c r="D37" i="182"/>
  <c r="E37" i="182"/>
  <c r="G37" i="182" s="1"/>
  <c r="G27" i="151"/>
  <c r="H21" i="169"/>
  <c r="I21" i="169" s="1"/>
  <c r="D22" i="175"/>
  <c r="D18" i="182"/>
  <c r="H28" i="168"/>
  <c r="I28" i="168" s="1"/>
  <c r="D14" i="182"/>
  <c r="E28" i="184"/>
  <c r="G28" i="184" s="1"/>
  <c r="D28" i="184"/>
  <c r="D31" i="174"/>
  <c r="E31" i="174"/>
  <c r="G31" i="174" s="1"/>
  <c r="H38" i="181"/>
  <c r="I38" i="181" s="1"/>
  <c r="E30" i="171"/>
  <c r="G30" i="171" s="1"/>
  <c r="D30" i="171"/>
  <c r="E27" i="183"/>
  <c r="G27" i="183" s="1"/>
  <c r="D27" i="183"/>
  <c r="H12" i="169"/>
  <c r="I12" i="169" s="1"/>
  <c r="G14" i="169"/>
  <c r="H27" i="168"/>
  <c r="I27" i="168" s="1"/>
  <c r="E32" i="180"/>
  <c r="G32" i="180" s="1"/>
  <c r="D32" i="180"/>
  <c r="E31" i="169"/>
  <c r="G31" i="169" s="1"/>
  <c r="D31" i="169"/>
  <c r="E28" i="170"/>
  <c r="G28" i="170" s="1"/>
  <c r="D28" i="170"/>
  <c r="H22" i="172"/>
  <c r="I22" i="172" s="1"/>
  <c r="E25" i="174"/>
  <c r="G25" i="174" s="1"/>
  <c r="D25" i="174"/>
  <c r="D28" i="183"/>
  <c r="E28" i="183"/>
  <c r="G28" i="183" s="1"/>
  <c r="D27" i="180"/>
  <c r="E27" i="180"/>
  <c r="G27" i="180" s="1"/>
  <c r="D38" i="184"/>
  <c r="E38" i="184"/>
  <c r="G38" i="184" s="1"/>
  <c r="D28" i="180"/>
  <c r="E28" i="180"/>
  <c r="G28" i="180" s="1"/>
  <c r="B29" i="151"/>
  <c r="D29" i="151" s="1"/>
  <c r="B30" i="151"/>
  <c r="D30" i="151" s="1"/>
  <c r="H30" i="151" s="1"/>
  <c r="I30" i="151" s="1"/>
  <c r="B31" i="151"/>
  <c r="D31" i="151" s="1"/>
  <c r="H31" i="151" s="1"/>
  <c r="I31" i="151" s="1"/>
  <c r="B26" i="151"/>
  <c r="D26" i="151" s="1"/>
  <c r="H26" i="151" s="1"/>
  <c r="I26" i="151" s="1"/>
  <c r="B25" i="151"/>
  <c r="D25" i="151" s="1"/>
  <c r="B23" i="151"/>
  <c r="D23" i="151" s="1"/>
  <c r="E31" i="175"/>
  <c r="G31" i="175" s="1"/>
  <c r="D31" i="175"/>
  <c r="E28" i="182"/>
  <c r="G28" i="182" s="1"/>
  <c r="D28" i="182"/>
  <c r="G18" i="183"/>
  <c r="H15" i="183"/>
  <c r="I15" i="183" s="1"/>
  <c r="H37" i="168"/>
  <c r="I37" i="168" s="1"/>
  <c r="D25" i="183"/>
  <c r="H13" i="183"/>
  <c r="I13" i="183" s="1"/>
  <c r="H12" i="151"/>
  <c r="I12" i="151" s="1"/>
  <c r="G14" i="151"/>
  <c r="G33" i="151"/>
  <c r="G14" i="184"/>
  <c r="H12" i="184"/>
  <c r="I12" i="184" s="1"/>
  <c r="E32" i="183"/>
  <c r="G32" i="183" s="1"/>
  <c r="D32" i="183"/>
  <c r="E26" i="175"/>
  <c r="G26" i="175" s="1"/>
  <c r="D26" i="175"/>
  <c r="E29" i="170"/>
  <c r="G29" i="170" s="1"/>
  <c r="D29" i="170"/>
  <c r="H18" i="168"/>
  <c r="I18" i="168" s="1"/>
  <c r="E32" i="182"/>
  <c r="G32" i="182" s="1"/>
  <c r="D32" i="182"/>
  <c r="D30" i="181"/>
  <c r="D29" i="181"/>
  <c r="H41" i="184"/>
  <c r="I41" i="184" s="1"/>
  <c r="H29" i="172"/>
  <c r="I29" i="172" s="1"/>
  <c r="G14" i="182"/>
  <c r="H12" i="182"/>
  <c r="I12" i="182" s="1"/>
  <c r="H41" i="183"/>
  <c r="I41" i="183" s="1"/>
  <c r="E31" i="184"/>
  <c r="G31" i="184" s="1"/>
  <c r="D31" i="184"/>
  <c r="E26" i="174"/>
  <c r="G26" i="174" s="1"/>
  <c r="D26" i="174"/>
  <c r="D28" i="171"/>
  <c r="E28" i="171"/>
  <c r="G28" i="171" s="1"/>
  <c r="H13" i="175"/>
  <c r="I13" i="175" s="1"/>
  <c r="D37" i="183"/>
  <c r="E37" i="183"/>
  <c r="G37" i="183" s="1"/>
  <c r="H16" i="182"/>
  <c r="I16" i="182" s="1"/>
  <c r="H17" i="180"/>
  <c r="I17" i="180" s="1"/>
  <c r="D30" i="169"/>
  <c r="E30" i="169"/>
  <c r="G30" i="169" s="1"/>
  <c r="H24" i="182"/>
  <c r="I24" i="182" s="1"/>
  <c r="E31" i="182"/>
  <c r="G31" i="182" s="1"/>
  <c r="D31" i="182"/>
  <c r="H20" i="174"/>
  <c r="I20" i="174" s="1"/>
  <c r="G18" i="184"/>
  <c r="H15" i="184"/>
  <c r="I15" i="184" s="1"/>
  <c r="E22" i="171"/>
  <c r="G22" i="171" s="1"/>
  <c r="D22" i="171"/>
  <c r="D23" i="171" s="1"/>
  <c r="D27" i="171" s="1"/>
  <c r="D30" i="173"/>
  <c r="E30" i="173"/>
  <c r="G30" i="173" s="1"/>
  <c r="E34" i="151"/>
  <c r="G34" i="151" s="1"/>
  <c r="D34" i="151"/>
  <c r="H16" i="180"/>
  <c r="I16" i="180" s="1"/>
  <c r="H27" i="181"/>
  <c r="I27" i="181" s="1"/>
  <c r="H16" i="183"/>
  <c r="I16" i="183" s="1"/>
  <c r="E27" i="184"/>
  <c r="G27" i="184" s="1"/>
  <c r="D27" i="184"/>
  <c r="H33" i="173"/>
  <c r="I33" i="173" s="1"/>
  <c r="H36" i="168"/>
  <c r="I36" i="168" s="1"/>
  <c r="G40" i="168"/>
  <c r="H33" i="171"/>
  <c r="I33" i="171" s="1"/>
  <c r="H38" i="168"/>
  <c r="I38" i="168" s="1"/>
  <c r="H17" i="182"/>
  <c r="I17" i="182" s="1"/>
  <c r="D37" i="184"/>
  <c r="E37" i="184"/>
  <c r="G37" i="184" s="1"/>
  <c r="H24" i="183"/>
  <c r="I24" i="183" s="1"/>
  <c r="H13" i="174"/>
  <c r="I13" i="174" s="1"/>
  <c r="D30" i="175"/>
  <c r="E30" i="175"/>
  <c r="G30" i="175" s="1"/>
  <c r="D13" i="170"/>
  <c r="D15" i="170" s="1"/>
  <c r="E13" i="170"/>
  <c r="G13" i="170" s="1"/>
  <c r="E36" i="182"/>
  <c r="G36" i="182" s="1"/>
  <c r="D36" i="182"/>
  <c r="D25" i="182"/>
  <c r="H20" i="169"/>
  <c r="I20" i="169" s="1"/>
  <c r="H21" i="151"/>
  <c r="I21" i="151" s="1"/>
  <c r="G33" i="181"/>
  <c r="H31" i="181"/>
  <c r="I31" i="181" s="1"/>
  <c r="H16" i="184"/>
  <c r="I16" i="184" s="1"/>
  <c r="E29" i="174"/>
  <c r="G29" i="174" s="1"/>
  <c r="D29" i="174"/>
  <c r="D29" i="171"/>
  <c r="E29" i="171"/>
  <c r="G29" i="171" s="1"/>
  <c r="E31" i="183"/>
  <c r="G31" i="183" s="1"/>
  <c r="D31" i="183"/>
  <c r="H17" i="184"/>
  <c r="I17" i="184" s="1"/>
  <c r="H13" i="151"/>
  <c r="I13" i="151" s="1"/>
  <c r="D22" i="169"/>
  <c r="E38" i="180"/>
  <c r="G38" i="180" s="1"/>
  <c r="D38" i="180"/>
  <c r="H34" i="175"/>
  <c r="I34" i="175" s="1"/>
  <c r="D28" i="173"/>
  <c r="E28" i="173"/>
  <c r="G28" i="173" s="1"/>
  <c r="D23" i="169"/>
  <c r="E23" i="169"/>
  <c r="G23" i="169" s="1"/>
  <c r="G23" i="151"/>
  <c r="H17" i="183"/>
  <c r="I17" i="183" s="1"/>
  <c r="H20" i="175"/>
  <c r="I20" i="175" s="1"/>
  <c r="D30" i="180" l="1"/>
  <c r="D29" i="180"/>
  <c r="D34" i="181"/>
  <c r="D35" i="181"/>
  <c r="D42" i="181"/>
  <c r="H26" i="169"/>
  <c r="I26" i="169" s="1"/>
  <c r="H26" i="175"/>
  <c r="I26" i="175" s="1"/>
  <c r="H32" i="182"/>
  <c r="I32" i="182" s="1"/>
  <c r="D42" i="168"/>
  <c r="D27" i="151"/>
  <c r="H27" i="151" s="1"/>
  <c r="I27" i="151" s="1"/>
  <c r="D32" i="173"/>
  <c r="D34" i="173" s="1"/>
  <c r="D37" i="173" s="1"/>
  <c r="H25" i="151"/>
  <c r="I25" i="151" s="1"/>
  <c r="D47" i="181"/>
  <c r="H26" i="174"/>
  <c r="I26" i="174" s="1"/>
  <c r="H32" i="180"/>
  <c r="I32" i="180" s="1"/>
  <c r="D24" i="174"/>
  <c r="H23" i="151"/>
  <c r="I23" i="151" s="1"/>
  <c r="D35" i="172"/>
  <c r="D36" i="172" s="1"/>
  <c r="D33" i="180"/>
  <c r="D27" i="169"/>
  <c r="D32" i="171"/>
  <c r="D34" i="171" s="1"/>
  <c r="D37" i="171" s="1"/>
  <c r="D33" i="151"/>
  <c r="H33" i="151" s="1"/>
  <c r="I33" i="151" s="1"/>
  <c r="H32" i="183"/>
  <c r="I32" i="183" s="1"/>
  <c r="H32" i="184"/>
  <c r="I32" i="184" s="1"/>
  <c r="H40" i="181"/>
  <c r="I40" i="181" s="1"/>
  <c r="G27" i="175"/>
  <c r="H25" i="175"/>
  <c r="I25" i="175" s="1"/>
  <c r="D27" i="170"/>
  <c r="H22" i="171"/>
  <c r="I22" i="171" s="1"/>
  <c r="H22" i="170"/>
  <c r="I22" i="170" s="1"/>
  <c r="H38" i="182"/>
  <c r="I38" i="182" s="1"/>
  <c r="H37" i="180"/>
  <c r="I37" i="180" s="1"/>
  <c r="G33" i="183"/>
  <c r="H31" i="183"/>
  <c r="I31" i="183" s="1"/>
  <c r="H40" i="168"/>
  <c r="I40" i="168" s="1"/>
  <c r="H30" i="173"/>
  <c r="I30" i="173" s="1"/>
  <c r="H18" i="184"/>
  <c r="I18" i="184" s="1"/>
  <c r="H30" i="169"/>
  <c r="I30" i="169" s="1"/>
  <c r="H37" i="183"/>
  <c r="I37" i="183" s="1"/>
  <c r="D33" i="184"/>
  <c r="H14" i="184"/>
  <c r="I14" i="184" s="1"/>
  <c r="G27" i="174"/>
  <c r="H25" i="174"/>
  <c r="I25" i="174" s="1"/>
  <c r="D32" i="170"/>
  <c r="D34" i="170" s="1"/>
  <c r="D37" i="170" s="1"/>
  <c r="H28" i="184"/>
  <c r="I28" i="184" s="1"/>
  <c r="D24" i="151"/>
  <c r="H37" i="182"/>
  <c r="I37" i="182" s="1"/>
  <c r="D33" i="175"/>
  <c r="H36" i="183"/>
  <c r="I36" i="183" s="1"/>
  <c r="G40" i="183"/>
  <c r="D29" i="184"/>
  <c r="D30" i="184"/>
  <c r="H13" i="173"/>
  <c r="I13" i="173" s="1"/>
  <c r="G15" i="173"/>
  <c r="H15" i="172"/>
  <c r="I15" i="172" s="1"/>
  <c r="G33" i="174"/>
  <c r="H29" i="174"/>
  <c r="I29" i="174" s="1"/>
  <c r="H29" i="170"/>
  <c r="I29" i="170" s="1"/>
  <c r="H14" i="169"/>
  <c r="I14" i="169" s="1"/>
  <c r="H27" i="184"/>
  <c r="I27" i="184" s="1"/>
  <c r="H28" i="180"/>
  <c r="I28" i="180" s="1"/>
  <c r="G27" i="169"/>
  <c r="H25" i="169"/>
  <c r="I25" i="169" s="1"/>
  <c r="H30" i="175"/>
  <c r="I30" i="175" s="1"/>
  <c r="G33" i="180"/>
  <c r="H31" i="180"/>
  <c r="I31" i="180" s="1"/>
  <c r="D33" i="183"/>
  <c r="H14" i="182"/>
  <c r="I14" i="182" s="1"/>
  <c r="D40" i="180"/>
  <c r="H38" i="180"/>
  <c r="I38" i="180" s="1"/>
  <c r="H23" i="169"/>
  <c r="I23" i="169" s="1"/>
  <c r="D24" i="169"/>
  <c r="H29" i="171"/>
  <c r="I29" i="171" s="1"/>
  <c r="D29" i="182"/>
  <c r="D30" i="182"/>
  <c r="G33" i="184"/>
  <c r="H31" i="184"/>
  <c r="I31" i="184" s="1"/>
  <c r="D30" i="183"/>
  <c r="D29" i="183"/>
  <c r="H28" i="170"/>
  <c r="I28" i="170" s="1"/>
  <c r="G32" i="170"/>
  <c r="H30" i="171"/>
  <c r="I30" i="171" s="1"/>
  <c r="D24" i="175"/>
  <c r="D34" i="168"/>
  <c r="G33" i="175"/>
  <c r="H29" i="175"/>
  <c r="I29" i="175" s="1"/>
  <c r="H23" i="174"/>
  <c r="I23" i="174" s="1"/>
  <c r="H14" i="174"/>
  <c r="I14" i="174" s="1"/>
  <c r="D33" i="169"/>
  <c r="H14" i="180"/>
  <c r="I14" i="180" s="1"/>
  <c r="H29" i="173"/>
  <c r="I29" i="173" s="1"/>
  <c r="H13" i="170"/>
  <c r="I13" i="170" s="1"/>
  <c r="G15" i="170"/>
  <c r="G32" i="171"/>
  <c r="H28" i="171"/>
  <c r="I28" i="171" s="1"/>
  <c r="H22" i="173"/>
  <c r="I22" i="173" s="1"/>
  <c r="H37" i="184"/>
  <c r="I37" i="184" s="1"/>
  <c r="H14" i="151"/>
  <c r="I14" i="151" s="1"/>
  <c r="H28" i="183"/>
  <c r="I28" i="183" s="1"/>
  <c r="H31" i="169"/>
  <c r="I31" i="169" s="1"/>
  <c r="H38" i="183"/>
  <c r="I38" i="183" s="1"/>
  <c r="H31" i="175"/>
  <c r="I31" i="175" s="1"/>
  <c r="H23" i="175"/>
  <c r="I23" i="175" s="1"/>
  <c r="H34" i="151"/>
  <c r="I34" i="151" s="1"/>
  <c r="H38" i="184"/>
  <c r="I38" i="184" s="1"/>
  <c r="H27" i="183"/>
  <c r="I27" i="183" s="1"/>
  <c r="D40" i="183"/>
  <c r="H32" i="172"/>
  <c r="I32" i="172" s="1"/>
  <c r="H33" i="181"/>
  <c r="I33" i="181" s="1"/>
  <c r="D40" i="182"/>
  <c r="H29" i="151"/>
  <c r="I29" i="151" s="1"/>
  <c r="H18" i="183"/>
  <c r="I18" i="183" s="1"/>
  <c r="D35" i="168"/>
  <c r="H36" i="184"/>
  <c r="I36" i="184" s="1"/>
  <c r="G40" i="184"/>
  <c r="H18" i="180"/>
  <c r="I18" i="180" s="1"/>
  <c r="G33" i="169"/>
  <c r="H29" i="169"/>
  <c r="I29" i="169" s="1"/>
  <c r="G33" i="182"/>
  <c r="H31" i="182"/>
  <c r="I31" i="182" s="1"/>
  <c r="H28" i="182"/>
  <c r="I28" i="182" s="1"/>
  <c r="H14" i="183"/>
  <c r="I14" i="183" s="1"/>
  <c r="H31" i="174"/>
  <c r="I31" i="174" s="1"/>
  <c r="H33" i="168"/>
  <c r="I33" i="168" s="1"/>
  <c r="G40" i="180"/>
  <c r="H36" i="180"/>
  <c r="I36" i="180" s="1"/>
  <c r="H18" i="182"/>
  <c r="I18" i="182" s="1"/>
  <c r="D27" i="174"/>
  <c r="G32" i="173"/>
  <c r="H28" i="173"/>
  <c r="I28" i="173" s="1"/>
  <c r="D33" i="174"/>
  <c r="G40" i="182"/>
  <c r="H36" i="182"/>
  <c r="I36" i="182" s="1"/>
  <c r="D33" i="182"/>
  <c r="H27" i="180"/>
  <c r="I27" i="180" s="1"/>
  <c r="H30" i="170"/>
  <c r="I30" i="170" s="1"/>
  <c r="H30" i="174"/>
  <c r="I30" i="174" s="1"/>
  <c r="H14" i="175"/>
  <c r="I14" i="175" s="1"/>
  <c r="H13" i="171"/>
  <c r="I13" i="171" s="1"/>
  <c r="G15" i="171"/>
  <c r="D40" i="184"/>
  <c r="D27" i="175"/>
  <c r="H27" i="182"/>
  <c r="I27" i="182" s="1"/>
  <c r="D47" i="168"/>
  <c r="D48" i="181" l="1"/>
  <c r="D49" i="181" s="1"/>
  <c r="D50" i="181"/>
  <c r="D43" i="181"/>
  <c r="D44" i="181" s="1"/>
  <c r="D45" i="181"/>
  <c r="D48" i="168"/>
  <c r="D49" i="168" s="1"/>
  <c r="D50" i="168"/>
  <c r="D43" i="168"/>
  <c r="D44" i="168" s="1"/>
  <c r="D45" i="168"/>
  <c r="D35" i="180"/>
  <c r="D28" i="151"/>
  <c r="D42" i="180"/>
  <c r="D35" i="183"/>
  <c r="D42" i="183"/>
  <c r="D34" i="180"/>
  <c r="D28" i="174"/>
  <c r="D38" i="172"/>
  <c r="E42" i="7" s="1"/>
  <c r="D35" i="182"/>
  <c r="D47" i="182"/>
  <c r="D35" i="151"/>
  <c r="D47" i="184"/>
  <c r="D47" i="180"/>
  <c r="D50" i="180" s="1"/>
  <c r="D47" i="183"/>
  <c r="D42" i="182"/>
  <c r="D34" i="184"/>
  <c r="D35" i="170"/>
  <c r="D36" i="170" s="1"/>
  <c r="D28" i="175"/>
  <c r="D35" i="175"/>
  <c r="D38" i="175" s="1"/>
  <c r="H15" i="171"/>
  <c r="I15" i="171" s="1"/>
  <c r="H33" i="174"/>
  <c r="I33" i="174" s="1"/>
  <c r="H33" i="180"/>
  <c r="I33" i="180" s="1"/>
  <c r="H33" i="183"/>
  <c r="I33" i="183" s="1"/>
  <c r="H32" i="173"/>
  <c r="I32" i="173" s="1"/>
  <c r="H33" i="184"/>
  <c r="I33" i="184" s="1"/>
  <c r="D35" i="173"/>
  <c r="D36" i="173" s="1"/>
  <c r="H33" i="182"/>
  <c r="I33" i="182" s="1"/>
  <c r="H15" i="170"/>
  <c r="I15" i="170" s="1"/>
  <c r="H32" i="170"/>
  <c r="I32" i="170" s="1"/>
  <c r="D28" i="169"/>
  <c r="D35" i="169"/>
  <c r="D38" i="169" s="1"/>
  <c r="H27" i="174"/>
  <c r="I27" i="174" s="1"/>
  <c r="D42" i="184"/>
  <c r="D45" i="184" s="1"/>
  <c r="H40" i="182"/>
  <c r="I40" i="182" s="1"/>
  <c r="H33" i="169"/>
  <c r="I33" i="169" s="1"/>
  <c r="H40" i="183"/>
  <c r="I40" i="183" s="1"/>
  <c r="H27" i="175"/>
  <c r="I27" i="175" s="1"/>
  <c r="D34" i="182"/>
  <c r="H33" i="175"/>
  <c r="I33" i="175" s="1"/>
  <c r="D35" i="171"/>
  <c r="D36" i="171" s="1"/>
  <c r="H15" i="173"/>
  <c r="I15" i="173" s="1"/>
  <c r="H40" i="180"/>
  <c r="I40" i="180" s="1"/>
  <c r="D35" i="184"/>
  <c r="H32" i="171"/>
  <c r="I32" i="171" s="1"/>
  <c r="D35" i="174"/>
  <c r="D38" i="174" s="1"/>
  <c r="H40" i="184"/>
  <c r="I40" i="184" s="1"/>
  <c r="D34" i="183"/>
  <c r="H27" i="169"/>
  <c r="I27" i="169" s="1"/>
  <c r="D51" i="168" l="1"/>
  <c r="E16" i="7" s="1"/>
  <c r="D51" i="181"/>
  <c r="E12" i="7" s="1"/>
  <c r="D43" i="182"/>
  <c r="D44" i="182" s="1"/>
  <c r="D45" i="182"/>
  <c r="D36" i="151"/>
  <c r="D37" i="151" s="1"/>
  <c r="D38" i="151"/>
  <c r="D48" i="183"/>
  <c r="D50" i="183"/>
  <c r="D48" i="182"/>
  <c r="D49" i="182" s="1"/>
  <c r="D50" i="182"/>
  <c r="D43" i="180"/>
  <c r="D44" i="180" s="1"/>
  <c r="D45" i="180"/>
  <c r="D46" i="168"/>
  <c r="D46" i="181"/>
  <c r="D48" i="184"/>
  <c r="D49" i="184" s="1"/>
  <c r="D50" i="184"/>
  <c r="D43" i="183"/>
  <c r="D44" i="183" s="1"/>
  <c r="D45" i="183"/>
  <c r="D48" i="180"/>
  <c r="D49" i="180" s="1"/>
  <c r="D38" i="173"/>
  <c r="E45" i="7" s="1"/>
  <c r="D38" i="170"/>
  <c r="D43" i="184"/>
  <c r="D44" i="184" s="1"/>
  <c r="D36" i="169"/>
  <c r="D37" i="169" s="1"/>
  <c r="D36" i="175"/>
  <c r="D37" i="175" s="1"/>
  <c r="D36" i="174"/>
  <c r="D37" i="174" s="1"/>
  <c r="D38" i="171"/>
  <c r="E27" i="7" s="1"/>
  <c r="D49" i="183"/>
  <c r="D46" i="180" l="1"/>
  <c r="D51" i="184"/>
  <c r="E20" i="7" s="1"/>
  <c r="D46" i="182"/>
  <c r="D51" i="182"/>
  <c r="E8" i="7" s="1"/>
  <c r="D51" i="180"/>
  <c r="D39" i="151"/>
  <c r="E33" i="179" s="1"/>
  <c r="D46" i="183"/>
  <c r="D46" i="184"/>
  <c r="D39" i="174"/>
  <c r="E36" i="7" s="1"/>
  <c r="D39" i="175"/>
  <c r="E39" i="7" s="1"/>
  <c r="E30" i="7"/>
  <c r="D39" i="169" l="1"/>
  <c r="E33" i="7" s="1"/>
  <c r="D51" i="183"/>
  <c r="E24" i="7" s="1"/>
  <c r="C17" i="167" l="1"/>
  <c r="C4" i="117" s="1"/>
  <c r="B40" i="117" l="1"/>
  <c r="B17" i="117"/>
  <c r="B15" i="117"/>
  <c r="B4" i="117"/>
  <c r="B23" i="117" s="1"/>
  <c r="C8" i="117"/>
  <c r="B12" i="117"/>
  <c r="B16" i="117"/>
  <c r="B13" i="117"/>
  <c r="B22" i="117"/>
  <c r="D22" i="117" s="1"/>
  <c r="B21" i="117"/>
  <c r="E12" i="113"/>
  <c r="E15" i="113"/>
  <c r="E16" i="113"/>
  <c r="E39" i="113"/>
  <c r="E17" i="113"/>
  <c r="D13" i="113"/>
  <c r="E13" i="113"/>
  <c r="E21" i="113"/>
  <c r="E22" i="113"/>
  <c r="G22" i="113" s="1"/>
  <c r="D22" i="113"/>
  <c r="C5" i="179"/>
  <c r="B8" i="113"/>
  <c r="C25" i="113"/>
  <c r="F25" i="113" s="1"/>
  <c r="E21" i="167"/>
  <c r="C21" i="167"/>
  <c r="C19" i="167"/>
  <c r="C20" i="167"/>
  <c r="C18" i="167"/>
  <c r="C4" i="120" s="1"/>
  <c r="E18" i="167"/>
  <c r="C5" i="120" s="1"/>
  <c r="C9" i="179" l="1"/>
  <c r="C26" i="117"/>
  <c r="F26" i="117" s="1"/>
  <c r="B8" i="117"/>
  <c r="B22" i="120"/>
  <c r="D22" i="120" s="1"/>
  <c r="B21" i="120"/>
  <c r="D21" i="120" s="1"/>
  <c r="B5" i="120"/>
  <c r="B18" i="120"/>
  <c r="B19" i="120"/>
  <c r="D19" i="120" s="1"/>
  <c r="E15" i="117"/>
  <c r="G15" i="117" s="1"/>
  <c r="E13" i="117"/>
  <c r="G13" i="117" s="1"/>
  <c r="E40" i="117"/>
  <c r="G40" i="117" s="1"/>
  <c r="E12" i="117"/>
  <c r="G12" i="117" s="1"/>
  <c r="E17" i="117"/>
  <c r="G17" i="117" s="1"/>
  <c r="E16" i="117"/>
  <c r="G16" i="117" s="1"/>
  <c r="E21" i="117"/>
  <c r="E22" i="117"/>
  <c r="G22" i="117" s="1"/>
  <c r="H22" i="117" s="1"/>
  <c r="I22" i="117" s="1"/>
  <c r="B30" i="117"/>
  <c r="B31" i="117"/>
  <c r="B35" i="117"/>
  <c r="B36" i="117"/>
  <c r="B37" i="117"/>
  <c r="B27" i="117"/>
  <c r="B26" i="117"/>
  <c r="C7" i="120"/>
  <c r="B4" i="120"/>
  <c r="E30" i="120" s="1"/>
  <c r="B30" i="120"/>
  <c r="C9" i="120"/>
  <c r="E34" i="113"/>
  <c r="E26" i="113"/>
  <c r="E36" i="113"/>
  <c r="E29" i="113"/>
  <c r="E30" i="113"/>
  <c r="E25" i="113"/>
  <c r="E35" i="113"/>
  <c r="H22" i="113"/>
  <c r="I22" i="113" s="1"/>
  <c r="D15" i="117"/>
  <c r="G16" i="113"/>
  <c r="D40" i="117"/>
  <c r="D23" i="117"/>
  <c r="E23" i="117"/>
  <c r="G23" i="117" s="1"/>
  <c r="G15" i="113"/>
  <c r="G17" i="113"/>
  <c r="D21" i="113"/>
  <c r="D23" i="113" s="1"/>
  <c r="D16" i="117"/>
  <c r="G39" i="113"/>
  <c r="D39" i="113"/>
  <c r="D17" i="117"/>
  <c r="D13" i="117"/>
  <c r="G13" i="113"/>
  <c r="D12" i="117"/>
  <c r="G12" i="113"/>
  <c r="E18" i="120" l="1"/>
  <c r="E22" i="120"/>
  <c r="G22" i="120" s="1"/>
  <c r="H22" i="120" s="1"/>
  <c r="I22" i="120" s="1"/>
  <c r="E19" i="120"/>
  <c r="G19" i="120" s="1"/>
  <c r="H19" i="120" s="1"/>
  <c r="I19" i="120" s="1"/>
  <c r="E21" i="120"/>
  <c r="G21" i="120" s="1"/>
  <c r="D12" i="179"/>
  <c r="B9" i="120"/>
  <c r="E25" i="120" s="1"/>
  <c r="D23" i="120"/>
  <c r="B7" i="120"/>
  <c r="C12" i="179"/>
  <c r="B26" i="120"/>
  <c r="B25" i="120"/>
  <c r="B13" i="120"/>
  <c r="B27" i="120"/>
  <c r="E27" i="117"/>
  <c r="G27" i="117" s="1"/>
  <c r="E26" i="117"/>
  <c r="G26" i="117" s="1"/>
  <c r="E35" i="117"/>
  <c r="G35" i="117" s="1"/>
  <c r="E31" i="117"/>
  <c r="G31" i="117" s="1"/>
  <c r="E30" i="117"/>
  <c r="G30" i="117" s="1"/>
  <c r="E37" i="117"/>
  <c r="G37" i="117" s="1"/>
  <c r="E36" i="117"/>
  <c r="G36" i="117" s="1"/>
  <c r="D18" i="113"/>
  <c r="D14" i="113"/>
  <c r="D14" i="117"/>
  <c r="D29" i="113"/>
  <c r="G29" i="113"/>
  <c r="H23" i="117"/>
  <c r="I23" i="117" s="1"/>
  <c r="H17" i="117"/>
  <c r="I17" i="117" s="1"/>
  <c r="H12" i="117"/>
  <c r="I12" i="117" s="1"/>
  <c r="G14" i="117"/>
  <c r="G25" i="113"/>
  <c r="D25" i="113"/>
  <c r="D37" i="117"/>
  <c r="H17" i="113"/>
  <c r="I17" i="113" s="1"/>
  <c r="D30" i="117"/>
  <c r="H40" i="117"/>
  <c r="I40" i="117" s="1"/>
  <c r="D36" i="117"/>
  <c r="D35" i="117"/>
  <c r="G26" i="113"/>
  <c r="D26" i="113"/>
  <c r="H13" i="113"/>
  <c r="I13" i="113" s="1"/>
  <c r="H39" i="113"/>
  <c r="I39" i="113" s="1"/>
  <c r="D34" i="113"/>
  <c r="G34" i="113"/>
  <c r="D27" i="117"/>
  <c r="H16" i="113"/>
  <c r="I16" i="113" s="1"/>
  <c r="D30" i="113"/>
  <c r="G30" i="113"/>
  <c r="G36" i="113"/>
  <c r="D36" i="113"/>
  <c r="H13" i="117"/>
  <c r="I13" i="117" s="1"/>
  <c r="D31" i="117"/>
  <c r="D30" i="120"/>
  <c r="G30" i="120"/>
  <c r="D18" i="117"/>
  <c r="H12" i="113"/>
  <c r="I12" i="113" s="1"/>
  <c r="G14" i="113"/>
  <c r="D35" i="113"/>
  <c r="G35" i="113"/>
  <c r="D26" i="117"/>
  <c r="H16" i="117"/>
  <c r="I16" i="117" s="1"/>
  <c r="G18" i="113"/>
  <c r="H15" i="113"/>
  <c r="I15" i="113" s="1"/>
  <c r="G18" i="117"/>
  <c r="H15" i="117"/>
  <c r="I15" i="117" s="1"/>
  <c r="E27" i="120" l="1"/>
  <c r="G27" i="120" s="1"/>
  <c r="E26" i="120"/>
  <c r="G26" i="120" s="1"/>
  <c r="E13" i="120"/>
  <c r="G13" i="120" s="1"/>
  <c r="H21" i="120"/>
  <c r="I21" i="120" s="1"/>
  <c r="G23" i="120"/>
  <c r="H23" i="120" s="1"/>
  <c r="I23" i="120" s="1"/>
  <c r="D32" i="117"/>
  <c r="H36" i="113"/>
  <c r="I36" i="113" s="1"/>
  <c r="H37" i="117"/>
  <c r="I37" i="117" s="1"/>
  <c r="D26" i="120"/>
  <c r="G38" i="113"/>
  <c r="H34" i="113"/>
  <c r="I34" i="113" s="1"/>
  <c r="H26" i="113"/>
  <c r="I26" i="113" s="1"/>
  <c r="H30" i="117"/>
  <c r="I30" i="117" s="1"/>
  <c r="G32" i="117"/>
  <c r="H25" i="113"/>
  <c r="I25" i="113" s="1"/>
  <c r="H18" i="113"/>
  <c r="I18" i="113" s="1"/>
  <c r="D27" i="113"/>
  <c r="D28" i="113"/>
  <c r="H27" i="117"/>
  <c r="I27" i="117" s="1"/>
  <c r="H36" i="117"/>
  <c r="I36" i="117" s="1"/>
  <c r="H30" i="113"/>
  <c r="I30" i="113" s="1"/>
  <c r="H18" i="117"/>
  <c r="I18" i="117" s="1"/>
  <c r="H14" i="113"/>
  <c r="I14" i="113" s="1"/>
  <c r="G25" i="120"/>
  <c r="D25" i="120"/>
  <c r="D38" i="113"/>
  <c r="H35" i="117"/>
  <c r="I35" i="117" s="1"/>
  <c r="G39" i="117"/>
  <c r="G31" i="113"/>
  <c r="H29" i="113"/>
  <c r="I29" i="113" s="1"/>
  <c r="H30" i="120"/>
  <c r="I30" i="120" s="1"/>
  <c r="H35" i="113"/>
  <c r="I35" i="113" s="1"/>
  <c r="H31" i="117"/>
  <c r="I31" i="117" s="1"/>
  <c r="D27" i="120"/>
  <c r="H26" i="117"/>
  <c r="I26" i="117" s="1"/>
  <c r="D13" i="120"/>
  <c r="D15" i="120" s="1"/>
  <c r="D39" i="117"/>
  <c r="H14" i="117"/>
  <c r="I14" i="117" s="1"/>
  <c r="D31" i="113"/>
  <c r="D32" i="113" l="1"/>
  <c r="D33" i="113"/>
  <c r="H31" i="113"/>
  <c r="I31" i="113" s="1"/>
  <c r="H26" i="120"/>
  <c r="I26" i="120" s="1"/>
  <c r="G15" i="120"/>
  <c r="H13" i="120"/>
  <c r="I13" i="120" s="1"/>
  <c r="D29" i="120"/>
  <c r="D40" i="113"/>
  <c r="D45" i="113"/>
  <c r="H39" i="117"/>
  <c r="I39" i="117" s="1"/>
  <c r="H27" i="120"/>
  <c r="I27" i="120" s="1"/>
  <c r="G29" i="120"/>
  <c r="H25" i="120"/>
  <c r="I25" i="120" s="1"/>
  <c r="H32" i="117"/>
  <c r="I32" i="117" s="1"/>
  <c r="H38" i="113"/>
  <c r="I38" i="113" s="1"/>
  <c r="D41" i="113" l="1"/>
  <c r="D42" i="113" s="1"/>
  <c r="D43" i="113"/>
  <c r="D46" i="113"/>
  <c r="D47" i="113" s="1"/>
  <c r="D48" i="113"/>
  <c r="H29" i="120"/>
  <c r="I29" i="120" s="1"/>
  <c r="H15" i="120"/>
  <c r="I15" i="120" s="1"/>
  <c r="D49" i="113" l="1"/>
  <c r="E5" i="179" s="1"/>
  <c r="D44" i="113"/>
  <c r="F16" i="81" l="1"/>
  <c r="G16" i="81" s="1"/>
  <c r="F16" i="79"/>
  <c r="G16" i="79" s="1"/>
  <c r="F16" i="173"/>
  <c r="G16" i="173" s="1"/>
  <c r="F16" i="199"/>
  <c r="G16" i="199" s="1"/>
  <c r="F16" i="148"/>
  <c r="G16" i="148" s="1"/>
  <c r="F16" i="146"/>
  <c r="G16" i="146" s="1"/>
  <c r="H16" i="148" l="1"/>
  <c r="I16" i="148" s="1"/>
  <c r="H16" i="199"/>
  <c r="I16" i="199" s="1"/>
  <c r="H16" i="79"/>
  <c r="I16" i="79" s="1"/>
  <c r="H16" i="146"/>
  <c r="I16" i="146" s="1"/>
  <c r="H16" i="173"/>
  <c r="I16" i="173" s="1"/>
  <c r="H16" i="81"/>
  <c r="I16" i="81" s="1"/>
  <c r="Q14" i="3" l="1"/>
  <c r="F16" i="172" l="1"/>
  <c r="G16" i="172" s="1"/>
  <c r="F16" i="78"/>
  <c r="G16" i="78" s="1"/>
  <c r="F16" i="76"/>
  <c r="G16" i="76" s="1"/>
  <c r="H16" i="172" l="1"/>
  <c r="I16" i="172" s="1"/>
  <c r="H16" i="76"/>
  <c r="I16" i="76" s="1"/>
  <c r="H16" i="78"/>
  <c r="I16" i="78" s="1"/>
  <c r="Q4" i="3" l="1"/>
  <c r="Q6" i="3"/>
  <c r="Q11" i="3" l="1"/>
  <c r="F19" i="50"/>
  <c r="G19" i="50" s="1"/>
  <c r="F19" i="49"/>
  <c r="G19" i="49" s="1"/>
  <c r="F19" i="182"/>
  <c r="G19" i="182" s="1"/>
  <c r="F19" i="48"/>
  <c r="G19" i="48" s="1"/>
  <c r="F19" i="168"/>
  <c r="G19" i="168" s="1"/>
  <c r="F19" i="54"/>
  <c r="G19" i="54" s="1"/>
  <c r="F19" i="56"/>
  <c r="G19" i="56" s="1"/>
  <c r="F19" i="104"/>
  <c r="G19" i="104" s="1"/>
  <c r="H19" i="104" l="1"/>
  <c r="I19" i="104" s="1"/>
  <c r="H19" i="48"/>
  <c r="I19" i="48" s="1"/>
  <c r="H19" i="56"/>
  <c r="I19" i="56" s="1"/>
  <c r="H19" i="182"/>
  <c r="I19" i="182" s="1"/>
  <c r="H19" i="54"/>
  <c r="I19" i="54" s="1"/>
  <c r="H19" i="49"/>
  <c r="I19" i="49" s="1"/>
  <c r="F15" i="154"/>
  <c r="G15" i="154" s="1"/>
  <c r="F15" i="70"/>
  <c r="G15" i="70" s="1"/>
  <c r="F15" i="68"/>
  <c r="G15" i="68" s="1"/>
  <c r="F15" i="151"/>
  <c r="G15" i="151" s="1"/>
  <c r="F15" i="141"/>
  <c r="G15" i="141" s="1"/>
  <c r="F15" i="175"/>
  <c r="G15" i="175" s="1"/>
  <c r="H19" i="168"/>
  <c r="I19" i="168" s="1"/>
  <c r="H19" i="50"/>
  <c r="I19" i="50" s="1"/>
  <c r="H15" i="141" l="1"/>
  <c r="I15" i="141" s="1"/>
  <c r="H15" i="151"/>
  <c r="I15" i="151" s="1"/>
  <c r="H15" i="70"/>
  <c r="I15" i="70" s="1"/>
  <c r="H15" i="175"/>
  <c r="I15" i="175" s="1"/>
  <c r="H15" i="68"/>
  <c r="I15" i="68" s="1"/>
  <c r="H15" i="154"/>
  <c r="I15" i="154" s="1"/>
  <c r="Q7" i="3" l="1"/>
  <c r="Q9" i="3"/>
  <c r="Q10" i="3"/>
  <c r="Q8" i="3"/>
  <c r="Q13" i="3"/>
  <c r="Q12" i="3"/>
  <c r="Q5" i="3"/>
  <c r="S14" i="3"/>
  <c r="Q16" i="3" l="1"/>
  <c r="F16" i="75"/>
  <c r="G16" i="75" s="1"/>
  <c r="F16" i="73"/>
  <c r="G16" i="73" s="1"/>
  <c r="F16" i="170"/>
  <c r="G16" i="170" s="1"/>
  <c r="F19" i="183"/>
  <c r="G19" i="183" s="1"/>
  <c r="F19" i="62"/>
  <c r="G19" i="62" s="1"/>
  <c r="F19" i="61"/>
  <c r="G19" i="61" s="1"/>
  <c r="F19" i="60"/>
  <c r="G19" i="60" s="1"/>
  <c r="F15" i="25"/>
  <c r="G15" i="25" s="1"/>
  <c r="F15" i="160"/>
  <c r="G15" i="160" s="1"/>
  <c r="F15" i="169"/>
  <c r="G15" i="169" s="1"/>
  <c r="F15" i="64"/>
  <c r="G15" i="64" s="1"/>
  <c r="F15" i="157"/>
  <c r="G15" i="157" s="1"/>
  <c r="F15" i="144"/>
  <c r="G15" i="144" s="1"/>
  <c r="F19" i="53"/>
  <c r="G19" i="53" s="1"/>
  <c r="F19" i="181"/>
  <c r="G19" i="181" s="1"/>
  <c r="F19" i="51"/>
  <c r="G19" i="51" s="1"/>
  <c r="F19" i="52"/>
  <c r="G19" i="52" s="1"/>
  <c r="F16" i="171"/>
  <c r="G16" i="171" s="1"/>
  <c r="F16" i="72"/>
  <c r="G16" i="72" s="1"/>
  <c r="F16" i="5"/>
  <c r="G16" i="5" s="1"/>
  <c r="F15" i="198"/>
  <c r="G15" i="198" s="1"/>
  <c r="F15" i="67"/>
  <c r="G15" i="67" s="1"/>
  <c r="F15" i="65"/>
  <c r="G15" i="65" s="1"/>
  <c r="F15" i="174"/>
  <c r="G15" i="174" s="1"/>
  <c r="F15" i="197"/>
  <c r="G15" i="197" s="1"/>
  <c r="F19" i="59"/>
  <c r="G19" i="59" s="1"/>
  <c r="F19" i="184"/>
  <c r="G19" i="184" s="1"/>
  <c r="F19" i="58"/>
  <c r="G19" i="58" s="1"/>
  <c r="F19" i="57"/>
  <c r="G19" i="57" s="1"/>
  <c r="F20" i="172"/>
  <c r="G20" i="172" s="1"/>
  <c r="F20" i="78"/>
  <c r="G20" i="78" s="1"/>
  <c r="F20" i="76"/>
  <c r="G20" i="76" s="1"/>
  <c r="Q19" i="3"/>
  <c r="S13" i="3"/>
  <c r="S12" i="3"/>
  <c r="Q3" i="3"/>
  <c r="F19" i="46" l="1"/>
  <c r="G19" i="46" s="1"/>
  <c r="F19" i="4"/>
  <c r="G19" i="4" s="1"/>
  <c r="F19" i="47"/>
  <c r="G19" i="47" s="1"/>
  <c r="F19" i="180"/>
  <c r="G19" i="180" s="1"/>
  <c r="F20" i="72"/>
  <c r="G20" i="72" s="1"/>
  <c r="F20" i="171"/>
  <c r="G20" i="171" s="1"/>
  <c r="G23" i="171" s="1"/>
  <c r="F20" i="5"/>
  <c r="G20" i="5" s="1"/>
  <c r="G23" i="5" s="1"/>
  <c r="F19" i="187"/>
  <c r="G19" i="187" s="1"/>
  <c r="F19" i="124"/>
  <c r="G19" i="124" s="1"/>
  <c r="F19" i="125"/>
  <c r="G19" i="125" s="1"/>
  <c r="F19" i="126"/>
  <c r="G19" i="126" s="1"/>
  <c r="F19" i="123"/>
  <c r="G19" i="123" s="1"/>
  <c r="F19" i="127"/>
  <c r="G19" i="127" s="1"/>
  <c r="F19" i="188"/>
  <c r="G19" i="188" s="1"/>
  <c r="F19" i="122"/>
  <c r="G19" i="122" s="1"/>
  <c r="H20" i="172"/>
  <c r="I20" i="172" s="1"/>
  <c r="G23" i="172"/>
  <c r="H19" i="184"/>
  <c r="I19" i="184" s="1"/>
  <c r="H15" i="174"/>
  <c r="I15" i="174" s="1"/>
  <c r="H15" i="198"/>
  <c r="I15" i="198" s="1"/>
  <c r="H16" i="5"/>
  <c r="I16" i="5" s="1"/>
  <c r="H19" i="52"/>
  <c r="I19" i="52" s="1"/>
  <c r="H15" i="144"/>
  <c r="I15" i="144" s="1"/>
  <c r="H15" i="169"/>
  <c r="I15" i="169" s="1"/>
  <c r="H19" i="60"/>
  <c r="I19" i="60" s="1"/>
  <c r="H16" i="170"/>
  <c r="I16" i="170" s="1"/>
  <c r="H19" i="59"/>
  <c r="I19" i="59" s="1"/>
  <c r="H16" i="72"/>
  <c r="I16" i="72" s="1"/>
  <c r="H19" i="51"/>
  <c r="I19" i="51" s="1"/>
  <c r="H15" i="157"/>
  <c r="I15" i="157" s="1"/>
  <c r="H15" i="64"/>
  <c r="I15" i="64" s="1"/>
  <c r="H19" i="61"/>
  <c r="I19" i="61" s="1"/>
  <c r="H16" i="73"/>
  <c r="I16" i="73" s="1"/>
  <c r="G23" i="76"/>
  <c r="H20" i="76"/>
  <c r="I20" i="76" s="1"/>
  <c r="H19" i="57"/>
  <c r="I19" i="57" s="1"/>
  <c r="H15" i="65"/>
  <c r="I15" i="65" s="1"/>
  <c r="H16" i="171"/>
  <c r="I16" i="171" s="1"/>
  <c r="H19" i="181"/>
  <c r="I19" i="181" s="1"/>
  <c r="H19" i="62"/>
  <c r="I19" i="62" s="1"/>
  <c r="H16" i="75"/>
  <c r="I16" i="75" s="1"/>
  <c r="F19" i="113"/>
  <c r="G19" i="113" s="1"/>
  <c r="F19" i="115"/>
  <c r="G19" i="115" s="1"/>
  <c r="F19" i="185"/>
  <c r="G19" i="185" s="1"/>
  <c r="F19" i="112"/>
  <c r="G19" i="112" s="1"/>
  <c r="F20" i="73"/>
  <c r="G20" i="73" s="1"/>
  <c r="G23" i="73" s="1"/>
  <c r="F20" i="75"/>
  <c r="G20" i="75" s="1"/>
  <c r="F20" i="170"/>
  <c r="G20" i="170" s="1"/>
  <c r="H20" i="78"/>
  <c r="I20" i="78" s="1"/>
  <c r="G23" i="78"/>
  <c r="H19" i="58"/>
  <c r="I19" i="58" s="1"/>
  <c r="H15" i="197"/>
  <c r="I15" i="197" s="1"/>
  <c r="H15" i="67"/>
  <c r="I15" i="67" s="1"/>
  <c r="H19" i="53"/>
  <c r="I19" i="53" s="1"/>
  <c r="H15" i="160"/>
  <c r="I15" i="160" s="1"/>
  <c r="H15" i="25"/>
  <c r="I15" i="25" s="1"/>
  <c r="H19" i="183"/>
  <c r="I19" i="183" s="1"/>
  <c r="G34" i="73" l="1"/>
  <c r="G37" i="73" s="1"/>
  <c r="G27" i="73"/>
  <c r="H23" i="73"/>
  <c r="G23" i="170"/>
  <c r="H20" i="170"/>
  <c r="I20" i="170" s="1"/>
  <c r="H19" i="112"/>
  <c r="I19" i="112" s="1"/>
  <c r="H23" i="5"/>
  <c r="G34" i="5"/>
  <c r="G37" i="5" s="1"/>
  <c r="G27" i="5"/>
  <c r="H23" i="172"/>
  <c r="G27" i="172"/>
  <c r="G34" i="172"/>
  <c r="G37" i="172" s="1"/>
  <c r="G24" i="127"/>
  <c r="H19" i="127"/>
  <c r="I19" i="127" s="1"/>
  <c r="H19" i="124"/>
  <c r="I19" i="124" s="1"/>
  <c r="H19" i="46"/>
  <c r="I19" i="46" s="1"/>
  <c r="H23" i="78"/>
  <c r="G27" i="78"/>
  <c r="G34" i="78"/>
  <c r="G37" i="78" s="1"/>
  <c r="H19" i="185"/>
  <c r="I19" i="185" s="1"/>
  <c r="G34" i="171"/>
  <c r="G37" i="171" s="1"/>
  <c r="G27" i="171"/>
  <c r="H23" i="171"/>
  <c r="H19" i="123"/>
  <c r="I19" i="123" s="1"/>
  <c r="H19" i="187"/>
  <c r="I19" i="187" s="1"/>
  <c r="H20" i="5"/>
  <c r="I20" i="5" s="1"/>
  <c r="H19" i="180"/>
  <c r="I19" i="180" s="1"/>
  <c r="G23" i="75"/>
  <c r="H20" i="75"/>
  <c r="I20" i="75" s="1"/>
  <c r="H19" i="115"/>
  <c r="I19" i="115" s="1"/>
  <c r="H19" i="122"/>
  <c r="I19" i="122" s="1"/>
  <c r="H19" i="126"/>
  <c r="I19" i="126" s="1"/>
  <c r="G24" i="126"/>
  <c r="H20" i="171"/>
  <c r="I20" i="171" s="1"/>
  <c r="H19" i="47"/>
  <c r="I19" i="47" s="1"/>
  <c r="H20" i="73"/>
  <c r="I20" i="73" s="1"/>
  <c r="H19" i="113"/>
  <c r="I19" i="113" s="1"/>
  <c r="H23" i="76"/>
  <c r="G34" i="76"/>
  <c r="G37" i="76" s="1"/>
  <c r="G27" i="76"/>
  <c r="G24" i="188"/>
  <c r="H19" i="188"/>
  <c r="I19" i="188" s="1"/>
  <c r="H19" i="125"/>
  <c r="I19" i="125" s="1"/>
  <c r="G24" i="125"/>
  <c r="G23" i="72"/>
  <c r="H20" i="72"/>
  <c r="I20" i="72" s="1"/>
  <c r="H19" i="4"/>
  <c r="I19" i="4" s="1"/>
  <c r="H27" i="171" l="1"/>
  <c r="I27" i="171" s="1"/>
  <c r="H27" i="78"/>
  <c r="I27" i="78" s="1"/>
  <c r="H27" i="172"/>
  <c r="I27" i="172" s="1"/>
  <c r="H34" i="5"/>
  <c r="I34" i="5" s="1"/>
  <c r="G35" i="5"/>
  <c r="G36" i="5" s="1"/>
  <c r="H27" i="73"/>
  <c r="I27" i="73" s="1"/>
  <c r="H27" i="76"/>
  <c r="I27" i="76" s="1"/>
  <c r="G34" i="75"/>
  <c r="G37" i="75" s="1"/>
  <c r="G27" i="75"/>
  <c r="H23" i="75"/>
  <c r="H34" i="171"/>
  <c r="I34" i="171" s="1"/>
  <c r="G35" i="171"/>
  <c r="G36" i="171" s="1"/>
  <c r="F43" i="7"/>
  <c r="I23" i="78"/>
  <c r="G43" i="7" s="1"/>
  <c r="G29" i="127"/>
  <c r="G41" i="127"/>
  <c r="G44" i="127" s="1"/>
  <c r="H24" i="127"/>
  <c r="G28" i="127"/>
  <c r="G46" i="127"/>
  <c r="G49" i="127" s="1"/>
  <c r="I23" i="172"/>
  <c r="G42" i="7" s="1"/>
  <c r="F42" i="7"/>
  <c r="I23" i="5"/>
  <c r="G26" i="7" s="1"/>
  <c r="F26" i="7"/>
  <c r="G35" i="73"/>
  <c r="G36" i="73" s="1"/>
  <c r="H34" i="73"/>
  <c r="I34" i="73" s="1"/>
  <c r="G29" i="125"/>
  <c r="H24" i="125"/>
  <c r="G46" i="125"/>
  <c r="G49" i="125" s="1"/>
  <c r="G28" i="125"/>
  <c r="G41" i="125"/>
  <c r="G44" i="125" s="1"/>
  <c r="H34" i="76"/>
  <c r="I34" i="76" s="1"/>
  <c r="G35" i="76"/>
  <c r="G36" i="76" s="1"/>
  <c r="G29" i="126"/>
  <c r="G28" i="126"/>
  <c r="G41" i="126"/>
  <c r="G44" i="126" s="1"/>
  <c r="G46" i="126"/>
  <c r="G49" i="126" s="1"/>
  <c r="H24" i="126"/>
  <c r="G34" i="170"/>
  <c r="G37" i="170" s="1"/>
  <c r="G27" i="170"/>
  <c r="H23" i="170"/>
  <c r="G34" i="72"/>
  <c r="G37" i="72" s="1"/>
  <c r="H23" i="72"/>
  <c r="G27" i="72"/>
  <c r="G28" i="188"/>
  <c r="G29" i="188"/>
  <c r="G46" i="188"/>
  <c r="G49" i="188" s="1"/>
  <c r="G41" i="188"/>
  <c r="G44" i="188" s="1"/>
  <c r="H24" i="188"/>
  <c r="I23" i="76"/>
  <c r="G41" i="7" s="1"/>
  <c r="F41" i="7"/>
  <c r="I23" i="171"/>
  <c r="G27" i="7" s="1"/>
  <c r="F27" i="7"/>
  <c r="H34" i="78"/>
  <c r="I34" i="78" s="1"/>
  <c r="G35" i="78"/>
  <c r="G36" i="78" s="1"/>
  <c r="G35" i="172"/>
  <c r="G36" i="172" s="1"/>
  <c r="H34" i="172"/>
  <c r="I34" i="172" s="1"/>
  <c r="H27" i="5"/>
  <c r="I27" i="5" s="1"/>
  <c r="F29" i="7"/>
  <c r="I23" i="73"/>
  <c r="G29" i="7" s="1"/>
  <c r="H37" i="76" l="1"/>
  <c r="I37" i="76" s="1"/>
  <c r="H36" i="76"/>
  <c r="I36" i="76" s="1"/>
  <c r="H36" i="73"/>
  <c r="I36" i="73" s="1"/>
  <c r="H41" i="188"/>
  <c r="I41" i="188" s="1"/>
  <c r="G42" i="188"/>
  <c r="F30" i="7"/>
  <c r="I23" i="170"/>
  <c r="G30" i="7" s="1"/>
  <c r="H46" i="126"/>
  <c r="I46" i="126" s="1"/>
  <c r="G47" i="126"/>
  <c r="G48" i="126" s="1"/>
  <c r="H28" i="125"/>
  <c r="I28" i="125" s="1"/>
  <c r="G33" i="125"/>
  <c r="H46" i="127"/>
  <c r="I46" i="127" s="1"/>
  <c r="G47" i="127"/>
  <c r="H29" i="127"/>
  <c r="I29" i="127" s="1"/>
  <c r="G34" i="127"/>
  <c r="H35" i="172"/>
  <c r="I35" i="172" s="1"/>
  <c r="H36" i="78"/>
  <c r="I36" i="78" s="1"/>
  <c r="G47" i="188"/>
  <c r="H46" i="188"/>
  <c r="I46" i="188" s="1"/>
  <c r="H27" i="72"/>
  <c r="I27" i="72" s="1"/>
  <c r="H27" i="170"/>
  <c r="I27" i="170" s="1"/>
  <c r="H41" i="126"/>
  <c r="I41" i="126" s="1"/>
  <c r="G42" i="126"/>
  <c r="G43" i="126" s="1"/>
  <c r="H35" i="76"/>
  <c r="I35" i="76" s="1"/>
  <c r="H46" i="125"/>
  <c r="I46" i="125" s="1"/>
  <c r="G47" i="125"/>
  <c r="G48" i="125" s="1"/>
  <c r="H28" i="127"/>
  <c r="I28" i="127" s="1"/>
  <c r="G33" i="127"/>
  <c r="I23" i="75"/>
  <c r="G31" i="7" s="1"/>
  <c r="F31" i="7"/>
  <c r="H35" i="78"/>
  <c r="I35" i="78" s="1"/>
  <c r="H29" i="188"/>
  <c r="I29" i="188" s="1"/>
  <c r="G34" i="188"/>
  <c r="I23" i="72"/>
  <c r="G28" i="7" s="1"/>
  <c r="F28" i="7"/>
  <c r="H34" i="170"/>
  <c r="I34" i="170" s="1"/>
  <c r="G35" i="170"/>
  <c r="H28" i="126"/>
  <c r="I28" i="126" s="1"/>
  <c r="G33" i="126"/>
  <c r="F35" i="179"/>
  <c r="I24" i="125"/>
  <c r="G35" i="179" s="1"/>
  <c r="I24" i="127"/>
  <c r="G38" i="179" s="1"/>
  <c r="F38" i="179"/>
  <c r="G38" i="171"/>
  <c r="J35" i="171" s="1"/>
  <c r="H36" i="171"/>
  <c r="I36" i="171" s="1"/>
  <c r="H27" i="75"/>
  <c r="I27" i="75" s="1"/>
  <c r="H36" i="5"/>
  <c r="I36" i="5" s="1"/>
  <c r="G38" i="5"/>
  <c r="J35" i="5" s="1"/>
  <c r="H36" i="172"/>
  <c r="I36" i="172" s="1"/>
  <c r="H37" i="172"/>
  <c r="I37" i="172" s="1"/>
  <c r="F36" i="179"/>
  <c r="I24" i="188"/>
  <c r="G36" i="179" s="1"/>
  <c r="G33" i="188"/>
  <c r="H28" i="188"/>
  <c r="I28" i="188" s="1"/>
  <c r="H34" i="72"/>
  <c r="I34" i="72" s="1"/>
  <c r="G35" i="72"/>
  <c r="I24" i="126"/>
  <c r="G37" i="179" s="1"/>
  <c r="F37" i="179"/>
  <c r="G34" i="126"/>
  <c r="H29" i="126"/>
  <c r="I29" i="126" s="1"/>
  <c r="H41" i="125"/>
  <c r="I41" i="125" s="1"/>
  <c r="G42" i="125"/>
  <c r="G43" i="125" s="1"/>
  <c r="G34" i="125"/>
  <c r="H29" i="125"/>
  <c r="I29" i="125" s="1"/>
  <c r="H35" i="73"/>
  <c r="I35" i="73" s="1"/>
  <c r="H41" i="127"/>
  <c r="I41" i="127" s="1"/>
  <c r="G42" i="127"/>
  <c r="G43" i="127" s="1"/>
  <c r="H35" i="171"/>
  <c r="I35" i="171" s="1"/>
  <c r="G35" i="75"/>
  <c r="G36" i="75" s="1"/>
  <c r="H34" i="75"/>
  <c r="I34" i="75" s="1"/>
  <c r="H35" i="5"/>
  <c r="I35" i="5" s="1"/>
  <c r="H43" i="127" l="1"/>
  <c r="I43" i="127" s="1"/>
  <c r="J26" i="171"/>
  <c r="H38" i="171"/>
  <c r="J31" i="171"/>
  <c r="J19" i="171"/>
  <c r="J15" i="171"/>
  <c r="J32" i="171"/>
  <c r="J18" i="171"/>
  <c r="J38" i="171"/>
  <c r="J13" i="171"/>
  <c r="J17" i="171"/>
  <c r="J21" i="171"/>
  <c r="J29" i="171"/>
  <c r="J25" i="171"/>
  <c r="J33" i="171"/>
  <c r="J22" i="171"/>
  <c r="J24" i="171"/>
  <c r="J14" i="171"/>
  <c r="J30" i="171"/>
  <c r="J28" i="171"/>
  <c r="J16" i="171"/>
  <c r="J23" i="171"/>
  <c r="J20" i="171"/>
  <c r="J27" i="171"/>
  <c r="J34" i="171"/>
  <c r="J36" i="171"/>
  <c r="H35" i="75"/>
  <c r="I35" i="75" s="1"/>
  <c r="H48" i="125"/>
  <c r="H36" i="75"/>
  <c r="I36" i="75" s="1"/>
  <c r="G38" i="75"/>
  <c r="H43" i="125"/>
  <c r="I43" i="125" s="1"/>
  <c r="J24" i="5"/>
  <c r="J26" i="5"/>
  <c r="J29" i="5"/>
  <c r="J31" i="5"/>
  <c r="J15" i="5"/>
  <c r="H38" i="5"/>
  <c r="J17" i="5"/>
  <c r="J38" i="5"/>
  <c r="J21" i="5"/>
  <c r="J18" i="5"/>
  <c r="J32" i="5"/>
  <c r="J13" i="5"/>
  <c r="J22" i="5"/>
  <c r="J14" i="5"/>
  <c r="J25" i="5"/>
  <c r="J33" i="5"/>
  <c r="J30" i="5"/>
  <c r="J19" i="5"/>
  <c r="J28" i="5"/>
  <c r="J16" i="5"/>
  <c r="J23" i="5"/>
  <c r="J20" i="5"/>
  <c r="J34" i="5"/>
  <c r="J27" i="5"/>
  <c r="J36" i="5"/>
  <c r="H42" i="127"/>
  <c r="I42" i="127" s="1"/>
  <c r="H34" i="125"/>
  <c r="I34" i="125" s="1"/>
  <c r="H34" i="126"/>
  <c r="I34" i="126" s="1"/>
  <c r="G36" i="72"/>
  <c r="H35" i="72"/>
  <c r="I35" i="72" s="1"/>
  <c r="H33" i="126"/>
  <c r="I33" i="126" s="1"/>
  <c r="H37" i="78"/>
  <c r="I37" i="78" s="1"/>
  <c r="H34" i="127"/>
  <c r="I34" i="127" s="1"/>
  <c r="H47" i="127"/>
  <c r="I47" i="127" s="1"/>
  <c r="H33" i="188"/>
  <c r="I33" i="188" s="1"/>
  <c r="H37" i="5"/>
  <c r="I37" i="5" s="1"/>
  <c r="J37" i="5"/>
  <c r="G48" i="188"/>
  <c r="H47" i="188"/>
  <c r="I47" i="188" s="1"/>
  <c r="H33" i="125"/>
  <c r="I33" i="125" s="1"/>
  <c r="G43" i="188"/>
  <c r="H42" i="188"/>
  <c r="I42" i="188" s="1"/>
  <c r="G38" i="73"/>
  <c r="J37" i="73" s="1"/>
  <c r="H37" i="73"/>
  <c r="I37" i="73" s="1"/>
  <c r="G38" i="172"/>
  <c r="H37" i="171"/>
  <c r="I37" i="171" s="1"/>
  <c r="J37" i="171"/>
  <c r="H34" i="188"/>
  <c r="I34" i="188" s="1"/>
  <c r="H33" i="127"/>
  <c r="I33" i="127" s="1"/>
  <c r="H47" i="125"/>
  <c r="I47" i="125" s="1"/>
  <c r="G45" i="126"/>
  <c r="J42" i="126" s="1"/>
  <c r="H43" i="126"/>
  <c r="I43" i="126" s="1"/>
  <c r="H48" i="126"/>
  <c r="G38" i="76"/>
  <c r="H42" i="125"/>
  <c r="I42" i="125" s="1"/>
  <c r="G36" i="170"/>
  <c r="H35" i="170"/>
  <c r="I35" i="170" s="1"/>
  <c r="H42" i="126"/>
  <c r="I42" i="126" s="1"/>
  <c r="G38" i="78"/>
  <c r="J37" i="78" s="1"/>
  <c r="G48" i="127"/>
  <c r="H47" i="126"/>
  <c r="I47" i="126" s="1"/>
  <c r="J37" i="76" l="1"/>
  <c r="J21" i="76"/>
  <c r="H38" i="76"/>
  <c r="J19" i="76"/>
  <c r="J25" i="76"/>
  <c r="J32" i="76"/>
  <c r="J15" i="76"/>
  <c r="J38" i="76"/>
  <c r="J14" i="76"/>
  <c r="J17" i="76"/>
  <c r="J26" i="76"/>
  <c r="J22" i="76"/>
  <c r="J29" i="76"/>
  <c r="J30" i="76"/>
  <c r="J13" i="76"/>
  <c r="J24" i="76"/>
  <c r="J16" i="76"/>
  <c r="J18" i="76"/>
  <c r="J28" i="76"/>
  <c r="J31" i="76"/>
  <c r="J33" i="76"/>
  <c r="J20" i="76"/>
  <c r="J23" i="76"/>
  <c r="J34" i="76"/>
  <c r="J27" i="76"/>
  <c r="J36" i="76"/>
  <c r="J35" i="76"/>
  <c r="J31" i="75"/>
  <c r="J26" i="75"/>
  <c r="J14" i="75"/>
  <c r="J13" i="75"/>
  <c r="J18" i="75"/>
  <c r="J32" i="75"/>
  <c r="J19" i="75"/>
  <c r="H38" i="75"/>
  <c r="J21" i="75"/>
  <c r="J28" i="75"/>
  <c r="J22" i="75"/>
  <c r="J15" i="75"/>
  <c r="J38" i="75"/>
  <c r="J29" i="75"/>
  <c r="J33" i="75"/>
  <c r="J24" i="75"/>
  <c r="J30" i="75"/>
  <c r="J25" i="75"/>
  <c r="J17" i="75"/>
  <c r="J16" i="75"/>
  <c r="J20" i="75"/>
  <c r="J23" i="75"/>
  <c r="J27" i="75"/>
  <c r="J34" i="75"/>
  <c r="H48" i="127"/>
  <c r="J43" i="126"/>
  <c r="J37" i="126"/>
  <c r="J38" i="126"/>
  <c r="J14" i="126"/>
  <c r="J12" i="126"/>
  <c r="J35" i="126"/>
  <c r="J30" i="126"/>
  <c r="J23" i="126"/>
  <c r="J26" i="126"/>
  <c r="J36" i="126"/>
  <c r="J20" i="126"/>
  <c r="J25" i="126"/>
  <c r="H45" i="126"/>
  <c r="I45" i="126" s="1"/>
  <c r="J40" i="126"/>
  <c r="J45" i="126"/>
  <c r="J31" i="126"/>
  <c r="J39" i="126"/>
  <c r="J32" i="126"/>
  <c r="J27" i="126"/>
  <c r="J13" i="126"/>
  <c r="J21" i="126"/>
  <c r="J18" i="126"/>
  <c r="J22" i="126"/>
  <c r="J19" i="126"/>
  <c r="J24" i="126"/>
  <c r="J28" i="126"/>
  <c r="J41" i="126"/>
  <c r="J29" i="126"/>
  <c r="J37" i="172"/>
  <c r="J25" i="172"/>
  <c r="J22" i="172"/>
  <c r="J18" i="172"/>
  <c r="J26" i="172"/>
  <c r="J33" i="172"/>
  <c r="J31" i="172"/>
  <c r="J16" i="172"/>
  <c r="J28" i="172"/>
  <c r="J30" i="172"/>
  <c r="J29" i="172"/>
  <c r="J14" i="172"/>
  <c r="J17" i="172"/>
  <c r="J24" i="172"/>
  <c r="J15" i="172"/>
  <c r="H38" i="172"/>
  <c r="J13" i="172"/>
  <c r="J32" i="172"/>
  <c r="J19" i="172"/>
  <c r="J38" i="172"/>
  <c r="J21" i="172"/>
  <c r="J20" i="172"/>
  <c r="J23" i="172"/>
  <c r="J34" i="172"/>
  <c r="J27" i="172"/>
  <c r="J35" i="172"/>
  <c r="J36" i="172"/>
  <c r="H36" i="72"/>
  <c r="I36" i="72" s="1"/>
  <c r="G45" i="125"/>
  <c r="H44" i="125"/>
  <c r="I44" i="125" s="1"/>
  <c r="H37" i="75"/>
  <c r="I37" i="75" s="1"/>
  <c r="J37" i="75"/>
  <c r="I48" i="125"/>
  <c r="J35" i="75"/>
  <c r="H27" i="7"/>
  <c r="I38" i="171"/>
  <c r="I27" i="7" s="1"/>
  <c r="G45" i="127"/>
  <c r="J44" i="127" s="1"/>
  <c r="H44" i="127"/>
  <c r="I44" i="127" s="1"/>
  <c r="J36" i="78"/>
  <c r="J18" i="78"/>
  <c r="J13" i="78"/>
  <c r="J15" i="78"/>
  <c r="H38" i="78"/>
  <c r="J32" i="78"/>
  <c r="J19" i="78"/>
  <c r="J24" i="78"/>
  <c r="J30" i="78"/>
  <c r="J29" i="78"/>
  <c r="J31" i="78"/>
  <c r="J25" i="78"/>
  <c r="J33" i="78"/>
  <c r="J17" i="78"/>
  <c r="J28" i="78"/>
  <c r="J14" i="78"/>
  <c r="J16" i="78"/>
  <c r="J21" i="78"/>
  <c r="J26" i="78"/>
  <c r="J38" i="78"/>
  <c r="J22" i="78"/>
  <c r="J20" i="78"/>
  <c r="J23" i="78"/>
  <c r="J27" i="78"/>
  <c r="J34" i="78"/>
  <c r="J35" i="78"/>
  <c r="G50" i="126"/>
  <c r="K49" i="126" s="1"/>
  <c r="H49" i="126"/>
  <c r="I49" i="126" s="1"/>
  <c r="J15" i="73"/>
  <c r="J24" i="73"/>
  <c r="J26" i="73"/>
  <c r="J17" i="73"/>
  <c r="J13" i="73"/>
  <c r="J19" i="73"/>
  <c r="J29" i="73"/>
  <c r="J28" i="73"/>
  <c r="J31" i="73"/>
  <c r="H38" i="73"/>
  <c r="J18" i="73"/>
  <c r="J21" i="73"/>
  <c r="J14" i="73"/>
  <c r="J32" i="73"/>
  <c r="J38" i="73"/>
  <c r="J33" i="73"/>
  <c r="J30" i="73"/>
  <c r="J25" i="73"/>
  <c r="J22" i="73"/>
  <c r="J16" i="73"/>
  <c r="J23" i="73"/>
  <c r="J20" i="73"/>
  <c r="J27" i="73"/>
  <c r="J34" i="73"/>
  <c r="J36" i="73"/>
  <c r="J35" i="73"/>
  <c r="H43" i="188"/>
  <c r="I43" i="188" s="1"/>
  <c r="G45" i="188"/>
  <c r="J43" i="188" s="1"/>
  <c r="H48" i="188"/>
  <c r="J33" i="126"/>
  <c r="J34" i="126"/>
  <c r="G50" i="125"/>
  <c r="H49" i="125"/>
  <c r="I49" i="125" s="1"/>
  <c r="H36" i="170"/>
  <c r="I36" i="170" s="1"/>
  <c r="I48" i="126"/>
  <c r="H44" i="126"/>
  <c r="I44" i="126" s="1"/>
  <c r="J44" i="126"/>
  <c r="I38" i="5"/>
  <c r="I26" i="7" s="1"/>
  <c r="H26" i="7"/>
  <c r="J36" i="75"/>
  <c r="G50" i="188" l="1"/>
  <c r="K49" i="188" s="1"/>
  <c r="H49" i="188"/>
  <c r="I49" i="188" s="1"/>
  <c r="H44" i="188"/>
  <c r="I44" i="188" s="1"/>
  <c r="J44" i="188"/>
  <c r="J43" i="125"/>
  <c r="J40" i="125"/>
  <c r="J26" i="125"/>
  <c r="J30" i="125"/>
  <c r="J25" i="125"/>
  <c r="J39" i="125"/>
  <c r="J37" i="125"/>
  <c r="J14" i="125"/>
  <c r="J35" i="125"/>
  <c r="J21" i="125"/>
  <c r="J18" i="125"/>
  <c r="J38" i="125"/>
  <c r="J23" i="125"/>
  <c r="H45" i="125"/>
  <c r="I45" i="125" s="1"/>
  <c r="J27" i="125"/>
  <c r="J13" i="125"/>
  <c r="J20" i="125"/>
  <c r="J36" i="125"/>
  <c r="J45" i="125"/>
  <c r="J22" i="125"/>
  <c r="J32" i="125"/>
  <c r="J31" i="125"/>
  <c r="J12" i="125"/>
  <c r="J19" i="125"/>
  <c r="J24" i="125"/>
  <c r="J29" i="125"/>
  <c r="J41" i="125"/>
  <c r="J28" i="125"/>
  <c r="J34" i="125"/>
  <c r="J33" i="125"/>
  <c r="J42" i="125"/>
  <c r="K48" i="125"/>
  <c r="K21" i="125"/>
  <c r="K20" i="125"/>
  <c r="K38" i="125"/>
  <c r="K17" i="125"/>
  <c r="K23" i="125"/>
  <c r="K22" i="125"/>
  <c r="K50" i="125"/>
  <c r="K40" i="125"/>
  <c r="K36" i="125"/>
  <c r="K18" i="125"/>
  <c r="K35" i="125"/>
  <c r="K39" i="125"/>
  <c r="K25" i="125"/>
  <c r="K37" i="125"/>
  <c r="K27" i="125"/>
  <c r="K32" i="125"/>
  <c r="K26" i="125"/>
  <c r="K30" i="125"/>
  <c r="K31" i="125"/>
  <c r="K15" i="125"/>
  <c r="H50" i="125"/>
  <c r="K16" i="125"/>
  <c r="K19" i="125"/>
  <c r="K24" i="125"/>
  <c r="K28" i="125"/>
  <c r="K29" i="125"/>
  <c r="K46" i="125"/>
  <c r="K47" i="125"/>
  <c r="K34" i="125"/>
  <c r="K33" i="125"/>
  <c r="I48" i="188"/>
  <c r="H42" i="7"/>
  <c r="I38" i="172"/>
  <c r="I42" i="7" s="1"/>
  <c r="H29" i="7"/>
  <c r="I38" i="73"/>
  <c r="I29" i="7" s="1"/>
  <c r="K48" i="126"/>
  <c r="K32" i="126"/>
  <c r="K39" i="126"/>
  <c r="K16" i="126"/>
  <c r="K40" i="126"/>
  <c r="K26" i="126"/>
  <c r="K23" i="126"/>
  <c r="K38" i="126"/>
  <c r="K18" i="126"/>
  <c r="H50" i="126"/>
  <c r="K17" i="126"/>
  <c r="K37" i="126"/>
  <c r="K22" i="126"/>
  <c r="K25" i="126"/>
  <c r="K21" i="126"/>
  <c r="K50" i="126"/>
  <c r="K27" i="126"/>
  <c r="K15" i="126"/>
  <c r="K35" i="126"/>
  <c r="K36" i="126"/>
  <c r="K31" i="126"/>
  <c r="K30" i="126"/>
  <c r="K20" i="126"/>
  <c r="K19" i="126"/>
  <c r="K24" i="126"/>
  <c r="K28" i="126"/>
  <c r="K29" i="126"/>
  <c r="K46" i="126"/>
  <c r="K34" i="126"/>
  <c r="K33" i="126"/>
  <c r="K47" i="126"/>
  <c r="I38" i="78"/>
  <c r="I43" i="7" s="1"/>
  <c r="H43" i="7"/>
  <c r="J44" i="125"/>
  <c r="G38" i="72"/>
  <c r="H37" i="72"/>
  <c r="I37" i="72" s="1"/>
  <c r="G50" i="127"/>
  <c r="K49" i="127" s="1"/>
  <c r="H49" i="127"/>
  <c r="I49" i="127" s="1"/>
  <c r="G38" i="170"/>
  <c r="J37" i="170" s="1"/>
  <c r="H37" i="170"/>
  <c r="I37" i="170" s="1"/>
  <c r="K49" i="125"/>
  <c r="J21" i="188"/>
  <c r="J39" i="188"/>
  <c r="J30" i="188"/>
  <c r="J35" i="188"/>
  <c r="J23" i="188"/>
  <c r="J25" i="188"/>
  <c r="J37" i="188"/>
  <c r="J12" i="188"/>
  <c r="J14" i="188"/>
  <c r="J32" i="188"/>
  <c r="H45" i="188"/>
  <c r="I45" i="188" s="1"/>
  <c r="J31" i="188"/>
  <c r="J38" i="188"/>
  <c r="J36" i="188"/>
  <c r="J27" i="188"/>
  <c r="J40" i="188"/>
  <c r="J18" i="188"/>
  <c r="J26" i="188"/>
  <c r="J22" i="188"/>
  <c r="J13" i="188"/>
  <c r="J45" i="188"/>
  <c r="J20" i="188"/>
  <c r="J19" i="188"/>
  <c r="J24" i="188"/>
  <c r="J28" i="188"/>
  <c r="J41" i="188"/>
  <c r="J29" i="188"/>
  <c r="J33" i="188"/>
  <c r="J42" i="188"/>
  <c r="J34" i="188"/>
  <c r="J43" i="127"/>
  <c r="J27" i="127"/>
  <c r="J14" i="127"/>
  <c r="J20" i="127"/>
  <c r="J45" i="127"/>
  <c r="J13" i="127"/>
  <c r="J31" i="127"/>
  <c r="H45" i="127"/>
  <c r="I45" i="127" s="1"/>
  <c r="J37" i="127"/>
  <c r="J35" i="127"/>
  <c r="J23" i="127"/>
  <c r="J26" i="127"/>
  <c r="J22" i="127"/>
  <c r="J39" i="127"/>
  <c r="J25" i="127"/>
  <c r="J32" i="127"/>
  <c r="J38" i="127"/>
  <c r="J18" i="127"/>
  <c r="J12" i="127"/>
  <c r="J30" i="127"/>
  <c r="J40" i="127"/>
  <c r="J21" i="127"/>
  <c r="J36" i="127"/>
  <c r="J19" i="127"/>
  <c r="J24" i="127"/>
  <c r="J29" i="127"/>
  <c r="J41" i="127"/>
  <c r="J28" i="127"/>
  <c r="J42" i="127"/>
  <c r="J34" i="127"/>
  <c r="J33" i="127"/>
  <c r="I48" i="127"/>
  <c r="H31" i="7"/>
  <c r="I38" i="75"/>
  <c r="I31" i="7" s="1"/>
  <c r="H41" i="7"/>
  <c r="I38" i="76"/>
  <c r="I41" i="7" s="1"/>
  <c r="I50" i="126" l="1"/>
  <c r="I37" i="179" s="1"/>
  <c r="H37" i="179"/>
  <c r="I50" i="125"/>
  <c r="I35" i="179" s="1"/>
  <c r="H35" i="179"/>
  <c r="K15" i="188"/>
  <c r="K16" i="188"/>
  <c r="K30" i="188"/>
  <c r="K21" i="188"/>
  <c r="K36" i="188"/>
  <c r="K22" i="188"/>
  <c r="K17" i="188"/>
  <c r="K20" i="188"/>
  <c r="K25" i="188"/>
  <c r="K38" i="188"/>
  <c r="K50" i="188"/>
  <c r="H50" i="188"/>
  <c r="K23" i="188"/>
  <c r="K18" i="188"/>
  <c r="K26" i="188"/>
  <c r="K40" i="188"/>
  <c r="K32" i="188"/>
  <c r="K35" i="188"/>
  <c r="K31" i="188"/>
  <c r="K27" i="188"/>
  <c r="K39" i="188"/>
  <c r="K37" i="188"/>
  <c r="K19" i="188"/>
  <c r="K24" i="188"/>
  <c r="K46" i="188"/>
  <c r="K28" i="188"/>
  <c r="K29" i="188"/>
  <c r="K33" i="188"/>
  <c r="K34" i="188"/>
  <c r="K47" i="188"/>
  <c r="K48" i="188"/>
  <c r="H38" i="72"/>
  <c r="J38" i="72"/>
  <c r="J26" i="72"/>
  <c r="J31" i="72"/>
  <c r="J28" i="72"/>
  <c r="J14" i="72"/>
  <c r="J15" i="72"/>
  <c r="J24" i="72"/>
  <c r="J19" i="72"/>
  <c r="J29" i="72"/>
  <c r="J21" i="72"/>
  <c r="J30" i="72"/>
  <c r="J13" i="72"/>
  <c r="J22" i="72"/>
  <c r="J17" i="72"/>
  <c r="J25" i="72"/>
  <c r="J32" i="72"/>
  <c r="J33" i="72"/>
  <c r="J18" i="72"/>
  <c r="J16" i="72"/>
  <c r="J20" i="72"/>
  <c r="J23" i="72"/>
  <c r="J34" i="72"/>
  <c r="J27" i="72"/>
  <c r="J35" i="72"/>
  <c r="J36" i="72"/>
  <c r="J19" i="170"/>
  <c r="J17" i="170"/>
  <c r="J21" i="170"/>
  <c r="H38" i="170"/>
  <c r="J32" i="170"/>
  <c r="J38" i="170"/>
  <c r="J18" i="170"/>
  <c r="J26" i="170"/>
  <c r="J28" i="170"/>
  <c r="J13" i="170"/>
  <c r="J22" i="170"/>
  <c r="J14" i="170"/>
  <c r="J29" i="170"/>
  <c r="J25" i="170"/>
  <c r="J31" i="170"/>
  <c r="J30" i="170"/>
  <c r="J24" i="170"/>
  <c r="J33" i="170"/>
  <c r="J15" i="170"/>
  <c r="J16" i="170"/>
  <c r="J20" i="170"/>
  <c r="J23" i="170"/>
  <c r="J27" i="170"/>
  <c r="J34" i="170"/>
  <c r="J35" i="170"/>
  <c r="J36" i="170"/>
  <c r="K22" i="127"/>
  <c r="H50" i="127"/>
  <c r="K20" i="127"/>
  <c r="K26" i="127"/>
  <c r="K31" i="127"/>
  <c r="K17" i="127"/>
  <c r="K23" i="127"/>
  <c r="K35" i="127"/>
  <c r="K27" i="127"/>
  <c r="K25" i="127"/>
  <c r="K21" i="127"/>
  <c r="K32" i="127"/>
  <c r="K39" i="127"/>
  <c r="K30" i="127"/>
  <c r="K37" i="127"/>
  <c r="K40" i="127"/>
  <c r="K38" i="127"/>
  <c r="K50" i="127"/>
  <c r="K36" i="127"/>
  <c r="K15" i="127"/>
  <c r="K16" i="127"/>
  <c r="K18" i="127"/>
  <c r="K19" i="127"/>
  <c r="K24" i="127"/>
  <c r="K29" i="127"/>
  <c r="K46" i="127"/>
  <c r="K28" i="127"/>
  <c r="K47" i="127"/>
  <c r="K34" i="127"/>
  <c r="K33" i="127"/>
  <c r="K48" i="127"/>
  <c r="J37" i="72"/>
  <c r="I50" i="127" l="1"/>
  <c r="I38" i="179" s="1"/>
  <c r="H38" i="179"/>
  <c r="I50" i="188"/>
  <c r="I36" i="179" s="1"/>
  <c r="H36" i="179"/>
  <c r="H28" i="7"/>
  <c r="I38" i="72"/>
  <c r="I28" i="7" s="1"/>
  <c r="H30" i="7"/>
  <c r="I38" i="170"/>
  <c r="I30" i="7" s="1"/>
  <c r="S15" i="3" l="1"/>
  <c r="F20" i="81" l="1"/>
  <c r="G20" i="81" s="1"/>
  <c r="F19" i="146"/>
  <c r="G19" i="146" s="1"/>
  <c r="F19" i="148"/>
  <c r="G19" i="148" s="1"/>
  <c r="F19" i="199"/>
  <c r="G19" i="199" s="1"/>
  <c r="F20" i="173"/>
  <c r="G20" i="173" s="1"/>
  <c r="F20" i="79"/>
  <c r="G20" i="79" s="1"/>
  <c r="G23" i="173" l="1"/>
  <c r="H20" i="173"/>
  <c r="I20" i="173" s="1"/>
  <c r="H20" i="79"/>
  <c r="I20" i="79" s="1"/>
  <c r="G23" i="79"/>
  <c r="G23" i="199"/>
  <c r="H19" i="199"/>
  <c r="I19" i="199" s="1"/>
  <c r="G23" i="146"/>
  <c r="H19" i="146"/>
  <c r="I19" i="146" s="1"/>
  <c r="G23" i="81"/>
  <c r="H20" i="81"/>
  <c r="I20" i="81" s="1"/>
  <c r="H19" i="148"/>
  <c r="I19" i="148" s="1"/>
  <c r="G23" i="148"/>
  <c r="G27" i="146" l="1"/>
  <c r="G34" i="146"/>
  <c r="G37" i="146" s="1"/>
  <c r="H23" i="146"/>
  <c r="G27" i="81"/>
  <c r="G34" i="81"/>
  <c r="G37" i="81" s="1"/>
  <c r="H23" i="81"/>
  <c r="G27" i="79"/>
  <c r="H23" i="79"/>
  <c r="G34" i="79"/>
  <c r="G37" i="79" s="1"/>
  <c r="G34" i="173"/>
  <c r="G37" i="173" s="1"/>
  <c r="G27" i="173"/>
  <c r="H23" i="173"/>
  <c r="G34" i="199"/>
  <c r="G37" i="199" s="1"/>
  <c r="G27" i="199"/>
  <c r="H23" i="199"/>
  <c r="H23" i="148"/>
  <c r="G27" i="148"/>
  <c r="G34" i="148"/>
  <c r="G37" i="148" s="1"/>
  <c r="H27" i="199" l="1"/>
  <c r="I27" i="199" s="1"/>
  <c r="H27" i="173"/>
  <c r="I27" i="173" s="1"/>
  <c r="I23" i="79"/>
  <c r="G44" i="7" s="1"/>
  <c r="F44" i="7"/>
  <c r="H34" i="173"/>
  <c r="I34" i="173" s="1"/>
  <c r="G35" i="173"/>
  <c r="H27" i="79"/>
  <c r="I27" i="79" s="1"/>
  <c r="H27" i="81"/>
  <c r="I27" i="81" s="1"/>
  <c r="H27" i="146"/>
  <c r="I27" i="146" s="1"/>
  <c r="H27" i="148"/>
  <c r="I27" i="148" s="1"/>
  <c r="H34" i="81"/>
  <c r="I34" i="81" s="1"/>
  <c r="G35" i="81"/>
  <c r="G35" i="146"/>
  <c r="G36" i="146" s="1"/>
  <c r="H34" i="146"/>
  <c r="I34" i="146" s="1"/>
  <c r="F18" i="179"/>
  <c r="I23" i="148"/>
  <c r="G18" i="179" s="1"/>
  <c r="G35" i="199"/>
  <c r="G36" i="199" s="1"/>
  <c r="H34" i="199"/>
  <c r="I34" i="199" s="1"/>
  <c r="H34" i="148"/>
  <c r="I34" i="148" s="1"/>
  <c r="G35" i="148"/>
  <c r="G36" i="148" s="1"/>
  <c r="F17" i="179"/>
  <c r="I23" i="199"/>
  <c r="G17" i="179" s="1"/>
  <c r="I23" i="173"/>
  <c r="G45" i="7" s="1"/>
  <c r="F45" i="7"/>
  <c r="G35" i="79"/>
  <c r="G36" i="79" s="1"/>
  <c r="H34" i="79"/>
  <c r="I34" i="79" s="1"/>
  <c r="I23" i="81"/>
  <c r="G46" i="7" s="1"/>
  <c r="F46" i="7"/>
  <c r="F16" i="179"/>
  <c r="I23" i="146"/>
  <c r="G16" i="179" s="1"/>
  <c r="H37" i="199" l="1"/>
  <c r="I37" i="199" s="1"/>
  <c r="H36" i="199"/>
  <c r="H36" i="79"/>
  <c r="I36" i="79" s="1"/>
  <c r="H37" i="79"/>
  <c r="I37" i="79" s="1"/>
  <c r="H37" i="148"/>
  <c r="I37" i="148" s="1"/>
  <c r="H36" i="148"/>
  <c r="H36" i="146"/>
  <c r="H37" i="146"/>
  <c r="I37" i="146" s="1"/>
  <c r="H35" i="146"/>
  <c r="I35" i="146" s="1"/>
  <c r="H35" i="79"/>
  <c r="I35" i="79" s="1"/>
  <c r="H35" i="199"/>
  <c r="I35" i="199" s="1"/>
  <c r="G36" i="81"/>
  <c r="H35" i="81"/>
  <c r="I35" i="81" s="1"/>
  <c r="G36" i="173"/>
  <c r="H35" i="173"/>
  <c r="I35" i="173" s="1"/>
  <c r="H35" i="148"/>
  <c r="I35" i="148" s="1"/>
  <c r="I36" i="148" l="1"/>
  <c r="I36" i="199"/>
  <c r="H36" i="173"/>
  <c r="I36" i="173" s="1"/>
  <c r="I36" i="146"/>
  <c r="H37" i="81"/>
  <c r="I37" i="81" s="1"/>
  <c r="H36" i="81"/>
  <c r="I36" i="81" s="1"/>
  <c r="G38" i="146"/>
  <c r="G38" i="148"/>
  <c r="G38" i="79"/>
  <c r="G38" i="199"/>
  <c r="G38" i="81" l="1"/>
  <c r="J36" i="81" s="1"/>
  <c r="J37" i="199"/>
  <c r="J21" i="199"/>
  <c r="J30" i="199"/>
  <c r="J28" i="199"/>
  <c r="J14" i="199"/>
  <c r="J16" i="199"/>
  <c r="J18" i="199"/>
  <c r="J24" i="199"/>
  <c r="J32" i="199"/>
  <c r="J38" i="199"/>
  <c r="H38" i="199"/>
  <c r="J20" i="199"/>
  <c r="J31" i="199"/>
  <c r="J29" i="199"/>
  <c r="J26" i="199"/>
  <c r="J25" i="199"/>
  <c r="J33" i="199"/>
  <c r="J15" i="199"/>
  <c r="J17" i="199"/>
  <c r="J22" i="199"/>
  <c r="J13" i="199"/>
  <c r="J19" i="199"/>
  <c r="J23" i="199"/>
  <c r="J34" i="199"/>
  <c r="J27" i="199"/>
  <c r="J35" i="199"/>
  <c r="J36" i="199"/>
  <c r="J37" i="148"/>
  <c r="J18" i="148"/>
  <c r="J32" i="148"/>
  <c r="J30" i="148"/>
  <c r="J38" i="148"/>
  <c r="H38" i="148"/>
  <c r="J13" i="148"/>
  <c r="J15" i="148"/>
  <c r="J17" i="148"/>
  <c r="J33" i="148"/>
  <c r="J29" i="148"/>
  <c r="J26" i="148"/>
  <c r="J22" i="148"/>
  <c r="J20" i="148"/>
  <c r="J21" i="148"/>
  <c r="J16" i="148"/>
  <c r="J28" i="148"/>
  <c r="J31" i="148"/>
  <c r="J14" i="148"/>
  <c r="J24" i="148"/>
  <c r="J25" i="148"/>
  <c r="J19" i="148"/>
  <c r="J23" i="148"/>
  <c r="J34" i="148"/>
  <c r="J27" i="148"/>
  <c r="J36" i="148"/>
  <c r="J35" i="148"/>
  <c r="H37" i="173"/>
  <c r="I37" i="173" s="1"/>
  <c r="J37" i="79"/>
  <c r="J32" i="79"/>
  <c r="J18" i="79"/>
  <c r="J24" i="79"/>
  <c r="J17" i="79"/>
  <c r="J31" i="79"/>
  <c r="J29" i="79"/>
  <c r="J16" i="79"/>
  <c r="J21" i="79"/>
  <c r="J38" i="79"/>
  <c r="J25" i="79"/>
  <c r="J14" i="79"/>
  <c r="J30" i="79"/>
  <c r="J19" i="79"/>
  <c r="H38" i="79"/>
  <c r="J22" i="79"/>
  <c r="J15" i="79"/>
  <c r="J26" i="79"/>
  <c r="J13" i="79"/>
  <c r="J28" i="79"/>
  <c r="J33" i="79"/>
  <c r="J20" i="79"/>
  <c r="J23" i="79"/>
  <c r="J34" i="79"/>
  <c r="J27" i="79"/>
  <c r="J35" i="79"/>
  <c r="J36" i="79"/>
  <c r="J37" i="146"/>
  <c r="J18" i="146"/>
  <c r="J20" i="146"/>
  <c r="J22" i="146"/>
  <c r="J14" i="146"/>
  <c r="J24" i="146"/>
  <c r="J17" i="146"/>
  <c r="J25" i="146"/>
  <c r="J16" i="146"/>
  <c r="J29" i="146"/>
  <c r="J15" i="146"/>
  <c r="J21" i="146"/>
  <c r="J32" i="146"/>
  <c r="J31" i="146"/>
  <c r="J33" i="146"/>
  <c r="J30" i="146"/>
  <c r="H38" i="146"/>
  <c r="J38" i="146"/>
  <c r="J26" i="146"/>
  <c r="J28" i="146"/>
  <c r="J13" i="146"/>
  <c r="J19" i="146"/>
  <c r="J23" i="146"/>
  <c r="J34" i="146"/>
  <c r="J27" i="146"/>
  <c r="J36" i="146"/>
  <c r="J35" i="146"/>
  <c r="G38" i="173"/>
  <c r="J37" i="173" s="1"/>
  <c r="J20" i="81" l="1"/>
  <c r="J17" i="81"/>
  <c r="J38" i="81"/>
  <c r="J19" i="81"/>
  <c r="J13" i="81"/>
  <c r="J33" i="81"/>
  <c r="J34" i="81"/>
  <c r="J26" i="81"/>
  <c r="J22" i="81"/>
  <c r="J35" i="81"/>
  <c r="J18" i="81"/>
  <c r="J30" i="81"/>
  <c r="J32" i="81"/>
  <c r="J24" i="81"/>
  <c r="J23" i="81"/>
  <c r="J29" i="81"/>
  <c r="J31" i="81"/>
  <c r="J15" i="81"/>
  <c r="J14" i="81"/>
  <c r="I38" i="148"/>
  <c r="I18" i="179" s="1"/>
  <c r="H18" i="179"/>
  <c r="I38" i="199"/>
  <c r="I17" i="179" s="1"/>
  <c r="H17" i="179"/>
  <c r="I38" i="146"/>
  <c r="I16" i="179" s="1"/>
  <c r="H16" i="179"/>
  <c r="J27" i="81"/>
  <c r="J25" i="81"/>
  <c r="H38" i="81"/>
  <c r="H46" i="7" s="1"/>
  <c r="J21" i="81"/>
  <c r="J16" i="81"/>
  <c r="J28" i="81"/>
  <c r="J37" i="81"/>
  <c r="I38" i="79"/>
  <c r="I44" i="7" s="1"/>
  <c r="H44" i="7"/>
  <c r="J35" i="173"/>
  <c r="J24" i="173"/>
  <c r="J26" i="173"/>
  <c r="J30" i="173"/>
  <c r="J22" i="173"/>
  <c r="J15" i="173"/>
  <c r="J25" i="173"/>
  <c r="J29" i="173"/>
  <c r="J21" i="173"/>
  <c r="J19" i="173"/>
  <c r="J13" i="173"/>
  <c r="J33" i="173"/>
  <c r="J14" i="173"/>
  <c r="J28" i="173"/>
  <c r="J17" i="173"/>
  <c r="H38" i="173"/>
  <c r="J16" i="173"/>
  <c r="J31" i="173"/>
  <c r="J32" i="173"/>
  <c r="J38" i="173"/>
  <c r="J18" i="173"/>
  <c r="J20" i="173"/>
  <c r="J23" i="173"/>
  <c r="J34" i="173"/>
  <c r="J27" i="173"/>
  <c r="J36" i="173"/>
  <c r="I38" i="81" l="1"/>
  <c r="I46" i="7" s="1"/>
  <c r="H45" i="7"/>
  <c r="I38" i="173"/>
  <c r="I45" i="7" s="1"/>
  <c r="G21" i="3" l="1"/>
  <c r="J18" i="3"/>
  <c r="G18" i="3"/>
  <c r="J17" i="3"/>
  <c r="G17" i="3"/>
  <c r="C16" i="120" l="1"/>
  <c r="D16" i="120" s="1"/>
  <c r="C16" i="119"/>
  <c r="D16" i="119" s="1"/>
  <c r="C16" i="121"/>
  <c r="D16" i="121" s="1"/>
  <c r="C18" i="119"/>
  <c r="D18" i="119" s="1"/>
  <c r="C18" i="120"/>
  <c r="D18" i="120" s="1"/>
  <c r="C18" i="121"/>
  <c r="D18" i="121" s="1"/>
  <c r="C21" i="116"/>
  <c r="D21" i="116" s="1"/>
  <c r="D24" i="116" s="1"/>
  <c r="C21" i="186"/>
  <c r="D21" i="186" s="1"/>
  <c r="D24" i="186" s="1"/>
  <c r="C21" i="118"/>
  <c r="D21" i="118" s="1"/>
  <c r="D24" i="118" s="1"/>
  <c r="C21" i="117"/>
  <c r="D21" i="117" s="1"/>
  <c r="D24" i="117" s="1"/>
  <c r="G20" i="3"/>
  <c r="J20" i="3"/>
  <c r="J21" i="3"/>
  <c r="D20" i="120" l="1"/>
  <c r="D46" i="116"/>
  <c r="D29" i="116"/>
  <c r="D34" i="116" s="1"/>
  <c r="D28" i="116"/>
  <c r="D33" i="116" s="1"/>
  <c r="D41" i="116"/>
  <c r="D41" i="117"/>
  <c r="D28" i="117"/>
  <c r="D33" i="117" s="1"/>
  <c r="D46" i="117"/>
  <c r="D29" i="117"/>
  <c r="D34" i="117" s="1"/>
  <c r="D46" i="118"/>
  <c r="D28" i="118"/>
  <c r="D33" i="118" s="1"/>
  <c r="D29" i="118"/>
  <c r="D34" i="118" s="1"/>
  <c r="D41" i="118"/>
  <c r="D20" i="121"/>
  <c r="D29" i="186"/>
  <c r="D34" i="186" s="1"/>
  <c r="D28" i="186"/>
  <c r="D33" i="186" s="1"/>
  <c r="D41" i="186"/>
  <c r="D46" i="186"/>
  <c r="D20" i="119"/>
  <c r="D31" i="120"/>
  <c r="D24" i="120"/>
  <c r="D47" i="117" l="1"/>
  <c r="D48" i="117" s="1"/>
  <c r="D49" i="117"/>
  <c r="D47" i="118"/>
  <c r="D48" i="118" s="1"/>
  <c r="D49" i="118"/>
  <c r="D42" i="186"/>
  <c r="D43" i="186" s="1"/>
  <c r="D44" i="186"/>
  <c r="D42" i="118"/>
  <c r="D43" i="118" s="1"/>
  <c r="D44" i="118"/>
  <c r="D42" i="117"/>
  <c r="D43" i="117" s="1"/>
  <c r="D44" i="117"/>
  <c r="D47" i="116"/>
  <c r="D48" i="116" s="1"/>
  <c r="D49" i="116"/>
  <c r="D47" i="186"/>
  <c r="D48" i="186" s="1"/>
  <c r="D49" i="186"/>
  <c r="D32" i="120"/>
  <c r="D33" i="120" s="1"/>
  <c r="D34" i="120"/>
  <c r="D42" i="116"/>
  <c r="D43" i="116" s="1"/>
  <c r="D44" i="116"/>
  <c r="D24" i="119"/>
  <c r="D31" i="119"/>
  <c r="D24" i="121"/>
  <c r="D31" i="121"/>
  <c r="D50" i="186" l="1"/>
  <c r="E8" i="179" s="1"/>
  <c r="D45" i="186"/>
  <c r="D45" i="116"/>
  <c r="D45" i="117"/>
  <c r="D50" i="117"/>
  <c r="E9" i="179" s="1"/>
  <c r="D32" i="119"/>
  <c r="D33" i="119" s="1"/>
  <c r="D34" i="119"/>
  <c r="D35" i="120"/>
  <c r="E12" i="179" s="1"/>
  <c r="D50" i="116"/>
  <c r="E7" i="179" s="1"/>
  <c r="D45" i="118"/>
  <c r="D50" i="118"/>
  <c r="E10" i="179" s="1"/>
  <c r="D32" i="121"/>
  <c r="D33" i="121" s="1"/>
  <c r="D34" i="121"/>
  <c r="Q17" i="3"/>
  <c r="S17" i="3"/>
  <c r="Q21" i="3"/>
  <c r="S21" i="3"/>
  <c r="Q18" i="3"/>
  <c r="S18" i="3"/>
  <c r="D35" i="119" l="1"/>
  <c r="E11" i="179" s="1"/>
  <c r="D35" i="121"/>
  <c r="E13" i="179" s="1"/>
  <c r="F16" i="119"/>
  <c r="G16" i="119" s="1"/>
  <c r="F16" i="121"/>
  <c r="G16" i="121" s="1"/>
  <c r="F16" i="120"/>
  <c r="G16" i="120" s="1"/>
  <c r="F19" i="118"/>
  <c r="G19" i="118" s="1"/>
  <c r="F19" i="116"/>
  <c r="G19" i="116" s="1"/>
  <c r="F19" i="117"/>
  <c r="G19" i="117" s="1"/>
  <c r="F19" i="186"/>
  <c r="G19" i="186" s="1"/>
  <c r="F18" i="136"/>
  <c r="G18" i="136" s="1"/>
  <c r="F18" i="137"/>
  <c r="G18" i="137" s="1"/>
  <c r="F18" i="139"/>
  <c r="G18" i="139" s="1"/>
  <c r="F18" i="138"/>
  <c r="G18" i="138" s="1"/>
  <c r="F18" i="135"/>
  <c r="G18" i="135" s="1"/>
  <c r="F18" i="134"/>
  <c r="G18" i="134" s="1"/>
  <c r="F18" i="119"/>
  <c r="G18" i="119" s="1"/>
  <c r="F18" i="120"/>
  <c r="G18" i="120" s="1"/>
  <c r="F18" i="121"/>
  <c r="G18" i="121" s="1"/>
  <c r="F16" i="139"/>
  <c r="G16" i="139" s="1"/>
  <c r="F16" i="134"/>
  <c r="G16" i="134" s="1"/>
  <c r="F16" i="135"/>
  <c r="G16" i="135" s="1"/>
  <c r="F16" i="138"/>
  <c r="G16" i="138" s="1"/>
  <c r="F16" i="136"/>
  <c r="G16" i="136" s="1"/>
  <c r="F16" i="137"/>
  <c r="G16" i="137" s="1"/>
  <c r="F21" i="117"/>
  <c r="G21" i="117" s="1"/>
  <c r="F21" i="118"/>
  <c r="G21" i="118" s="1"/>
  <c r="F21" i="186"/>
  <c r="G21" i="186" s="1"/>
  <c r="F21" i="116"/>
  <c r="G21" i="116" s="1"/>
  <c r="H21" i="116" l="1"/>
  <c r="I21" i="116" s="1"/>
  <c r="H16" i="135"/>
  <c r="I16" i="135" s="1"/>
  <c r="G21" i="135"/>
  <c r="H18" i="121"/>
  <c r="I18" i="121" s="1"/>
  <c r="H18" i="134"/>
  <c r="I18" i="134" s="1"/>
  <c r="H19" i="186"/>
  <c r="I19" i="186" s="1"/>
  <c r="G24" i="186"/>
  <c r="H21" i="186"/>
  <c r="I21" i="186" s="1"/>
  <c r="H16" i="137"/>
  <c r="I16" i="137" s="1"/>
  <c r="G21" i="137"/>
  <c r="H16" i="134"/>
  <c r="I16" i="134" s="1"/>
  <c r="G21" i="134"/>
  <c r="H18" i="120"/>
  <c r="I18" i="120" s="1"/>
  <c r="H18" i="135"/>
  <c r="I18" i="135" s="1"/>
  <c r="H18" i="139"/>
  <c r="I18" i="139" s="1"/>
  <c r="G24" i="117"/>
  <c r="H19" i="117"/>
  <c r="I19" i="117" s="1"/>
  <c r="G20" i="120"/>
  <c r="H16" i="120"/>
  <c r="I16" i="120" s="1"/>
  <c r="H21" i="118"/>
  <c r="I21" i="118" s="1"/>
  <c r="G21" i="136"/>
  <c r="H16" i="136"/>
  <c r="I16" i="136" s="1"/>
  <c r="H18" i="119"/>
  <c r="I18" i="119" s="1"/>
  <c r="H18" i="137"/>
  <c r="I18" i="137" s="1"/>
  <c r="G24" i="116"/>
  <c r="H19" i="116"/>
  <c r="I19" i="116" s="1"/>
  <c r="G20" i="121"/>
  <c r="H16" i="121"/>
  <c r="I16" i="121" s="1"/>
  <c r="H21" i="117"/>
  <c r="I21" i="117" s="1"/>
  <c r="H16" i="138"/>
  <c r="I16" i="138" s="1"/>
  <c r="G21" i="138"/>
  <c r="H16" i="139"/>
  <c r="I16" i="139" s="1"/>
  <c r="G21" i="139"/>
  <c r="H18" i="138"/>
  <c r="I18" i="138" s="1"/>
  <c r="H18" i="136"/>
  <c r="I18" i="136" s="1"/>
  <c r="H19" i="118"/>
  <c r="I19" i="118" s="1"/>
  <c r="G24" i="118"/>
  <c r="H16" i="119"/>
  <c r="I16" i="119" s="1"/>
  <c r="G20" i="119"/>
  <c r="G31" i="121" l="1"/>
  <c r="G34" i="121" s="1"/>
  <c r="G24" i="121"/>
  <c r="H20" i="121"/>
  <c r="G41" i="116"/>
  <c r="G44" i="116" s="1"/>
  <c r="G28" i="116"/>
  <c r="H24" i="116"/>
  <c r="G29" i="116"/>
  <c r="G46" i="116"/>
  <c r="G49" i="116" s="1"/>
  <c r="H21" i="136"/>
  <c r="G25" i="136"/>
  <c r="G32" i="136"/>
  <c r="G35" i="136" s="1"/>
  <c r="G32" i="135"/>
  <c r="G35" i="135" s="1"/>
  <c r="H21" i="135"/>
  <c r="G25" i="135"/>
  <c r="H20" i="119"/>
  <c r="G24" i="119"/>
  <c r="G31" i="119"/>
  <c r="G34" i="119" s="1"/>
  <c r="G41" i="118"/>
  <c r="G44" i="118" s="1"/>
  <c r="G46" i="118"/>
  <c r="G49" i="118" s="1"/>
  <c r="H24" i="118"/>
  <c r="G28" i="118"/>
  <c r="G29" i="118"/>
  <c r="G32" i="138"/>
  <c r="G35" i="138" s="1"/>
  <c r="H21" i="138"/>
  <c r="G25" i="138"/>
  <c r="H21" i="137"/>
  <c r="G32" i="137"/>
  <c r="G35" i="137" s="1"/>
  <c r="G25" i="137"/>
  <c r="G25" i="139"/>
  <c r="H21" i="139"/>
  <c r="G32" i="139"/>
  <c r="G35" i="139" s="1"/>
  <c r="G31" i="120"/>
  <c r="G34" i="120" s="1"/>
  <c r="G24" i="120"/>
  <c r="H20" i="120"/>
  <c r="G41" i="117"/>
  <c r="G44" i="117" s="1"/>
  <c r="G28" i="117"/>
  <c r="G46" i="117"/>
  <c r="G49" i="117" s="1"/>
  <c r="G29" i="117"/>
  <c r="H24" i="117"/>
  <c r="G32" i="134"/>
  <c r="G35" i="134" s="1"/>
  <c r="H21" i="134"/>
  <c r="G25" i="134"/>
  <c r="H24" i="186"/>
  <c r="G29" i="186"/>
  <c r="G28" i="186"/>
  <c r="G46" i="186"/>
  <c r="G49" i="186" s="1"/>
  <c r="G41" i="186"/>
  <c r="G44" i="186" s="1"/>
  <c r="Q20" i="3"/>
  <c r="H28" i="186" l="1"/>
  <c r="I28" i="186" s="1"/>
  <c r="G33" i="186"/>
  <c r="H25" i="134"/>
  <c r="I25" i="134" s="1"/>
  <c r="H28" i="117"/>
  <c r="I28" i="117" s="1"/>
  <c r="G33" i="117"/>
  <c r="H24" i="120"/>
  <c r="I24" i="120" s="1"/>
  <c r="F45" i="179"/>
  <c r="I21" i="139"/>
  <c r="G45" i="179" s="1"/>
  <c r="H32" i="137"/>
  <c r="I32" i="137" s="1"/>
  <c r="G33" i="137"/>
  <c r="G34" i="137" s="1"/>
  <c r="F44" i="179"/>
  <c r="I21" i="138"/>
  <c r="G44" i="179" s="1"/>
  <c r="H29" i="118"/>
  <c r="I29" i="118" s="1"/>
  <c r="G34" i="118"/>
  <c r="H41" i="118"/>
  <c r="I41" i="118" s="1"/>
  <c r="G42" i="118"/>
  <c r="G43" i="118" s="1"/>
  <c r="F11" i="179"/>
  <c r="I20" i="119"/>
  <c r="G11" i="179" s="1"/>
  <c r="H32" i="135"/>
  <c r="I32" i="135" s="1"/>
  <c r="G33" i="135"/>
  <c r="G34" i="135" s="1"/>
  <c r="F30" i="179"/>
  <c r="I21" i="136"/>
  <c r="G30" i="179" s="1"/>
  <c r="H29" i="116"/>
  <c r="I29" i="116" s="1"/>
  <c r="G34" i="116"/>
  <c r="G34" i="186"/>
  <c r="H29" i="186"/>
  <c r="I29" i="186" s="1"/>
  <c r="F28" i="179"/>
  <c r="I21" i="134"/>
  <c r="G28" i="179" s="1"/>
  <c r="I24" i="117"/>
  <c r="G9" i="179" s="1"/>
  <c r="F9" i="179"/>
  <c r="G42" i="117"/>
  <c r="G43" i="117" s="1"/>
  <c r="H41" i="117"/>
  <c r="I41" i="117" s="1"/>
  <c r="H31" i="120"/>
  <c r="I31" i="120" s="1"/>
  <c r="G32" i="120"/>
  <c r="G33" i="120" s="1"/>
  <c r="H25" i="139"/>
  <c r="I25" i="139" s="1"/>
  <c r="I21" i="137"/>
  <c r="G43" i="179" s="1"/>
  <c r="F43" i="179"/>
  <c r="H32" i="138"/>
  <c r="I32" i="138" s="1"/>
  <c r="G33" i="138"/>
  <c r="G33" i="118"/>
  <c r="H28" i="118"/>
  <c r="I28" i="118" s="1"/>
  <c r="F7" i="179"/>
  <c r="I24" i="116"/>
  <c r="G7" i="179" s="1"/>
  <c r="F13" i="179"/>
  <c r="I20" i="121"/>
  <c r="G13" i="179" s="1"/>
  <c r="F19" i="131"/>
  <c r="G19" i="131" s="1"/>
  <c r="F19" i="190"/>
  <c r="G19" i="190" s="1"/>
  <c r="F19" i="189"/>
  <c r="G19" i="189" s="1"/>
  <c r="F19" i="129"/>
  <c r="G19" i="129" s="1"/>
  <c r="F19" i="128"/>
  <c r="G19" i="128" s="1"/>
  <c r="F19" i="130"/>
  <c r="G19" i="130" s="1"/>
  <c r="F19" i="132"/>
  <c r="G19" i="132" s="1"/>
  <c r="F19" i="133"/>
  <c r="G19" i="133" s="1"/>
  <c r="H41" i="186"/>
  <c r="I41" i="186" s="1"/>
  <c r="G42" i="186"/>
  <c r="G43" i="186" s="1"/>
  <c r="I24" i="186"/>
  <c r="G8" i="179" s="1"/>
  <c r="F8" i="179"/>
  <c r="G33" i="134"/>
  <c r="G34" i="134" s="1"/>
  <c r="H32" i="134"/>
  <c r="I32" i="134" s="1"/>
  <c r="H29" i="117"/>
  <c r="I29" i="117" s="1"/>
  <c r="G34" i="117"/>
  <c r="I24" i="118"/>
  <c r="G10" i="179" s="1"/>
  <c r="F10" i="179"/>
  <c r="H31" i="119"/>
  <c r="I31" i="119" s="1"/>
  <c r="G32" i="119"/>
  <c r="G33" i="119" s="1"/>
  <c r="H25" i="135"/>
  <c r="I25" i="135" s="1"/>
  <c r="H32" i="136"/>
  <c r="I32" i="136" s="1"/>
  <c r="G33" i="136"/>
  <c r="G34" i="136" s="1"/>
  <c r="H28" i="116"/>
  <c r="I28" i="116" s="1"/>
  <c r="G33" i="116"/>
  <c r="H24" i="121"/>
  <c r="I24" i="121" s="1"/>
  <c r="H46" i="186"/>
  <c r="I46" i="186" s="1"/>
  <c r="G47" i="186"/>
  <c r="G48" i="186" s="1"/>
  <c r="G47" i="117"/>
  <c r="G48" i="117" s="1"/>
  <c r="H46" i="117"/>
  <c r="I46" i="117" s="1"/>
  <c r="F12" i="179"/>
  <c r="I20" i="120"/>
  <c r="G12" i="179" s="1"/>
  <c r="H32" i="139"/>
  <c r="I32" i="139" s="1"/>
  <c r="G33" i="139"/>
  <c r="H25" i="137"/>
  <c r="I25" i="137" s="1"/>
  <c r="H25" i="138"/>
  <c r="I25" i="138" s="1"/>
  <c r="H46" i="118"/>
  <c r="I46" i="118" s="1"/>
  <c r="G47" i="118"/>
  <c r="H24" i="119"/>
  <c r="I24" i="119" s="1"/>
  <c r="I21" i="135"/>
  <c r="G29" i="179" s="1"/>
  <c r="F29" i="179"/>
  <c r="H25" i="136"/>
  <c r="I25" i="136" s="1"/>
  <c r="H46" i="116"/>
  <c r="I46" i="116" s="1"/>
  <c r="G47" i="116"/>
  <c r="G42" i="116"/>
  <c r="H41" i="116"/>
  <c r="I41" i="116" s="1"/>
  <c r="H31" i="121"/>
  <c r="I31" i="121" s="1"/>
  <c r="G32" i="121"/>
  <c r="G33" i="121" s="1"/>
  <c r="S20" i="3"/>
  <c r="S16" i="3"/>
  <c r="S19" i="3"/>
  <c r="F21" i="122" l="1"/>
  <c r="G21" i="122" s="1"/>
  <c r="F21" i="187"/>
  <c r="G21" i="187" s="1"/>
  <c r="F21" i="124"/>
  <c r="G21" i="124" s="1"/>
  <c r="F21" i="123"/>
  <c r="G21" i="123" s="1"/>
  <c r="F21" i="112"/>
  <c r="G21" i="112" s="1"/>
  <c r="F21" i="115"/>
  <c r="G21" i="115" s="1"/>
  <c r="F21" i="185"/>
  <c r="G21" i="185" s="1"/>
  <c r="F21" i="113"/>
  <c r="G21" i="113" s="1"/>
  <c r="H33" i="119"/>
  <c r="I33" i="119" s="1"/>
  <c r="H34" i="119"/>
  <c r="I34" i="119" s="1"/>
  <c r="H33" i="120"/>
  <c r="I33" i="120" s="1"/>
  <c r="H48" i="117"/>
  <c r="I48" i="117" s="1"/>
  <c r="H49" i="117"/>
  <c r="I49" i="117" s="1"/>
  <c r="H43" i="186"/>
  <c r="I43" i="186" s="1"/>
  <c r="H32" i="121"/>
  <c r="I32" i="121" s="1"/>
  <c r="G43" i="116"/>
  <c r="H42" i="116"/>
  <c r="I42" i="116" s="1"/>
  <c r="H47" i="118"/>
  <c r="I47" i="118" s="1"/>
  <c r="H48" i="186"/>
  <c r="I48" i="186" s="1"/>
  <c r="H33" i="134"/>
  <c r="I33" i="134" s="1"/>
  <c r="H19" i="128"/>
  <c r="I19" i="128" s="1"/>
  <c r="H19" i="131"/>
  <c r="I19" i="131" s="1"/>
  <c r="H33" i="118"/>
  <c r="I33" i="118" s="1"/>
  <c r="H33" i="135"/>
  <c r="I33" i="135" s="1"/>
  <c r="H33" i="137"/>
  <c r="I33" i="137" s="1"/>
  <c r="H33" i="117"/>
  <c r="I33" i="117" s="1"/>
  <c r="H47" i="186"/>
  <c r="I47" i="186" s="1"/>
  <c r="H32" i="119"/>
  <c r="I32" i="119" s="1"/>
  <c r="H42" i="186"/>
  <c r="I42" i="186" s="1"/>
  <c r="H19" i="133"/>
  <c r="I19" i="133" s="1"/>
  <c r="H19" i="129"/>
  <c r="I19" i="129" s="1"/>
  <c r="H43" i="117"/>
  <c r="I43" i="117" s="1"/>
  <c r="G45" i="118"/>
  <c r="H43" i="118"/>
  <c r="I43" i="118" s="1"/>
  <c r="G48" i="116"/>
  <c r="H47" i="116"/>
  <c r="I47" i="116" s="1"/>
  <c r="H47" i="117"/>
  <c r="I47" i="117" s="1"/>
  <c r="H34" i="136"/>
  <c r="I34" i="136" s="1"/>
  <c r="H34" i="134"/>
  <c r="I34" i="134" s="1"/>
  <c r="G36" i="134"/>
  <c r="J34" i="134" s="1"/>
  <c r="H19" i="132"/>
  <c r="I19" i="132" s="1"/>
  <c r="H19" i="189"/>
  <c r="I19" i="189" s="1"/>
  <c r="G34" i="138"/>
  <c r="H33" i="138"/>
  <c r="I33" i="138" s="1"/>
  <c r="H32" i="120"/>
  <c r="I32" i="120" s="1"/>
  <c r="H34" i="116"/>
  <c r="I34" i="116" s="1"/>
  <c r="H42" i="118"/>
  <c r="I42" i="118" s="1"/>
  <c r="H34" i="118"/>
  <c r="I34" i="118" s="1"/>
  <c r="H33" i="186"/>
  <c r="I33" i="186" s="1"/>
  <c r="F21" i="130"/>
  <c r="G21" i="130" s="1"/>
  <c r="F21" i="190"/>
  <c r="G21" i="190" s="1"/>
  <c r="F21" i="129"/>
  <c r="G21" i="129" s="1"/>
  <c r="F21" i="132"/>
  <c r="G21" i="132" s="1"/>
  <c r="F21" i="189"/>
  <c r="G21" i="189" s="1"/>
  <c r="F21" i="131"/>
  <c r="G21" i="131" s="1"/>
  <c r="F21" i="128"/>
  <c r="G21" i="128" s="1"/>
  <c r="G24" i="128" s="1"/>
  <c r="F21" i="133"/>
  <c r="G21" i="133" s="1"/>
  <c r="H34" i="121"/>
  <c r="I34" i="121" s="1"/>
  <c r="H33" i="121"/>
  <c r="I33" i="121" s="1"/>
  <c r="G48" i="118"/>
  <c r="G34" i="139"/>
  <c r="H33" i="139"/>
  <c r="I33" i="139" s="1"/>
  <c r="H33" i="116"/>
  <c r="I33" i="116" s="1"/>
  <c r="H33" i="136"/>
  <c r="I33" i="136" s="1"/>
  <c r="H34" i="117"/>
  <c r="I34" i="117" s="1"/>
  <c r="H19" i="130"/>
  <c r="I19" i="130" s="1"/>
  <c r="H19" i="190"/>
  <c r="I19" i="190" s="1"/>
  <c r="H42" i="117"/>
  <c r="I42" i="117" s="1"/>
  <c r="H34" i="186"/>
  <c r="I34" i="186" s="1"/>
  <c r="H34" i="135"/>
  <c r="I34" i="135" s="1"/>
  <c r="G36" i="135"/>
  <c r="H34" i="137"/>
  <c r="I34" i="137" s="1"/>
  <c r="S3" i="3"/>
  <c r="G50" i="117" l="1"/>
  <c r="K34" i="117" s="1"/>
  <c r="F23" i="46"/>
  <c r="G23" i="46" s="1"/>
  <c r="F23" i="47"/>
  <c r="G23" i="47" s="1"/>
  <c r="F23" i="180"/>
  <c r="G23" i="180" s="1"/>
  <c r="F23" i="4"/>
  <c r="G23" i="4" s="1"/>
  <c r="G35" i="119"/>
  <c r="J27" i="119" s="1"/>
  <c r="H21" i="185"/>
  <c r="I21" i="185" s="1"/>
  <c r="G23" i="185"/>
  <c r="H21" i="124"/>
  <c r="I21" i="124" s="1"/>
  <c r="G24" i="124"/>
  <c r="H21" i="123"/>
  <c r="I21" i="123" s="1"/>
  <c r="G24" i="123"/>
  <c r="G35" i="121"/>
  <c r="J33" i="121" s="1"/>
  <c r="H21" i="115"/>
  <c r="I21" i="115" s="1"/>
  <c r="G23" i="115"/>
  <c r="H21" i="187"/>
  <c r="I21" i="187" s="1"/>
  <c r="G24" i="187"/>
  <c r="H21" i="113"/>
  <c r="I21" i="113" s="1"/>
  <c r="G23" i="113"/>
  <c r="H21" i="112"/>
  <c r="I21" i="112" s="1"/>
  <c r="G23" i="112"/>
  <c r="H21" i="122"/>
  <c r="I21" i="122" s="1"/>
  <c r="G24" i="122"/>
  <c r="J14" i="135"/>
  <c r="J29" i="135"/>
  <c r="J22" i="135"/>
  <c r="J36" i="135"/>
  <c r="J28" i="135"/>
  <c r="J19" i="135"/>
  <c r="J13" i="135"/>
  <c r="H36" i="135"/>
  <c r="J26" i="135"/>
  <c r="J27" i="135"/>
  <c r="J24" i="135"/>
  <c r="J20" i="135"/>
  <c r="J31" i="135"/>
  <c r="J15" i="135"/>
  <c r="J23" i="135"/>
  <c r="J17" i="135"/>
  <c r="J30" i="135"/>
  <c r="J16" i="135"/>
  <c r="J18" i="135"/>
  <c r="J21" i="135"/>
  <c r="J32" i="135"/>
  <c r="J25" i="135"/>
  <c r="J34" i="135"/>
  <c r="J33" i="135"/>
  <c r="J36" i="118"/>
  <c r="J45" i="118"/>
  <c r="J35" i="118"/>
  <c r="J26" i="118"/>
  <c r="H45" i="118"/>
  <c r="I45" i="118" s="1"/>
  <c r="J25" i="118"/>
  <c r="J40" i="118"/>
  <c r="J31" i="118"/>
  <c r="J18" i="118"/>
  <c r="J22" i="118"/>
  <c r="J38" i="118"/>
  <c r="J30" i="118"/>
  <c r="J12" i="118"/>
  <c r="J39" i="118"/>
  <c r="J37" i="118"/>
  <c r="J27" i="118"/>
  <c r="J23" i="118"/>
  <c r="J14" i="118"/>
  <c r="J13" i="118"/>
  <c r="J32" i="118"/>
  <c r="J20" i="118"/>
  <c r="J21" i="118"/>
  <c r="J19" i="118"/>
  <c r="J24" i="118"/>
  <c r="J28" i="118"/>
  <c r="J29" i="118"/>
  <c r="J41" i="118"/>
  <c r="J43" i="118"/>
  <c r="J34" i="118"/>
  <c r="J33" i="118"/>
  <c r="J42" i="118"/>
  <c r="G41" i="128"/>
  <c r="G44" i="128" s="1"/>
  <c r="G29" i="128"/>
  <c r="G46" i="128"/>
  <c r="G49" i="128" s="1"/>
  <c r="H24" i="128"/>
  <c r="G28" i="128"/>
  <c r="G24" i="131"/>
  <c r="H21" i="131"/>
  <c r="I21" i="131" s="1"/>
  <c r="G24" i="190"/>
  <c r="H21" i="190"/>
  <c r="I21" i="190" s="1"/>
  <c r="G45" i="117"/>
  <c r="H44" i="117"/>
  <c r="I44" i="117" s="1"/>
  <c r="H35" i="135"/>
  <c r="I35" i="135" s="1"/>
  <c r="J35" i="135"/>
  <c r="H21" i="189"/>
  <c r="I21" i="189" s="1"/>
  <c r="G24" i="130"/>
  <c r="H21" i="130"/>
  <c r="I21" i="130" s="1"/>
  <c r="J22" i="134"/>
  <c r="J20" i="134"/>
  <c r="H36" i="134"/>
  <c r="J30" i="134"/>
  <c r="J13" i="134"/>
  <c r="J27" i="134"/>
  <c r="J31" i="134"/>
  <c r="J14" i="134"/>
  <c r="J24" i="134"/>
  <c r="J17" i="134"/>
  <c r="J23" i="134"/>
  <c r="J36" i="134"/>
  <c r="J26" i="134"/>
  <c r="J28" i="134"/>
  <c r="J15" i="134"/>
  <c r="J19" i="134"/>
  <c r="J29" i="134"/>
  <c r="J18" i="134"/>
  <c r="J16" i="134"/>
  <c r="J21" i="134"/>
  <c r="J25" i="134"/>
  <c r="J32" i="134"/>
  <c r="G36" i="136"/>
  <c r="J35" i="136" s="1"/>
  <c r="H35" i="136"/>
  <c r="I35" i="136" s="1"/>
  <c r="J31" i="119"/>
  <c r="G36" i="137"/>
  <c r="J35" i="137" s="1"/>
  <c r="H35" i="137"/>
  <c r="I35" i="137" s="1"/>
  <c r="H34" i="139"/>
  <c r="I34" i="139" s="1"/>
  <c r="H21" i="133"/>
  <c r="I21" i="133" s="1"/>
  <c r="H21" i="132"/>
  <c r="I21" i="132" s="1"/>
  <c r="G24" i="189"/>
  <c r="G24" i="132"/>
  <c r="H35" i="134"/>
  <c r="I35" i="134" s="1"/>
  <c r="J35" i="134"/>
  <c r="H49" i="116"/>
  <c r="I49" i="116" s="1"/>
  <c r="H48" i="116"/>
  <c r="I48" i="116" s="1"/>
  <c r="H44" i="118"/>
  <c r="I44" i="118" s="1"/>
  <c r="J44" i="118"/>
  <c r="G24" i="133"/>
  <c r="J33" i="134"/>
  <c r="G50" i="186"/>
  <c r="H49" i="186"/>
  <c r="I49" i="186" s="1"/>
  <c r="K17" i="117"/>
  <c r="K20" i="117"/>
  <c r="K18" i="117"/>
  <c r="K31" i="117"/>
  <c r="K28" i="117"/>
  <c r="G35" i="120"/>
  <c r="J34" i="120" s="1"/>
  <c r="H34" i="120"/>
  <c r="I34" i="120" s="1"/>
  <c r="H49" i="118"/>
  <c r="I49" i="118" s="1"/>
  <c r="H48" i="118"/>
  <c r="I48" i="118" s="1"/>
  <c r="J27" i="121"/>
  <c r="J21" i="121"/>
  <c r="J29" i="121"/>
  <c r="J20" i="121"/>
  <c r="H21" i="128"/>
  <c r="I21" i="128" s="1"/>
  <c r="G24" i="129"/>
  <c r="H21" i="129"/>
  <c r="I21" i="129" s="1"/>
  <c r="H34" i="138"/>
  <c r="I34" i="138" s="1"/>
  <c r="H44" i="116"/>
  <c r="I44" i="116" s="1"/>
  <c r="H43" i="116"/>
  <c r="I43" i="116" s="1"/>
  <c r="G45" i="186"/>
  <c r="J44" i="186" s="1"/>
  <c r="H44" i="186"/>
  <c r="I44" i="186" s="1"/>
  <c r="J34" i="119" l="1"/>
  <c r="H35" i="119"/>
  <c r="H11" i="179" s="1"/>
  <c r="J14" i="121"/>
  <c r="K40" i="117"/>
  <c r="K15" i="117"/>
  <c r="J31" i="121"/>
  <c r="J19" i="121"/>
  <c r="J23" i="121"/>
  <c r="H35" i="121"/>
  <c r="J34" i="121"/>
  <c r="K21" i="117"/>
  <c r="K25" i="117"/>
  <c r="K27" i="117"/>
  <c r="K50" i="117"/>
  <c r="K30" i="117"/>
  <c r="J16" i="121"/>
  <c r="J15" i="121"/>
  <c r="J26" i="121"/>
  <c r="K24" i="117"/>
  <c r="K38" i="117"/>
  <c r="K23" i="117"/>
  <c r="J24" i="121"/>
  <c r="J35" i="121"/>
  <c r="J28" i="121"/>
  <c r="J22" i="121"/>
  <c r="K29" i="117"/>
  <c r="K19" i="117"/>
  <c r="K36" i="117"/>
  <c r="K16" i="117"/>
  <c r="K32" i="117"/>
  <c r="K49" i="117"/>
  <c r="J32" i="121"/>
  <c r="K47" i="117"/>
  <c r="J28" i="119"/>
  <c r="J18" i="121"/>
  <c r="J13" i="121"/>
  <c r="J25" i="121"/>
  <c r="J30" i="121"/>
  <c r="J17" i="121"/>
  <c r="J14" i="119"/>
  <c r="J22" i="119"/>
  <c r="J23" i="119"/>
  <c r="J18" i="119"/>
  <c r="J13" i="119"/>
  <c r="K46" i="117"/>
  <c r="K37" i="117"/>
  <c r="H50" i="117"/>
  <c r="H9" i="179" s="1"/>
  <c r="K39" i="117"/>
  <c r="K26" i="117"/>
  <c r="K35" i="117"/>
  <c r="K22" i="117"/>
  <c r="J24" i="119"/>
  <c r="J21" i="119"/>
  <c r="J17" i="119"/>
  <c r="G45" i="116"/>
  <c r="J43" i="116" s="1"/>
  <c r="J20" i="119"/>
  <c r="J30" i="119"/>
  <c r="J26" i="119"/>
  <c r="J25" i="119"/>
  <c r="J35" i="119"/>
  <c r="J16" i="119"/>
  <c r="J19" i="119"/>
  <c r="J29" i="119"/>
  <c r="J15" i="119"/>
  <c r="K48" i="117"/>
  <c r="K33" i="117"/>
  <c r="H23" i="4"/>
  <c r="I23" i="4" s="1"/>
  <c r="G25" i="4"/>
  <c r="H23" i="180"/>
  <c r="I23" i="180" s="1"/>
  <c r="G25" i="180"/>
  <c r="G41" i="123"/>
  <c r="G44" i="123" s="1"/>
  <c r="G29" i="123"/>
  <c r="H24" i="123"/>
  <c r="G46" i="123"/>
  <c r="G49" i="123" s="1"/>
  <c r="G28" i="123"/>
  <c r="G45" i="185"/>
  <c r="G48" i="185" s="1"/>
  <c r="G27" i="185"/>
  <c r="H23" i="185"/>
  <c r="G28" i="185"/>
  <c r="G40" i="185"/>
  <c r="G43" i="185" s="1"/>
  <c r="G50" i="118"/>
  <c r="K48" i="118" s="1"/>
  <c r="G50" i="116"/>
  <c r="K48" i="116" s="1"/>
  <c r="H24" i="122"/>
  <c r="G28" i="122"/>
  <c r="G41" i="122"/>
  <c r="G44" i="122" s="1"/>
  <c r="G46" i="122"/>
  <c r="G49" i="122" s="1"/>
  <c r="G29" i="122"/>
  <c r="G45" i="112"/>
  <c r="G48" i="112" s="1"/>
  <c r="G28" i="112"/>
  <c r="H23" i="112"/>
  <c r="G27" i="112"/>
  <c r="G40" i="112"/>
  <c r="G43" i="112" s="1"/>
  <c r="G40" i="113"/>
  <c r="G43" i="113" s="1"/>
  <c r="G28" i="113"/>
  <c r="H23" i="113"/>
  <c r="G27" i="113"/>
  <c r="G45" i="113"/>
  <c r="G48" i="113" s="1"/>
  <c r="G28" i="187"/>
  <c r="G41" i="187"/>
  <c r="G44" i="187" s="1"/>
  <c r="G46" i="187"/>
  <c r="G49" i="187" s="1"/>
  <c r="G29" i="187"/>
  <c r="H24" i="187"/>
  <c r="G40" i="115"/>
  <c r="G43" i="115" s="1"/>
  <c r="H23" i="115"/>
  <c r="G45" i="115"/>
  <c r="G48" i="115" s="1"/>
  <c r="G27" i="115"/>
  <c r="G28" i="115"/>
  <c r="J33" i="119"/>
  <c r="J32" i="119"/>
  <c r="H23" i="47"/>
  <c r="I23" i="47" s="1"/>
  <c r="G25" i="47"/>
  <c r="G46" i="124"/>
  <c r="G49" i="124" s="1"/>
  <c r="H24" i="124"/>
  <c r="G28" i="124"/>
  <c r="G29" i="124"/>
  <c r="G41" i="124"/>
  <c r="G44" i="124" s="1"/>
  <c r="G25" i="46"/>
  <c r="H23" i="46"/>
  <c r="I23" i="46" s="1"/>
  <c r="K31" i="186"/>
  <c r="K20" i="186"/>
  <c r="K35" i="186"/>
  <c r="K32" i="186"/>
  <c r="K15" i="186"/>
  <c r="K30" i="186"/>
  <c r="K37" i="186"/>
  <c r="K39" i="186"/>
  <c r="K18" i="186"/>
  <c r="K50" i="186"/>
  <c r="K26" i="186"/>
  <c r="K17" i="186"/>
  <c r="K22" i="186"/>
  <c r="K23" i="186"/>
  <c r="K27" i="186"/>
  <c r="K16" i="186"/>
  <c r="K40" i="186"/>
  <c r="K36" i="186"/>
  <c r="K25" i="186"/>
  <c r="H50" i="186"/>
  <c r="K38" i="186"/>
  <c r="K19" i="186"/>
  <c r="K21" i="186"/>
  <c r="K24" i="186"/>
  <c r="K46" i="186"/>
  <c r="K28" i="186"/>
  <c r="K29" i="186"/>
  <c r="K33" i="186"/>
  <c r="K34" i="186"/>
  <c r="K48" i="186"/>
  <c r="K47" i="186"/>
  <c r="G36" i="138"/>
  <c r="J35" i="138" s="1"/>
  <c r="H35" i="138"/>
  <c r="I35" i="138" s="1"/>
  <c r="G46" i="129"/>
  <c r="G49" i="129" s="1"/>
  <c r="G41" i="129"/>
  <c r="G44" i="129" s="1"/>
  <c r="G29" i="129"/>
  <c r="H24" i="129"/>
  <c r="G28" i="129"/>
  <c r="H13" i="179"/>
  <c r="I35" i="121"/>
  <c r="I13" i="179" s="1"/>
  <c r="J21" i="120"/>
  <c r="H35" i="120"/>
  <c r="J19" i="120"/>
  <c r="J14" i="120"/>
  <c r="J23" i="120"/>
  <c r="J29" i="120"/>
  <c r="J27" i="120"/>
  <c r="J13" i="120"/>
  <c r="J30" i="120"/>
  <c r="J28" i="120"/>
  <c r="J26" i="120"/>
  <c r="J17" i="120"/>
  <c r="J15" i="120"/>
  <c r="J22" i="120"/>
  <c r="J25" i="120"/>
  <c r="J35" i="120"/>
  <c r="J18" i="120"/>
  <c r="J16" i="120"/>
  <c r="J20" i="120"/>
  <c r="J24" i="120"/>
  <c r="J31" i="120"/>
  <c r="J32" i="120"/>
  <c r="J33" i="120"/>
  <c r="I35" i="119"/>
  <c r="I11" i="179" s="1"/>
  <c r="H24" i="130"/>
  <c r="G28" i="130"/>
  <c r="G29" i="130"/>
  <c r="G46" i="130"/>
  <c r="G49" i="130" s="1"/>
  <c r="G41" i="130"/>
  <c r="G44" i="130" s="1"/>
  <c r="J43" i="117"/>
  <c r="J22" i="117"/>
  <c r="J13" i="117"/>
  <c r="J37" i="117"/>
  <c r="J18" i="117"/>
  <c r="J30" i="117"/>
  <c r="J20" i="117"/>
  <c r="J14" i="117"/>
  <c r="J26" i="117"/>
  <c r="J23" i="117"/>
  <c r="J27" i="117"/>
  <c r="J25" i="117"/>
  <c r="J45" i="117"/>
  <c r="J12" i="117"/>
  <c r="J32" i="117"/>
  <c r="J35" i="117"/>
  <c r="J39" i="117"/>
  <c r="H45" i="117"/>
  <c r="I45" i="117" s="1"/>
  <c r="J31" i="117"/>
  <c r="J38" i="117"/>
  <c r="J40" i="117"/>
  <c r="J36" i="117"/>
  <c r="J19" i="117"/>
  <c r="J21" i="117"/>
  <c r="J24" i="117"/>
  <c r="J28" i="117"/>
  <c r="J29" i="117"/>
  <c r="J41" i="117"/>
  <c r="J34" i="117"/>
  <c r="J33" i="117"/>
  <c r="J42" i="117"/>
  <c r="H28" i="128"/>
  <c r="I28" i="128" s="1"/>
  <c r="G33" i="128"/>
  <c r="H41" i="128"/>
  <c r="I41" i="128" s="1"/>
  <c r="G42" i="128"/>
  <c r="G43" i="128" s="1"/>
  <c r="I36" i="135"/>
  <c r="I29" i="179" s="1"/>
  <c r="H29" i="179"/>
  <c r="J39" i="186"/>
  <c r="J22" i="186"/>
  <c r="J30" i="186"/>
  <c r="J35" i="186"/>
  <c r="J12" i="186"/>
  <c r="J14" i="186"/>
  <c r="J26" i="186"/>
  <c r="J37" i="186"/>
  <c r="H45" i="186"/>
  <c r="I45" i="186" s="1"/>
  <c r="J36" i="186"/>
  <c r="J38" i="186"/>
  <c r="J40" i="186"/>
  <c r="J25" i="186"/>
  <c r="J13" i="186"/>
  <c r="J45" i="186"/>
  <c r="J32" i="186"/>
  <c r="J31" i="186"/>
  <c r="J20" i="186"/>
  <c r="J18" i="186"/>
  <c r="J23" i="186"/>
  <c r="J27" i="186"/>
  <c r="J21" i="186"/>
  <c r="J19" i="186"/>
  <c r="J24" i="186"/>
  <c r="J41" i="186"/>
  <c r="J28" i="186"/>
  <c r="J29" i="186"/>
  <c r="J43" i="186"/>
  <c r="J33" i="186"/>
  <c r="J42" i="186"/>
  <c r="J34" i="186"/>
  <c r="G46" i="133"/>
  <c r="G49" i="133" s="1"/>
  <c r="H24" i="133"/>
  <c r="G41" i="133"/>
  <c r="G44" i="133" s="1"/>
  <c r="G29" i="133"/>
  <c r="G28" i="133"/>
  <c r="K49" i="116"/>
  <c r="G46" i="190"/>
  <c r="G49" i="190" s="1"/>
  <c r="H24" i="190"/>
  <c r="G41" i="190"/>
  <c r="G44" i="190" s="1"/>
  <c r="G29" i="190"/>
  <c r="G28" i="190"/>
  <c r="G46" i="131"/>
  <c r="G49" i="131" s="1"/>
  <c r="G41" i="131"/>
  <c r="G44" i="131" s="1"/>
  <c r="G28" i="131"/>
  <c r="G29" i="131"/>
  <c r="H24" i="131"/>
  <c r="F24" i="179"/>
  <c r="I24" i="128"/>
  <c r="G24" i="179" s="1"/>
  <c r="K49" i="186"/>
  <c r="G41" i="132"/>
  <c r="G44" i="132" s="1"/>
  <c r="G29" i="132"/>
  <c r="G46" i="132"/>
  <c r="G49" i="132" s="1"/>
  <c r="G28" i="132"/>
  <c r="H24" i="132"/>
  <c r="G36" i="139"/>
  <c r="J35" i="139" s="1"/>
  <c r="H35" i="139"/>
  <c r="I35" i="139" s="1"/>
  <c r="J34" i="137"/>
  <c r="H36" i="137"/>
  <c r="J27" i="137"/>
  <c r="J23" i="137"/>
  <c r="J14" i="137"/>
  <c r="J15" i="137"/>
  <c r="J29" i="137"/>
  <c r="J28" i="137"/>
  <c r="J22" i="137"/>
  <c r="J20" i="137"/>
  <c r="J19" i="137"/>
  <c r="J36" i="137"/>
  <c r="J26" i="137"/>
  <c r="J30" i="137"/>
  <c r="J31" i="137"/>
  <c r="J13" i="137"/>
  <c r="J17" i="137"/>
  <c r="J24" i="137"/>
  <c r="J18" i="137"/>
  <c r="J16" i="137"/>
  <c r="J21" i="137"/>
  <c r="J32" i="137"/>
  <c r="J25" i="137"/>
  <c r="J33" i="137"/>
  <c r="H28" i="179"/>
  <c r="I36" i="134"/>
  <c r="I28" i="179" s="1"/>
  <c r="J44" i="117"/>
  <c r="H46" i="128"/>
  <c r="I46" i="128" s="1"/>
  <c r="G47" i="128"/>
  <c r="J39" i="116"/>
  <c r="K16" i="118"/>
  <c r="K31" i="118"/>
  <c r="K19" i="118"/>
  <c r="K28" i="118"/>
  <c r="G46" i="189"/>
  <c r="G49" i="189" s="1"/>
  <c r="G28" i="189"/>
  <c r="G29" i="189"/>
  <c r="G41" i="189"/>
  <c r="G44" i="189" s="1"/>
  <c r="H24" i="189"/>
  <c r="J30" i="136"/>
  <c r="H36" i="136"/>
  <c r="J31" i="136"/>
  <c r="J27" i="136"/>
  <c r="J29" i="136"/>
  <c r="J19" i="136"/>
  <c r="J17" i="136"/>
  <c r="J13" i="136"/>
  <c r="J36" i="136"/>
  <c r="J22" i="136"/>
  <c r="J26" i="136"/>
  <c r="J20" i="136"/>
  <c r="J28" i="136"/>
  <c r="J24" i="136"/>
  <c r="J23" i="136"/>
  <c r="J15" i="136"/>
  <c r="J14" i="136"/>
  <c r="J18" i="136"/>
  <c r="J16" i="136"/>
  <c r="J21" i="136"/>
  <c r="J32" i="136"/>
  <c r="J25" i="136"/>
  <c r="J34" i="136"/>
  <c r="J33" i="136"/>
  <c r="G34" i="128"/>
  <c r="H29" i="128"/>
  <c r="I29" i="128" s="1"/>
  <c r="J34" i="116" l="1"/>
  <c r="J24" i="116"/>
  <c r="J45" i="116"/>
  <c r="J32" i="116"/>
  <c r="J44" i="116"/>
  <c r="J18" i="116"/>
  <c r="J37" i="116"/>
  <c r="K27" i="118"/>
  <c r="K39" i="118"/>
  <c r="K34" i="118"/>
  <c r="K17" i="118"/>
  <c r="K38" i="116"/>
  <c r="I50" i="117"/>
  <c r="I9" i="179" s="1"/>
  <c r="J29" i="116"/>
  <c r="J22" i="116"/>
  <c r="J31" i="116"/>
  <c r="J35" i="116"/>
  <c r="J33" i="116"/>
  <c r="J28" i="116"/>
  <c r="J26" i="116"/>
  <c r="J27" i="116"/>
  <c r="J40" i="116"/>
  <c r="J20" i="116"/>
  <c r="J38" i="116"/>
  <c r="J12" i="116"/>
  <c r="K23" i="116"/>
  <c r="J19" i="116"/>
  <c r="H45" i="116"/>
  <c r="I45" i="116" s="1"/>
  <c r="J30" i="116"/>
  <c r="J42" i="116"/>
  <c r="J41" i="116"/>
  <c r="J21" i="116"/>
  <c r="J23" i="116"/>
  <c r="J14" i="116"/>
  <c r="J36" i="116"/>
  <c r="J25" i="116"/>
  <c r="J13" i="116"/>
  <c r="K24" i="116"/>
  <c r="K19" i="116"/>
  <c r="K50" i="116"/>
  <c r="K35" i="116"/>
  <c r="K34" i="116"/>
  <c r="K39" i="116"/>
  <c r="H50" i="116"/>
  <c r="I50" i="116" s="1"/>
  <c r="I7" i="179" s="1"/>
  <c r="K37" i="116"/>
  <c r="K29" i="116"/>
  <c r="K15" i="116"/>
  <c r="K32" i="116"/>
  <c r="K17" i="116"/>
  <c r="K47" i="116"/>
  <c r="K46" i="116"/>
  <c r="K21" i="116"/>
  <c r="K20" i="116"/>
  <c r="K31" i="116"/>
  <c r="K26" i="116"/>
  <c r="K36" i="116"/>
  <c r="K25" i="116"/>
  <c r="K33" i="116"/>
  <c r="K28" i="116"/>
  <c r="K40" i="116"/>
  <c r="K22" i="116"/>
  <c r="K30" i="116"/>
  <c r="K16" i="116"/>
  <c r="K18" i="116"/>
  <c r="K27" i="116"/>
  <c r="I24" i="124"/>
  <c r="G23" i="179" s="1"/>
  <c r="F23" i="179"/>
  <c r="G41" i="113"/>
  <c r="G42" i="113" s="1"/>
  <c r="H40" i="113"/>
  <c r="I40" i="113" s="1"/>
  <c r="I24" i="123"/>
  <c r="G22" i="179" s="1"/>
  <c r="F22" i="179"/>
  <c r="K29" i="118"/>
  <c r="K21" i="118"/>
  <c r="K26" i="118"/>
  <c r="K20" i="118"/>
  <c r="K35" i="118"/>
  <c r="K37" i="118"/>
  <c r="K40" i="118"/>
  <c r="G33" i="124"/>
  <c r="H28" i="124"/>
  <c r="I28" i="124" s="1"/>
  <c r="H27" i="115"/>
  <c r="I27" i="115" s="1"/>
  <c r="G32" i="115"/>
  <c r="H46" i="187"/>
  <c r="I46" i="187" s="1"/>
  <c r="G47" i="187"/>
  <c r="G48" i="187" s="1"/>
  <c r="G33" i="113"/>
  <c r="H28" i="113"/>
  <c r="I28" i="113" s="1"/>
  <c r="G41" i="112"/>
  <c r="H40" i="112"/>
  <c r="I40" i="112" s="1"/>
  <c r="G46" i="112"/>
  <c r="H45" i="112"/>
  <c r="I45" i="112" s="1"/>
  <c r="H46" i="122"/>
  <c r="I46" i="122" s="1"/>
  <c r="G47" i="122"/>
  <c r="G48" i="122" s="1"/>
  <c r="H40" i="185"/>
  <c r="I40" i="185" s="1"/>
  <c r="G41" i="185"/>
  <c r="G46" i="185"/>
  <c r="H45" i="185"/>
  <c r="I45" i="185" s="1"/>
  <c r="H46" i="123"/>
  <c r="I46" i="123" s="1"/>
  <c r="G47" i="123"/>
  <c r="H45" i="115"/>
  <c r="I45" i="115" s="1"/>
  <c r="G46" i="115"/>
  <c r="H45" i="113"/>
  <c r="I45" i="113" s="1"/>
  <c r="G46" i="113"/>
  <c r="H27" i="112"/>
  <c r="I27" i="112" s="1"/>
  <c r="G32" i="112"/>
  <c r="K33" i="118"/>
  <c r="K46" i="118"/>
  <c r="K36" i="118"/>
  <c r="K50" i="118"/>
  <c r="K38" i="118"/>
  <c r="K22" i="118"/>
  <c r="K15" i="118"/>
  <c r="H50" i="118"/>
  <c r="I50" i="118" s="1"/>
  <c r="I10" i="179" s="1"/>
  <c r="G42" i="124"/>
  <c r="G43" i="124" s="1"/>
  <c r="H41" i="124"/>
  <c r="I41" i="124" s="1"/>
  <c r="G47" i="124"/>
  <c r="H46" i="124"/>
  <c r="I46" i="124" s="1"/>
  <c r="I23" i="115"/>
  <c r="G6" i="179" s="1"/>
  <c r="F6" i="179"/>
  <c r="I24" i="187"/>
  <c r="G21" i="179" s="1"/>
  <c r="F21" i="179"/>
  <c r="H28" i="187"/>
  <c r="I28" i="187" s="1"/>
  <c r="G33" i="187"/>
  <c r="H27" i="113"/>
  <c r="I27" i="113" s="1"/>
  <c r="G32" i="113"/>
  <c r="I23" i="112"/>
  <c r="G3" i="179" s="1"/>
  <c r="F3" i="179"/>
  <c r="G33" i="122"/>
  <c r="H28" i="122"/>
  <c r="I28" i="122" s="1"/>
  <c r="F4" i="179"/>
  <c r="I23" i="185"/>
  <c r="G4" i="179" s="1"/>
  <c r="G34" i="123"/>
  <c r="H29" i="123"/>
  <c r="I29" i="123" s="1"/>
  <c r="G47" i="180"/>
  <c r="G50" i="180" s="1"/>
  <c r="G29" i="180"/>
  <c r="G42" i="180"/>
  <c r="G45" i="180" s="1"/>
  <c r="H25" i="180"/>
  <c r="G30" i="180"/>
  <c r="G42" i="4"/>
  <c r="G45" i="4" s="1"/>
  <c r="G47" i="4"/>
  <c r="G50" i="4" s="1"/>
  <c r="G30" i="4"/>
  <c r="H25" i="4"/>
  <c r="G29" i="4"/>
  <c r="G47" i="47"/>
  <c r="G50" i="47" s="1"/>
  <c r="H25" i="47"/>
  <c r="G30" i="47"/>
  <c r="G29" i="47"/>
  <c r="G42" i="47"/>
  <c r="G45" i="47" s="1"/>
  <c r="G42" i="187"/>
  <c r="H41" i="187"/>
  <c r="I41" i="187" s="1"/>
  <c r="G42" i="122"/>
  <c r="G43" i="122" s="1"/>
  <c r="H41" i="122"/>
  <c r="I41" i="122" s="1"/>
  <c r="G33" i="185"/>
  <c r="H28" i="185"/>
  <c r="I28" i="185" s="1"/>
  <c r="K47" i="118"/>
  <c r="K24" i="118"/>
  <c r="K30" i="118"/>
  <c r="K18" i="118"/>
  <c r="K23" i="118"/>
  <c r="K25" i="118"/>
  <c r="K32" i="118"/>
  <c r="K49" i="118"/>
  <c r="G47" i="46"/>
  <c r="G50" i="46" s="1"/>
  <c r="G42" i="46"/>
  <c r="G45" i="46" s="1"/>
  <c r="G29" i="46"/>
  <c r="H25" i="46"/>
  <c r="G30" i="46"/>
  <c r="H29" i="124"/>
  <c r="I29" i="124" s="1"/>
  <c r="G34" i="124"/>
  <c r="G33" i="115"/>
  <c r="H28" i="115"/>
  <c r="I28" i="115" s="1"/>
  <c r="G41" i="115"/>
  <c r="H40" i="115"/>
  <c r="I40" i="115" s="1"/>
  <c r="H29" i="187"/>
  <c r="I29" i="187" s="1"/>
  <c r="G34" i="187"/>
  <c r="F5" i="179"/>
  <c r="I23" i="113"/>
  <c r="G5" i="179" s="1"/>
  <c r="G33" i="112"/>
  <c r="H28" i="112"/>
  <c r="I28" i="112" s="1"/>
  <c r="G34" i="122"/>
  <c r="H29" i="122"/>
  <c r="I29" i="122" s="1"/>
  <c r="F20" i="179"/>
  <c r="I24" i="122"/>
  <c r="G20" i="179" s="1"/>
  <c r="G32" i="185"/>
  <c r="H27" i="185"/>
  <c r="I27" i="185" s="1"/>
  <c r="G33" i="123"/>
  <c r="H28" i="123"/>
  <c r="I28" i="123" s="1"/>
  <c r="H41" i="123"/>
  <c r="I41" i="123" s="1"/>
  <c r="G42" i="123"/>
  <c r="H29" i="189"/>
  <c r="I29" i="189" s="1"/>
  <c r="G34" i="189"/>
  <c r="G33" i="189"/>
  <c r="H28" i="189"/>
  <c r="I28" i="189" s="1"/>
  <c r="I24" i="132"/>
  <c r="G41" i="179" s="1"/>
  <c r="F41" i="179"/>
  <c r="H41" i="132"/>
  <c r="I41" i="132" s="1"/>
  <c r="G42" i="132"/>
  <c r="G43" i="132" s="1"/>
  <c r="G33" i="131"/>
  <c r="H28" i="131"/>
  <c r="I28" i="131" s="1"/>
  <c r="F40" i="179"/>
  <c r="I24" i="190"/>
  <c r="G40" i="179" s="1"/>
  <c r="G33" i="133"/>
  <c r="H28" i="133"/>
  <c r="I28" i="133" s="1"/>
  <c r="G47" i="133"/>
  <c r="G48" i="133" s="1"/>
  <c r="H46" i="133"/>
  <c r="I46" i="133" s="1"/>
  <c r="H42" i="128"/>
  <c r="I42" i="128" s="1"/>
  <c r="H33" i="128"/>
  <c r="I33" i="128" s="1"/>
  <c r="H46" i="130"/>
  <c r="I46" i="130" s="1"/>
  <c r="G47" i="130"/>
  <c r="G48" i="130" s="1"/>
  <c r="H41" i="129"/>
  <c r="I41" i="129" s="1"/>
  <c r="G42" i="129"/>
  <c r="G43" i="129" s="1"/>
  <c r="J23" i="138"/>
  <c r="J22" i="138"/>
  <c r="J15" i="138"/>
  <c r="J27" i="138"/>
  <c r="J26" i="138"/>
  <c r="J29" i="138"/>
  <c r="J36" i="138"/>
  <c r="J20" i="138"/>
  <c r="J19" i="138"/>
  <c r="J17" i="138"/>
  <c r="J24" i="138"/>
  <c r="J30" i="138"/>
  <c r="J14" i="138"/>
  <c r="J31" i="138"/>
  <c r="J28" i="138"/>
  <c r="J13" i="138"/>
  <c r="H36" i="138"/>
  <c r="J18" i="138"/>
  <c r="J16" i="138"/>
  <c r="J21" i="138"/>
  <c r="J25" i="138"/>
  <c r="J32" i="138"/>
  <c r="J33" i="138"/>
  <c r="J34" i="138"/>
  <c r="H8" i="179"/>
  <c r="I50" i="186"/>
  <c r="I8" i="179" s="1"/>
  <c r="I36" i="136"/>
  <c r="I30" i="179" s="1"/>
  <c r="H30" i="179"/>
  <c r="F25" i="179"/>
  <c r="I24" i="189"/>
  <c r="G25" i="179" s="1"/>
  <c r="I36" i="137"/>
  <c r="I43" i="179" s="1"/>
  <c r="H43" i="179"/>
  <c r="J34" i="139"/>
  <c r="J36" i="139"/>
  <c r="J27" i="139"/>
  <c r="J24" i="139"/>
  <c r="J19" i="139"/>
  <c r="J15" i="139"/>
  <c r="J14" i="139"/>
  <c r="J26" i="139"/>
  <c r="J28" i="139"/>
  <c r="J30" i="139"/>
  <c r="J20" i="139"/>
  <c r="J13" i="139"/>
  <c r="J22" i="139"/>
  <c r="H36" i="139"/>
  <c r="J23" i="139"/>
  <c r="J29" i="139"/>
  <c r="J31" i="139"/>
  <c r="J17" i="139"/>
  <c r="J18" i="139"/>
  <c r="J16" i="139"/>
  <c r="J21" i="139"/>
  <c r="J25" i="139"/>
  <c r="J32" i="139"/>
  <c r="J33" i="139"/>
  <c r="H28" i="132"/>
  <c r="I28" i="132" s="1"/>
  <c r="G33" i="132"/>
  <c r="G42" i="131"/>
  <c r="G43" i="131" s="1"/>
  <c r="H41" i="131"/>
  <c r="I41" i="131" s="1"/>
  <c r="H28" i="190"/>
  <c r="I28" i="190" s="1"/>
  <c r="G33" i="190"/>
  <c r="H46" i="190"/>
  <c r="I46" i="190" s="1"/>
  <c r="G47" i="190"/>
  <c r="G48" i="190" s="1"/>
  <c r="G34" i="133"/>
  <c r="H29" i="133"/>
  <c r="I29" i="133" s="1"/>
  <c r="G34" i="130"/>
  <c r="H29" i="130"/>
  <c r="I29" i="130" s="1"/>
  <c r="H28" i="129"/>
  <c r="I28" i="129" s="1"/>
  <c r="G33" i="129"/>
  <c r="G47" i="129"/>
  <c r="H46" i="129"/>
  <c r="I46" i="129" s="1"/>
  <c r="G47" i="189"/>
  <c r="H46" i="189"/>
  <c r="I46" i="189" s="1"/>
  <c r="H34" i="128"/>
  <c r="I34" i="128" s="1"/>
  <c r="H41" i="189"/>
  <c r="I41" i="189" s="1"/>
  <c r="G42" i="189"/>
  <c r="G47" i="132"/>
  <c r="G48" i="132" s="1"/>
  <c r="H46" i="132"/>
  <c r="I46" i="132" s="1"/>
  <c r="I24" i="131"/>
  <c r="G39" i="179" s="1"/>
  <c r="F39" i="179"/>
  <c r="G47" i="131"/>
  <c r="H46" i="131"/>
  <c r="I46" i="131" s="1"/>
  <c r="G34" i="190"/>
  <c r="H29" i="190"/>
  <c r="I29" i="190" s="1"/>
  <c r="G42" i="133"/>
  <c r="H41" i="133"/>
  <c r="I41" i="133" s="1"/>
  <c r="H28" i="130"/>
  <c r="I28" i="130" s="1"/>
  <c r="G33" i="130"/>
  <c r="F26" i="179"/>
  <c r="I24" i="129"/>
  <c r="G26" i="179" s="1"/>
  <c r="G48" i="128"/>
  <c r="H47" i="128"/>
  <c r="I47" i="128" s="1"/>
  <c r="H29" i="132"/>
  <c r="I29" i="132" s="1"/>
  <c r="G34" i="132"/>
  <c r="H29" i="131"/>
  <c r="I29" i="131" s="1"/>
  <c r="G34" i="131"/>
  <c r="H41" i="190"/>
  <c r="I41" i="190" s="1"/>
  <c r="G42" i="190"/>
  <c r="G43" i="190" s="1"/>
  <c r="I24" i="133"/>
  <c r="G42" i="179" s="1"/>
  <c r="F42" i="179"/>
  <c r="H43" i="128"/>
  <c r="I43" i="128" s="1"/>
  <c r="G42" i="130"/>
  <c r="H41" i="130"/>
  <c r="I41" i="130" s="1"/>
  <c r="I24" i="130"/>
  <c r="G27" i="179" s="1"/>
  <c r="F27" i="179"/>
  <c r="I35" i="120"/>
  <c r="I12" i="179" s="1"/>
  <c r="H12" i="179"/>
  <c r="G34" i="129"/>
  <c r="H29" i="129"/>
  <c r="I29" i="129" s="1"/>
  <c r="H7" i="179" l="1"/>
  <c r="H10" i="179"/>
  <c r="G45" i="122"/>
  <c r="H43" i="122"/>
  <c r="I43" i="122" s="1"/>
  <c r="H48" i="187"/>
  <c r="I48" i="187" s="1"/>
  <c r="H42" i="123"/>
  <c r="I42" i="123" s="1"/>
  <c r="H34" i="187"/>
  <c r="I34" i="187" s="1"/>
  <c r="I25" i="46"/>
  <c r="G3" i="7" s="1"/>
  <c r="F3" i="7"/>
  <c r="I25" i="47"/>
  <c r="G5" i="7" s="1"/>
  <c r="F5" i="7"/>
  <c r="H46" i="115"/>
  <c r="I46" i="115" s="1"/>
  <c r="H33" i="123"/>
  <c r="I33" i="123" s="1"/>
  <c r="H32" i="185"/>
  <c r="I32" i="185" s="1"/>
  <c r="H29" i="46"/>
  <c r="I29" i="46" s="1"/>
  <c r="G34" i="46"/>
  <c r="G43" i="47"/>
  <c r="G44" i="47" s="1"/>
  <c r="H42" i="47"/>
  <c r="I42" i="47" s="1"/>
  <c r="H47" i="47"/>
  <c r="I47" i="47" s="1"/>
  <c r="G48" i="47"/>
  <c r="G49" i="47" s="1"/>
  <c r="I25" i="4"/>
  <c r="G2" i="7" s="1"/>
  <c r="F2" i="7"/>
  <c r="H42" i="180"/>
  <c r="I42" i="180" s="1"/>
  <c r="G43" i="180"/>
  <c r="H33" i="122"/>
  <c r="I33" i="122" s="1"/>
  <c r="H32" i="112"/>
  <c r="I32" i="112" s="1"/>
  <c r="G42" i="185"/>
  <c r="H41" i="185"/>
  <c r="I41" i="185" s="1"/>
  <c r="H47" i="122"/>
  <c r="I47" i="122" s="1"/>
  <c r="G47" i="112"/>
  <c r="H46" i="112"/>
  <c r="I46" i="112" s="1"/>
  <c r="H41" i="113"/>
  <c r="I41" i="113" s="1"/>
  <c r="H42" i="4"/>
  <c r="I42" i="4" s="1"/>
  <c r="G43" i="4"/>
  <c r="G44" i="4" s="1"/>
  <c r="G47" i="113"/>
  <c r="H46" i="113"/>
  <c r="I46" i="113" s="1"/>
  <c r="H48" i="122"/>
  <c r="I48" i="122" s="1"/>
  <c r="G43" i="46"/>
  <c r="G44" i="46" s="1"/>
  <c r="H42" i="46"/>
  <c r="I42" i="46" s="1"/>
  <c r="G43" i="187"/>
  <c r="H42" i="187"/>
  <c r="I42" i="187" s="1"/>
  <c r="H29" i="47"/>
  <c r="I29" i="47" s="1"/>
  <c r="G34" i="47"/>
  <c r="H30" i="4"/>
  <c r="I30" i="4" s="1"/>
  <c r="G35" i="4"/>
  <c r="G34" i="180"/>
  <c r="H29" i="180"/>
  <c r="I29" i="180" s="1"/>
  <c r="H32" i="113"/>
  <c r="I32" i="113" s="1"/>
  <c r="H33" i="187"/>
  <c r="I33" i="187" s="1"/>
  <c r="G48" i="124"/>
  <c r="H47" i="124"/>
  <c r="I47" i="124" s="1"/>
  <c r="H42" i="124"/>
  <c r="I42" i="124" s="1"/>
  <c r="G42" i="115"/>
  <c r="H41" i="115"/>
  <c r="I41" i="115" s="1"/>
  <c r="H33" i="115"/>
  <c r="I33" i="115" s="1"/>
  <c r="G34" i="4"/>
  <c r="H29" i="4"/>
  <c r="I29" i="4" s="1"/>
  <c r="I25" i="180"/>
  <c r="G4" i="7" s="1"/>
  <c r="F4" i="7"/>
  <c r="H43" i="124"/>
  <c r="I43" i="124" s="1"/>
  <c r="G42" i="112"/>
  <c r="H41" i="112"/>
  <c r="I41" i="112" s="1"/>
  <c r="H33" i="113"/>
  <c r="I33" i="113" s="1"/>
  <c r="H33" i="124"/>
  <c r="I33" i="124" s="1"/>
  <c r="G43" i="123"/>
  <c r="H34" i="122"/>
  <c r="I34" i="122" s="1"/>
  <c r="H33" i="112"/>
  <c r="I33" i="112" s="1"/>
  <c r="H34" i="124"/>
  <c r="I34" i="124" s="1"/>
  <c r="H30" i="46"/>
  <c r="I30" i="46" s="1"/>
  <c r="G35" i="46"/>
  <c r="H47" i="46"/>
  <c r="I47" i="46" s="1"/>
  <c r="G48" i="46"/>
  <c r="H33" i="185"/>
  <c r="I33" i="185" s="1"/>
  <c r="H42" i="122"/>
  <c r="I42" i="122" s="1"/>
  <c r="H30" i="47"/>
  <c r="I30" i="47" s="1"/>
  <c r="G35" i="47"/>
  <c r="G48" i="4"/>
  <c r="H47" i="4"/>
  <c r="I47" i="4" s="1"/>
  <c r="H30" i="180"/>
  <c r="I30" i="180" s="1"/>
  <c r="G35" i="180"/>
  <c r="G48" i="180"/>
  <c r="G49" i="180" s="1"/>
  <c r="H47" i="180"/>
  <c r="I47" i="180" s="1"/>
  <c r="H34" i="123"/>
  <c r="I34" i="123" s="1"/>
  <c r="G47" i="115"/>
  <c r="G48" i="123"/>
  <c r="H47" i="123"/>
  <c r="I47" i="123" s="1"/>
  <c r="G47" i="185"/>
  <c r="H46" i="185"/>
  <c r="I46" i="185" s="1"/>
  <c r="H47" i="187"/>
  <c r="I47" i="187" s="1"/>
  <c r="H32" i="115"/>
  <c r="I32" i="115" s="1"/>
  <c r="H43" i="113"/>
  <c r="I43" i="113" s="1"/>
  <c r="H42" i="113"/>
  <c r="I42" i="113" s="1"/>
  <c r="H44" i="190"/>
  <c r="I44" i="190" s="1"/>
  <c r="H43" i="190"/>
  <c r="I43" i="190" s="1"/>
  <c r="G50" i="133"/>
  <c r="H48" i="133"/>
  <c r="I48" i="133" s="1"/>
  <c r="H43" i="129"/>
  <c r="I43" i="129" s="1"/>
  <c r="H48" i="190"/>
  <c r="I48" i="190" s="1"/>
  <c r="G50" i="130"/>
  <c r="H48" i="130"/>
  <c r="I48" i="130" s="1"/>
  <c r="H34" i="129"/>
  <c r="I34" i="129" s="1"/>
  <c r="H33" i="130"/>
  <c r="I33" i="130" s="1"/>
  <c r="G48" i="131"/>
  <c r="H47" i="131"/>
  <c r="I47" i="131" s="1"/>
  <c r="H48" i="132"/>
  <c r="I48" i="132" s="1"/>
  <c r="G50" i="132"/>
  <c r="K47" i="132" s="1"/>
  <c r="G43" i="189"/>
  <c r="H42" i="189"/>
  <c r="I42" i="189" s="1"/>
  <c r="H42" i="131"/>
  <c r="I42" i="131" s="1"/>
  <c r="H42" i="132"/>
  <c r="I42" i="132" s="1"/>
  <c r="H42" i="133"/>
  <c r="I42" i="133" s="1"/>
  <c r="H34" i="190"/>
  <c r="I34" i="190" s="1"/>
  <c r="H33" i="129"/>
  <c r="I33" i="129" s="1"/>
  <c r="H42" i="129"/>
  <c r="I42" i="129" s="1"/>
  <c r="H47" i="130"/>
  <c r="I47" i="130" s="1"/>
  <c r="H33" i="131"/>
  <c r="I33" i="131" s="1"/>
  <c r="G45" i="128"/>
  <c r="H44" i="128"/>
  <c r="I44" i="128" s="1"/>
  <c r="H47" i="132"/>
  <c r="I47" i="132" s="1"/>
  <c r="G48" i="129"/>
  <c r="H47" i="129"/>
  <c r="I47" i="129" s="1"/>
  <c r="H34" i="130"/>
  <c r="I34" i="130" s="1"/>
  <c r="H34" i="133"/>
  <c r="I34" i="133" s="1"/>
  <c r="H43" i="131"/>
  <c r="I43" i="131" s="1"/>
  <c r="G45" i="131"/>
  <c r="I36" i="138"/>
  <c r="I44" i="179" s="1"/>
  <c r="H44" i="179"/>
  <c r="H34" i="189"/>
  <c r="I34" i="189" s="1"/>
  <c r="G43" i="130"/>
  <c r="H42" i="130"/>
  <c r="I42" i="130" s="1"/>
  <c r="H42" i="190"/>
  <c r="I42" i="190" s="1"/>
  <c r="H34" i="131"/>
  <c r="I34" i="131" s="1"/>
  <c r="H34" i="132"/>
  <c r="I34" i="132" s="1"/>
  <c r="H49" i="128"/>
  <c r="I49" i="128" s="1"/>
  <c r="H48" i="128"/>
  <c r="I48" i="128" s="1"/>
  <c r="G43" i="133"/>
  <c r="G48" i="189"/>
  <c r="H47" i="189"/>
  <c r="I47" i="189" s="1"/>
  <c r="H47" i="190"/>
  <c r="I47" i="190" s="1"/>
  <c r="H33" i="190"/>
  <c r="I33" i="190" s="1"/>
  <c r="H33" i="132"/>
  <c r="I33" i="132" s="1"/>
  <c r="I36" i="139"/>
  <c r="I45" i="179" s="1"/>
  <c r="H45" i="179"/>
  <c r="H47" i="133"/>
  <c r="I47" i="133" s="1"/>
  <c r="H33" i="133"/>
  <c r="I33" i="133" s="1"/>
  <c r="H43" i="132"/>
  <c r="I43" i="132" s="1"/>
  <c r="H33" i="189"/>
  <c r="I33" i="189" s="1"/>
  <c r="G50" i="128" l="1"/>
  <c r="K48" i="128" s="1"/>
  <c r="G51" i="180"/>
  <c r="H49" i="180"/>
  <c r="I49" i="180" s="1"/>
  <c r="J23" i="122"/>
  <c r="J35" i="122"/>
  <c r="J22" i="122"/>
  <c r="J30" i="122"/>
  <c r="J36" i="122"/>
  <c r="J14" i="122"/>
  <c r="J37" i="122"/>
  <c r="J32" i="122"/>
  <c r="J39" i="122"/>
  <c r="H45" i="122"/>
  <c r="I45" i="122" s="1"/>
  <c r="J26" i="122"/>
  <c r="J45" i="122"/>
  <c r="J27" i="122"/>
  <c r="J31" i="122"/>
  <c r="J20" i="122"/>
  <c r="J13" i="122"/>
  <c r="J25" i="122"/>
  <c r="J40" i="122"/>
  <c r="J38" i="122"/>
  <c r="J18" i="122"/>
  <c r="J19" i="122"/>
  <c r="J12" i="122"/>
  <c r="J21" i="122"/>
  <c r="J24" i="122"/>
  <c r="J41" i="122"/>
  <c r="J28" i="122"/>
  <c r="J29" i="122"/>
  <c r="J42" i="122"/>
  <c r="J33" i="122"/>
  <c r="J34" i="122"/>
  <c r="J43" i="122"/>
  <c r="J43" i="131"/>
  <c r="J34" i="131"/>
  <c r="H49" i="47"/>
  <c r="I49" i="47" s="1"/>
  <c r="H44" i="47"/>
  <c r="I44" i="47" s="1"/>
  <c r="H48" i="115"/>
  <c r="I48" i="115" s="1"/>
  <c r="H47" i="115"/>
  <c r="I47" i="115" s="1"/>
  <c r="H35" i="46"/>
  <c r="I35" i="46" s="1"/>
  <c r="H35" i="47"/>
  <c r="I35" i="47" s="1"/>
  <c r="H34" i="4"/>
  <c r="I34" i="4" s="1"/>
  <c r="H35" i="4"/>
  <c r="I35" i="4" s="1"/>
  <c r="H34" i="47"/>
  <c r="I34" i="47" s="1"/>
  <c r="H43" i="187"/>
  <c r="I43" i="187" s="1"/>
  <c r="H44" i="187"/>
  <c r="I44" i="187" s="1"/>
  <c r="H43" i="46"/>
  <c r="I43" i="46" s="1"/>
  <c r="H43" i="4"/>
  <c r="I43" i="4" s="1"/>
  <c r="G49" i="46"/>
  <c r="H48" i="46"/>
  <c r="I48" i="46" s="1"/>
  <c r="H49" i="122"/>
  <c r="I49" i="122" s="1"/>
  <c r="G44" i="113"/>
  <c r="H35" i="180"/>
  <c r="I35" i="180" s="1"/>
  <c r="G49" i="4"/>
  <c r="H48" i="4"/>
  <c r="I48" i="4" s="1"/>
  <c r="H43" i="123"/>
  <c r="I43" i="123" s="1"/>
  <c r="G45" i="123"/>
  <c r="G45" i="124"/>
  <c r="J44" i="124" s="1"/>
  <c r="H44" i="124"/>
  <c r="I44" i="124" s="1"/>
  <c r="H34" i="180"/>
  <c r="I34" i="180" s="1"/>
  <c r="G50" i="122"/>
  <c r="K49" i="122" s="1"/>
  <c r="H47" i="113"/>
  <c r="I47" i="113" s="1"/>
  <c r="H48" i="47"/>
  <c r="I48" i="47" s="1"/>
  <c r="H34" i="46"/>
  <c r="I34" i="46" s="1"/>
  <c r="G49" i="185"/>
  <c r="H47" i="185"/>
  <c r="I47" i="185" s="1"/>
  <c r="H48" i="124"/>
  <c r="I48" i="124" s="1"/>
  <c r="H44" i="4"/>
  <c r="I44" i="4" s="1"/>
  <c r="G44" i="185"/>
  <c r="H42" i="185"/>
  <c r="I42" i="185" s="1"/>
  <c r="G44" i="180"/>
  <c r="H43" i="180"/>
  <c r="I43" i="180" s="1"/>
  <c r="H48" i="123"/>
  <c r="I48" i="123" s="1"/>
  <c r="G50" i="123"/>
  <c r="K48" i="123" s="1"/>
  <c r="H48" i="180"/>
  <c r="I48" i="180" s="1"/>
  <c r="G44" i="112"/>
  <c r="J42" i="112" s="1"/>
  <c r="H42" i="112"/>
  <c r="I42" i="112" s="1"/>
  <c r="H43" i="115"/>
  <c r="I43" i="115" s="1"/>
  <c r="H42" i="115"/>
  <c r="I42" i="115" s="1"/>
  <c r="H44" i="46"/>
  <c r="I44" i="46" s="1"/>
  <c r="H47" i="112"/>
  <c r="I47" i="112" s="1"/>
  <c r="H43" i="47"/>
  <c r="I43" i="47" s="1"/>
  <c r="G50" i="187"/>
  <c r="K49" i="187" s="1"/>
  <c r="H49" i="187"/>
  <c r="I49" i="187" s="1"/>
  <c r="H44" i="122"/>
  <c r="I44" i="122" s="1"/>
  <c r="J44" i="122"/>
  <c r="K20" i="130"/>
  <c r="K17" i="130"/>
  <c r="K35" i="130"/>
  <c r="K22" i="130"/>
  <c r="K18" i="130"/>
  <c r="K38" i="130"/>
  <c r="K31" i="130"/>
  <c r="K25" i="130"/>
  <c r="K40" i="130"/>
  <c r="K36" i="130"/>
  <c r="K37" i="130"/>
  <c r="K30" i="130"/>
  <c r="K50" i="130"/>
  <c r="K23" i="130"/>
  <c r="K16" i="130"/>
  <c r="K27" i="130"/>
  <c r="K39" i="130"/>
  <c r="K26" i="130"/>
  <c r="H50" i="130"/>
  <c r="K15" i="130"/>
  <c r="K32" i="130"/>
  <c r="K19" i="130"/>
  <c r="K21" i="130"/>
  <c r="K24" i="130"/>
  <c r="K46" i="130"/>
  <c r="K29" i="130"/>
  <c r="K28" i="130"/>
  <c r="K48" i="130"/>
  <c r="K34" i="130"/>
  <c r="K33" i="130"/>
  <c r="K47" i="130"/>
  <c r="K16" i="133"/>
  <c r="K37" i="133"/>
  <c r="K40" i="133"/>
  <c r="K31" i="133"/>
  <c r="K25" i="133"/>
  <c r="K15" i="133"/>
  <c r="K22" i="133"/>
  <c r="H50" i="133"/>
  <c r="K23" i="133"/>
  <c r="K35" i="133"/>
  <c r="K32" i="133"/>
  <c r="K50" i="133"/>
  <c r="K39" i="133"/>
  <c r="K18" i="133"/>
  <c r="K38" i="133"/>
  <c r="K36" i="133"/>
  <c r="K20" i="133"/>
  <c r="K26" i="133"/>
  <c r="K27" i="133"/>
  <c r="K30" i="133"/>
  <c r="K17" i="133"/>
  <c r="K19" i="133"/>
  <c r="K21" i="133"/>
  <c r="K24" i="133"/>
  <c r="K28" i="133"/>
  <c r="K46" i="133"/>
  <c r="K29" i="133"/>
  <c r="K33" i="133"/>
  <c r="K48" i="133"/>
  <c r="K34" i="133"/>
  <c r="K47" i="133"/>
  <c r="H44" i="132"/>
  <c r="I44" i="132" s="1"/>
  <c r="K25" i="132"/>
  <c r="K31" i="132"/>
  <c r="K16" i="132"/>
  <c r="K26" i="132"/>
  <c r="K27" i="132"/>
  <c r="K22" i="132"/>
  <c r="K20" i="132"/>
  <c r="K32" i="132"/>
  <c r="K36" i="132"/>
  <c r="K37" i="132"/>
  <c r="H50" i="132"/>
  <c r="K15" i="132"/>
  <c r="K50" i="132"/>
  <c r="K17" i="132"/>
  <c r="K18" i="132"/>
  <c r="K38" i="132"/>
  <c r="K39" i="132"/>
  <c r="K23" i="132"/>
  <c r="K30" i="132"/>
  <c r="K40" i="132"/>
  <c r="K35" i="132"/>
  <c r="K19" i="132"/>
  <c r="K21" i="132"/>
  <c r="K24" i="132"/>
  <c r="K46" i="132"/>
  <c r="K28" i="132"/>
  <c r="K29" i="132"/>
  <c r="K33" i="132"/>
  <c r="K34" i="132"/>
  <c r="H48" i="129"/>
  <c r="I48" i="129" s="1"/>
  <c r="H49" i="132"/>
  <c r="I49" i="132" s="1"/>
  <c r="K49" i="132"/>
  <c r="H48" i="131"/>
  <c r="I48" i="131" s="1"/>
  <c r="K32" i="128"/>
  <c r="K18" i="128"/>
  <c r="K22" i="128"/>
  <c r="K36" i="128"/>
  <c r="K16" i="128"/>
  <c r="K23" i="128"/>
  <c r="K28" i="128"/>
  <c r="K34" i="128"/>
  <c r="J18" i="128"/>
  <c r="J26" i="128"/>
  <c r="J40" i="128"/>
  <c r="J37" i="128"/>
  <c r="J35" i="128"/>
  <c r="J12" i="128"/>
  <c r="J13" i="128"/>
  <c r="H45" i="128"/>
  <c r="I45" i="128" s="1"/>
  <c r="J27" i="128"/>
  <c r="J45" i="128"/>
  <c r="J22" i="128"/>
  <c r="J32" i="128"/>
  <c r="J14" i="128"/>
  <c r="J31" i="128"/>
  <c r="J36" i="128"/>
  <c r="J25" i="128"/>
  <c r="J23" i="128"/>
  <c r="J20" i="128"/>
  <c r="J39" i="128"/>
  <c r="J38" i="128"/>
  <c r="J30" i="128"/>
  <c r="J19" i="128"/>
  <c r="J24" i="128"/>
  <c r="J21" i="128"/>
  <c r="J28" i="128"/>
  <c r="J29" i="128"/>
  <c r="J41" i="128"/>
  <c r="J34" i="128"/>
  <c r="J42" i="128"/>
  <c r="J33" i="128"/>
  <c r="J43" i="128"/>
  <c r="H43" i="189"/>
  <c r="I43" i="189" s="1"/>
  <c r="G50" i="190"/>
  <c r="K49" i="190" s="1"/>
  <c r="H49" i="190"/>
  <c r="I49" i="190" s="1"/>
  <c r="G45" i="190"/>
  <c r="J12" i="131"/>
  <c r="J23" i="131"/>
  <c r="J13" i="131"/>
  <c r="J20" i="131"/>
  <c r="J27" i="131"/>
  <c r="J35" i="131"/>
  <c r="J30" i="131"/>
  <c r="J32" i="131"/>
  <c r="J39" i="131"/>
  <c r="J36" i="131"/>
  <c r="J25" i="131"/>
  <c r="J31" i="131"/>
  <c r="J18" i="131"/>
  <c r="J37" i="131"/>
  <c r="H45" i="131"/>
  <c r="I45" i="131" s="1"/>
  <c r="J40" i="131"/>
  <c r="J14" i="131"/>
  <c r="J45" i="131"/>
  <c r="J26" i="131"/>
  <c r="J22" i="131"/>
  <c r="J38" i="131"/>
  <c r="J19" i="131"/>
  <c r="J21" i="131"/>
  <c r="J24" i="131"/>
  <c r="J28" i="131"/>
  <c r="J29" i="131"/>
  <c r="J41" i="131"/>
  <c r="G45" i="132"/>
  <c r="J44" i="132" s="1"/>
  <c r="H48" i="189"/>
  <c r="I48" i="189" s="1"/>
  <c r="G50" i="189"/>
  <c r="K48" i="189" s="1"/>
  <c r="H44" i="130"/>
  <c r="I44" i="130" s="1"/>
  <c r="H43" i="130"/>
  <c r="I43" i="130" s="1"/>
  <c r="H44" i="131"/>
  <c r="I44" i="131" s="1"/>
  <c r="J44" i="131"/>
  <c r="J33" i="131"/>
  <c r="J42" i="131"/>
  <c r="K48" i="132"/>
  <c r="H49" i="130"/>
  <c r="I49" i="130" s="1"/>
  <c r="K49" i="130"/>
  <c r="G45" i="129"/>
  <c r="J44" i="129" s="1"/>
  <c r="H44" i="129"/>
  <c r="I44" i="129" s="1"/>
  <c r="G45" i="133"/>
  <c r="H43" i="133"/>
  <c r="I43" i="133" s="1"/>
  <c r="J44" i="128"/>
  <c r="H49" i="133"/>
  <c r="I49" i="133" s="1"/>
  <c r="K49" i="133"/>
  <c r="K27" i="128" l="1"/>
  <c r="K29" i="128"/>
  <c r="K24" i="128"/>
  <c r="K15" i="128"/>
  <c r="K40" i="128"/>
  <c r="K31" i="128"/>
  <c r="K30" i="128"/>
  <c r="K26" i="128"/>
  <c r="K33" i="128"/>
  <c r="K21" i="128"/>
  <c r="K37" i="128"/>
  <c r="K39" i="128"/>
  <c r="H50" i="128"/>
  <c r="I50" i="128" s="1"/>
  <c r="I24" i="179" s="1"/>
  <c r="K50" i="128"/>
  <c r="K49" i="128"/>
  <c r="K47" i="128"/>
  <c r="K46" i="128"/>
  <c r="K19" i="128"/>
  <c r="K35" i="128"/>
  <c r="K25" i="128"/>
  <c r="K20" i="128"/>
  <c r="K17" i="128"/>
  <c r="K38" i="128"/>
  <c r="G49" i="115"/>
  <c r="K47" i="115" s="1"/>
  <c r="G44" i="115"/>
  <c r="J42" i="115" s="1"/>
  <c r="K33" i="185"/>
  <c r="K22" i="185"/>
  <c r="K49" i="185"/>
  <c r="K29" i="185"/>
  <c r="K38" i="185"/>
  <c r="K17" i="185"/>
  <c r="K36" i="185"/>
  <c r="K19" i="185"/>
  <c r="K37" i="185"/>
  <c r="K25" i="185"/>
  <c r="K20" i="185"/>
  <c r="K34" i="185"/>
  <c r="K26" i="185"/>
  <c r="K16" i="185"/>
  <c r="K31" i="185"/>
  <c r="K30" i="185"/>
  <c r="H49" i="185"/>
  <c r="K15" i="185"/>
  <c r="K39" i="185"/>
  <c r="K35" i="185"/>
  <c r="K24" i="185"/>
  <c r="K18" i="185"/>
  <c r="K21" i="185"/>
  <c r="K23" i="185"/>
  <c r="K27" i="185"/>
  <c r="K28" i="185"/>
  <c r="K45" i="185"/>
  <c r="K46" i="185"/>
  <c r="K32" i="185"/>
  <c r="K47" i="185"/>
  <c r="J18" i="123"/>
  <c r="J38" i="123"/>
  <c r="J27" i="123"/>
  <c r="J25" i="123"/>
  <c r="J14" i="123"/>
  <c r="J13" i="123"/>
  <c r="J45" i="123"/>
  <c r="J40" i="123"/>
  <c r="J36" i="123"/>
  <c r="J39" i="123"/>
  <c r="J26" i="123"/>
  <c r="J35" i="123"/>
  <c r="J31" i="123"/>
  <c r="J37" i="123"/>
  <c r="J32" i="123"/>
  <c r="J30" i="123"/>
  <c r="J19" i="123"/>
  <c r="J12" i="123"/>
  <c r="J20" i="123"/>
  <c r="J22" i="123"/>
  <c r="J23" i="123"/>
  <c r="H45" i="123"/>
  <c r="I45" i="123" s="1"/>
  <c r="J21" i="123"/>
  <c r="J24" i="123"/>
  <c r="J29" i="123"/>
  <c r="J28" i="123"/>
  <c r="J41" i="123"/>
  <c r="J42" i="123"/>
  <c r="J33" i="123"/>
  <c r="J34" i="123"/>
  <c r="J43" i="123"/>
  <c r="K20" i="180"/>
  <c r="K26" i="180"/>
  <c r="K38" i="180"/>
  <c r="K27" i="180"/>
  <c r="K22" i="180"/>
  <c r="K19" i="180"/>
  <c r="K39" i="180"/>
  <c r="K24" i="180"/>
  <c r="K17" i="180"/>
  <c r="H51" i="180"/>
  <c r="E4" i="7" s="1"/>
  <c r="K40" i="180"/>
  <c r="K32" i="180"/>
  <c r="K31" i="180"/>
  <c r="K33" i="180"/>
  <c r="K37" i="180"/>
  <c r="K36" i="180"/>
  <c r="K15" i="180"/>
  <c r="K41" i="180"/>
  <c r="K16" i="180"/>
  <c r="K51" i="180"/>
  <c r="K18" i="180"/>
  <c r="K21" i="180"/>
  <c r="K28" i="180"/>
  <c r="K23" i="180"/>
  <c r="K25" i="180"/>
  <c r="K29" i="180"/>
  <c r="K30" i="180"/>
  <c r="K47" i="180"/>
  <c r="K35" i="180"/>
  <c r="K34" i="180"/>
  <c r="K48" i="180"/>
  <c r="K49" i="180"/>
  <c r="G49" i="113"/>
  <c r="K48" i="113" s="1"/>
  <c r="H48" i="113"/>
  <c r="I48" i="113" s="1"/>
  <c r="G49" i="112"/>
  <c r="K48" i="112" s="1"/>
  <c r="H48" i="112"/>
  <c r="I48" i="112" s="1"/>
  <c r="H43" i="112"/>
  <c r="I43" i="112" s="1"/>
  <c r="J43" i="112"/>
  <c r="K26" i="123"/>
  <c r="K39" i="123"/>
  <c r="K23" i="123"/>
  <c r="K18" i="123"/>
  <c r="K20" i="123"/>
  <c r="K19" i="123"/>
  <c r="K16" i="123"/>
  <c r="K30" i="123"/>
  <c r="K50" i="123"/>
  <c r="K36" i="123"/>
  <c r="K35" i="123"/>
  <c r="K22" i="123"/>
  <c r="K27" i="123"/>
  <c r="K32" i="123"/>
  <c r="K40" i="123"/>
  <c r="H50" i="123"/>
  <c r="K38" i="123"/>
  <c r="K37" i="123"/>
  <c r="K31" i="123"/>
  <c r="K15" i="123"/>
  <c r="K25" i="123"/>
  <c r="K17" i="123"/>
  <c r="K21" i="123"/>
  <c r="K24" i="123"/>
  <c r="K28" i="123"/>
  <c r="K46" i="123"/>
  <c r="K29" i="123"/>
  <c r="K33" i="123"/>
  <c r="K34" i="123"/>
  <c r="K47" i="123"/>
  <c r="G46" i="4"/>
  <c r="J45" i="4" s="1"/>
  <c r="H45" i="4"/>
  <c r="I45" i="4" s="1"/>
  <c r="K48" i="122"/>
  <c r="K22" i="122"/>
  <c r="K19" i="122"/>
  <c r="K15" i="122"/>
  <c r="K25" i="122"/>
  <c r="K16" i="122"/>
  <c r="K30" i="122"/>
  <c r="K39" i="122"/>
  <c r="K26" i="122"/>
  <c r="K32" i="122"/>
  <c r="K36" i="122"/>
  <c r="K27" i="122"/>
  <c r="H50" i="122"/>
  <c r="K23" i="122"/>
  <c r="K31" i="122"/>
  <c r="K50" i="122"/>
  <c r="K40" i="122"/>
  <c r="K20" i="122"/>
  <c r="K37" i="122"/>
  <c r="K17" i="122"/>
  <c r="K38" i="122"/>
  <c r="K18" i="122"/>
  <c r="K35" i="122"/>
  <c r="K21" i="122"/>
  <c r="K24" i="122"/>
  <c r="K46" i="122"/>
  <c r="K28" i="122"/>
  <c r="K29" i="122"/>
  <c r="K34" i="122"/>
  <c r="K47" i="122"/>
  <c r="K33" i="122"/>
  <c r="G45" i="187"/>
  <c r="G51" i="47"/>
  <c r="K50" i="47" s="1"/>
  <c r="H50" i="47"/>
  <c r="I50" i="47" s="1"/>
  <c r="H49" i="123"/>
  <c r="I49" i="123" s="1"/>
  <c r="K49" i="123"/>
  <c r="H44" i="180"/>
  <c r="I44" i="180" s="1"/>
  <c r="G46" i="180"/>
  <c r="H43" i="185"/>
  <c r="I43" i="185" s="1"/>
  <c r="J43" i="185"/>
  <c r="H44" i="123"/>
  <c r="I44" i="123" s="1"/>
  <c r="J44" i="123"/>
  <c r="H49" i="4"/>
  <c r="I49" i="4" s="1"/>
  <c r="J43" i="113"/>
  <c r="J30" i="113"/>
  <c r="J29" i="113"/>
  <c r="J44" i="113"/>
  <c r="J37" i="113"/>
  <c r="J25" i="113"/>
  <c r="J26" i="113"/>
  <c r="J14" i="113"/>
  <c r="J20" i="113"/>
  <c r="J24" i="113"/>
  <c r="J38" i="113"/>
  <c r="J13" i="113"/>
  <c r="H44" i="113"/>
  <c r="I44" i="113" s="1"/>
  <c r="J19" i="113"/>
  <c r="J35" i="113"/>
  <c r="J22" i="113"/>
  <c r="J39" i="113"/>
  <c r="J18" i="113"/>
  <c r="J31" i="113"/>
  <c r="J36" i="113"/>
  <c r="J34" i="113"/>
  <c r="J12" i="113"/>
  <c r="J21" i="113"/>
  <c r="J23" i="113"/>
  <c r="J27" i="113"/>
  <c r="J40" i="113"/>
  <c r="J28" i="113"/>
  <c r="J41" i="113"/>
  <c r="J33" i="113"/>
  <c r="J32" i="113"/>
  <c r="J42" i="113"/>
  <c r="K17" i="187"/>
  <c r="K30" i="187"/>
  <c r="K36" i="187"/>
  <c r="K37" i="187"/>
  <c r="K26" i="187"/>
  <c r="K32" i="187"/>
  <c r="K31" i="187"/>
  <c r="K16" i="187"/>
  <c r="K23" i="187"/>
  <c r="K38" i="187"/>
  <c r="H50" i="187"/>
  <c r="K15" i="187"/>
  <c r="K39" i="187"/>
  <c r="K27" i="187"/>
  <c r="K50" i="187"/>
  <c r="K18" i="187"/>
  <c r="K22" i="187"/>
  <c r="K25" i="187"/>
  <c r="K40" i="187"/>
  <c r="K20" i="187"/>
  <c r="K35" i="187"/>
  <c r="K19" i="187"/>
  <c r="K21" i="187"/>
  <c r="K24" i="187"/>
  <c r="K28" i="187"/>
  <c r="K29" i="187"/>
  <c r="K46" i="187"/>
  <c r="K47" i="187"/>
  <c r="K48" i="187"/>
  <c r="K34" i="187"/>
  <c r="K33" i="187"/>
  <c r="H45" i="46"/>
  <c r="I45" i="46" s="1"/>
  <c r="J44" i="185"/>
  <c r="J13" i="185"/>
  <c r="J31" i="185"/>
  <c r="J37" i="185"/>
  <c r="J30" i="185"/>
  <c r="J12" i="185"/>
  <c r="H44" i="185"/>
  <c r="I44" i="185" s="1"/>
  <c r="J19" i="185"/>
  <c r="J20" i="185"/>
  <c r="J26" i="185"/>
  <c r="J39" i="185"/>
  <c r="J36" i="185"/>
  <c r="J24" i="185"/>
  <c r="J14" i="185"/>
  <c r="J34" i="185"/>
  <c r="J25" i="185"/>
  <c r="J22" i="185"/>
  <c r="J29" i="185"/>
  <c r="J18" i="185"/>
  <c r="J38" i="185"/>
  <c r="J35" i="185"/>
  <c r="J21" i="185"/>
  <c r="J23" i="185"/>
  <c r="J40" i="185"/>
  <c r="J27" i="185"/>
  <c r="J28" i="185"/>
  <c r="J32" i="185"/>
  <c r="J41" i="185"/>
  <c r="J33" i="185"/>
  <c r="H48" i="185"/>
  <c r="I48" i="185" s="1"/>
  <c r="K48" i="185"/>
  <c r="G46" i="46"/>
  <c r="J30" i="115"/>
  <c r="J29" i="112"/>
  <c r="J26" i="112"/>
  <c r="J38" i="112"/>
  <c r="J30" i="112"/>
  <c r="J18" i="112"/>
  <c r="J19" i="112"/>
  <c r="J24" i="112"/>
  <c r="J35" i="112"/>
  <c r="J34" i="112"/>
  <c r="J14" i="112"/>
  <c r="J39" i="112"/>
  <c r="J37" i="112"/>
  <c r="H44" i="112"/>
  <c r="I44" i="112" s="1"/>
  <c r="J25" i="112"/>
  <c r="J22" i="112"/>
  <c r="J20" i="112"/>
  <c r="J44" i="112"/>
  <c r="J12" i="112"/>
  <c r="J36" i="112"/>
  <c r="J31" i="112"/>
  <c r="J13" i="112"/>
  <c r="J21" i="112"/>
  <c r="J23" i="112"/>
  <c r="J27" i="112"/>
  <c r="J40" i="112"/>
  <c r="J28" i="112"/>
  <c r="J33" i="112"/>
  <c r="J32" i="112"/>
  <c r="J41" i="112"/>
  <c r="J42" i="185"/>
  <c r="G50" i="124"/>
  <c r="K49" i="124" s="1"/>
  <c r="H49" i="124"/>
  <c r="I49" i="124" s="1"/>
  <c r="J39" i="124"/>
  <c r="J18" i="124"/>
  <c r="J32" i="124"/>
  <c r="J36" i="124"/>
  <c r="J38" i="124"/>
  <c r="J26" i="124"/>
  <c r="J40" i="124"/>
  <c r="J45" i="124"/>
  <c r="J20" i="124"/>
  <c r="J13" i="124"/>
  <c r="J37" i="124"/>
  <c r="J35" i="124"/>
  <c r="J25" i="124"/>
  <c r="J12" i="124"/>
  <c r="H45" i="124"/>
  <c r="I45" i="124" s="1"/>
  <c r="J31" i="124"/>
  <c r="J19" i="124"/>
  <c r="J22" i="124"/>
  <c r="J23" i="124"/>
  <c r="J27" i="124"/>
  <c r="J14" i="124"/>
  <c r="J30" i="124"/>
  <c r="J21" i="124"/>
  <c r="J24" i="124"/>
  <c r="J41" i="124"/>
  <c r="J28" i="124"/>
  <c r="J29" i="124"/>
  <c r="J33" i="124"/>
  <c r="J43" i="124"/>
  <c r="J34" i="124"/>
  <c r="J42" i="124"/>
  <c r="G51" i="46"/>
  <c r="H49" i="46"/>
  <c r="I49" i="46" s="1"/>
  <c r="G46" i="47"/>
  <c r="J45" i="47" s="1"/>
  <c r="H45" i="47"/>
  <c r="I45" i="47" s="1"/>
  <c r="H50" i="180"/>
  <c r="I50" i="180" s="1"/>
  <c r="K50" i="180"/>
  <c r="J20" i="133"/>
  <c r="J35" i="133"/>
  <c r="J37" i="133"/>
  <c r="J27" i="133"/>
  <c r="J23" i="133"/>
  <c r="J22" i="133"/>
  <c r="J26" i="133"/>
  <c r="J31" i="133"/>
  <c r="J30" i="133"/>
  <c r="J45" i="133"/>
  <c r="J14" i="133"/>
  <c r="J40" i="133"/>
  <c r="J25" i="133"/>
  <c r="J12" i="133"/>
  <c r="J38" i="133"/>
  <c r="J36" i="133"/>
  <c r="J18" i="133"/>
  <c r="J39" i="133"/>
  <c r="J32" i="133"/>
  <c r="J13" i="133"/>
  <c r="H45" i="133"/>
  <c r="I45" i="133" s="1"/>
  <c r="J19" i="133"/>
  <c r="J21" i="133"/>
  <c r="J24" i="133"/>
  <c r="J29" i="133"/>
  <c r="J41" i="133"/>
  <c r="J28" i="133"/>
  <c r="J42" i="133"/>
  <c r="J34" i="133"/>
  <c r="J33" i="133"/>
  <c r="G45" i="130"/>
  <c r="J43" i="133"/>
  <c r="H49" i="189"/>
  <c r="I49" i="189" s="1"/>
  <c r="K49" i="189"/>
  <c r="G45" i="189"/>
  <c r="J44" i="189" s="1"/>
  <c r="H44" i="189"/>
  <c r="I44" i="189" s="1"/>
  <c r="K50" i="190"/>
  <c r="K18" i="190"/>
  <c r="K32" i="190"/>
  <c r="K39" i="190"/>
  <c r="H50" i="190"/>
  <c r="K40" i="190"/>
  <c r="K16" i="190"/>
  <c r="K15" i="190"/>
  <c r="K37" i="190"/>
  <c r="K38" i="190"/>
  <c r="K22" i="190"/>
  <c r="K35" i="190"/>
  <c r="K25" i="190"/>
  <c r="K26" i="190"/>
  <c r="K17" i="190"/>
  <c r="K30" i="190"/>
  <c r="K23" i="190"/>
  <c r="K31" i="190"/>
  <c r="K27" i="190"/>
  <c r="K20" i="190"/>
  <c r="K36" i="190"/>
  <c r="K19" i="190"/>
  <c r="K21" i="190"/>
  <c r="K24" i="190"/>
  <c r="K29" i="190"/>
  <c r="K28" i="190"/>
  <c r="K46" i="190"/>
  <c r="K48" i="190"/>
  <c r="K47" i="190"/>
  <c r="K34" i="190"/>
  <c r="K33" i="190"/>
  <c r="G50" i="131"/>
  <c r="K49" i="131" s="1"/>
  <c r="H49" i="131"/>
  <c r="I49" i="131" s="1"/>
  <c r="I50" i="132"/>
  <c r="I41" i="179" s="1"/>
  <c r="H41" i="179"/>
  <c r="H42" i="179"/>
  <c r="I50" i="133"/>
  <c r="I42" i="179" s="1"/>
  <c r="I50" i="130"/>
  <c r="I27" i="179" s="1"/>
  <c r="H27" i="179"/>
  <c r="J43" i="129"/>
  <c r="J32" i="129"/>
  <c r="J35" i="129"/>
  <c r="J12" i="129"/>
  <c r="J36" i="129"/>
  <c r="J26" i="129"/>
  <c r="H45" i="129"/>
  <c r="I45" i="129" s="1"/>
  <c r="J31" i="129"/>
  <c r="J23" i="129"/>
  <c r="J27" i="129"/>
  <c r="J13" i="129"/>
  <c r="J38" i="129"/>
  <c r="J14" i="129"/>
  <c r="J22" i="129"/>
  <c r="J39" i="129"/>
  <c r="J45" i="129"/>
  <c r="J25" i="129"/>
  <c r="J18" i="129"/>
  <c r="J30" i="129"/>
  <c r="J20" i="129"/>
  <c r="J40" i="129"/>
  <c r="J37" i="129"/>
  <c r="J19" i="129"/>
  <c r="J21" i="129"/>
  <c r="J24" i="129"/>
  <c r="J41" i="129"/>
  <c r="J28" i="129"/>
  <c r="J29" i="129"/>
  <c r="J42" i="129"/>
  <c r="J34" i="129"/>
  <c r="J33" i="129"/>
  <c r="J27" i="132"/>
  <c r="J37" i="132"/>
  <c r="J40" i="132"/>
  <c r="J30" i="132"/>
  <c r="J22" i="132"/>
  <c r="J14" i="132"/>
  <c r="J31" i="132"/>
  <c r="J32" i="132"/>
  <c r="H45" i="132"/>
  <c r="I45" i="132" s="1"/>
  <c r="J25" i="132"/>
  <c r="J12" i="132"/>
  <c r="J36" i="132"/>
  <c r="J26" i="132"/>
  <c r="J38" i="132"/>
  <c r="J39" i="132"/>
  <c r="J35" i="132"/>
  <c r="J13" i="132"/>
  <c r="J23" i="132"/>
  <c r="J18" i="132"/>
  <c r="J20" i="132"/>
  <c r="J45" i="132"/>
  <c r="J19" i="132"/>
  <c r="J21" i="132"/>
  <c r="J24" i="132"/>
  <c r="J41" i="132"/>
  <c r="J28" i="132"/>
  <c r="J29" i="132"/>
  <c r="J33" i="132"/>
  <c r="J34" i="132"/>
  <c r="J43" i="132"/>
  <c r="J42" i="132"/>
  <c r="J44" i="190"/>
  <c r="J27" i="190"/>
  <c r="J25" i="190"/>
  <c r="J13" i="190"/>
  <c r="J22" i="190"/>
  <c r="J32" i="190"/>
  <c r="J20" i="190"/>
  <c r="J45" i="190"/>
  <c r="H45" i="190"/>
  <c r="I45" i="190" s="1"/>
  <c r="J14" i="190"/>
  <c r="J39" i="190"/>
  <c r="J30" i="190"/>
  <c r="J23" i="190"/>
  <c r="J38" i="190"/>
  <c r="J31" i="190"/>
  <c r="J26" i="190"/>
  <c r="J35" i="190"/>
  <c r="J18" i="190"/>
  <c r="J36" i="190"/>
  <c r="J12" i="190"/>
  <c r="J40" i="190"/>
  <c r="J37" i="190"/>
  <c r="J19" i="190"/>
  <c r="J21" i="190"/>
  <c r="J24" i="190"/>
  <c r="J29" i="190"/>
  <c r="J28" i="190"/>
  <c r="J41" i="190"/>
  <c r="J34" i="190"/>
  <c r="J42" i="190"/>
  <c r="J43" i="190"/>
  <c r="J33" i="190"/>
  <c r="G50" i="129"/>
  <c r="K49" i="129" s="1"/>
  <c r="H49" i="129"/>
  <c r="I49" i="129" s="1"/>
  <c r="H44" i="133"/>
  <c r="I44" i="133" s="1"/>
  <c r="J44" i="133"/>
  <c r="K40" i="189"/>
  <c r="K26" i="189"/>
  <c r="K17" i="189"/>
  <c r="K37" i="189"/>
  <c r="K20" i="189"/>
  <c r="K32" i="189"/>
  <c r="K25" i="189"/>
  <c r="K39" i="189"/>
  <c r="K27" i="189"/>
  <c r="K22" i="189"/>
  <c r="K38" i="189"/>
  <c r="K18" i="189"/>
  <c r="K36" i="189"/>
  <c r="K23" i="189"/>
  <c r="H50" i="189"/>
  <c r="K30" i="189"/>
  <c r="K35" i="189"/>
  <c r="K15" i="189"/>
  <c r="K31" i="189"/>
  <c r="K16" i="189"/>
  <c r="K50" i="189"/>
  <c r="K19" i="189"/>
  <c r="K21" i="189"/>
  <c r="K24" i="189"/>
  <c r="K46" i="189"/>
  <c r="K29" i="189"/>
  <c r="K28" i="189"/>
  <c r="K34" i="189"/>
  <c r="K33" i="189"/>
  <c r="K47" i="189"/>
  <c r="K22" i="115" l="1"/>
  <c r="K21" i="115"/>
  <c r="K19" i="115"/>
  <c r="K32" i="115"/>
  <c r="K25" i="115"/>
  <c r="K28" i="115"/>
  <c r="K35" i="115"/>
  <c r="K39" i="115"/>
  <c r="K36" i="115"/>
  <c r="K37" i="115"/>
  <c r="K29" i="115"/>
  <c r="K27" i="115"/>
  <c r="K18" i="115"/>
  <c r="K24" i="115"/>
  <c r="K30" i="115"/>
  <c r="J26" i="115"/>
  <c r="J29" i="115"/>
  <c r="J41" i="115"/>
  <c r="J44" i="115"/>
  <c r="H24" i="179"/>
  <c r="K33" i="115"/>
  <c r="K45" i="115"/>
  <c r="K15" i="115"/>
  <c r="K31" i="115"/>
  <c r="K49" i="115"/>
  <c r="K20" i="115"/>
  <c r="K34" i="115"/>
  <c r="K48" i="115"/>
  <c r="J28" i="115"/>
  <c r="J24" i="115"/>
  <c r="J34" i="115"/>
  <c r="J35" i="115"/>
  <c r="J40" i="115"/>
  <c r="J22" i="115"/>
  <c r="J31" i="115"/>
  <c r="K46" i="115"/>
  <c r="K23" i="115"/>
  <c r="K16" i="115"/>
  <c r="K26" i="115"/>
  <c r="K17" i="115"/>
  <c r="H49" i="115"/>
  <c r="H6" i="179" s="1"/>
  <c r="K38" i="115"/>
  <c r="J21" i="115"/>
  <c r="J19" i="115"/>
  <c r="H44" i="115"/>
  <c r="I44" i="115" s="1"/>
  <c r="J33" i="115"/>
  <c r="J23" i="115"/>
  <c r="J12" i="115"/>
  <c r="J18" i="115"/>
  <c r="J13" i="115"/>
  <c r="J37" i="115"/>
  <c r="J25" i="115"/>
  <c r="J32" i="115"/>
  <c r="J27" i="115"/>
  <c r="J20" i="115"/>
  <c r="J36" i="115"/>
  <c r="J39" i="115"/>
  <c r="J14" i="115"/>
  <c r="J38" i="115"/>
  <c r="J43" i="115"/>
  <c r="K27" i="46"/>
  <c r="K26" i="46"/>
  <c r="K41" i="46"/>
  <c r="K39" i="46"/>
  <c r="K28" i="46"/>
  <c r="K17" i="46"/>
  <c r="K31" i="46"/>
  <c r="K21" i="46"/>
  <c r="K15" i="46"/>
  <c r="K40" i="46"/>
  <c r="K51" i="46"/>
  <c r="K22" i="46"/>
  <c r="K18" i="46"/>
  <c r="K33" i="46"/>
  <c r="K37" i="46"/>
  <c r="K20" i="46"/>
  <c r="K16" i="46"/>
  <c r="K38" i="46"/>
  <c r="K19" i="46"/>
  <c r="K32" i="46"/>
  <c r="K36" i="46"/>
  <c r="H51" i="46"/>
  <c r="K24" i="46"/>
  <c r="K23" i="46"/>
  <c r="K25" i="46"/>
  <c r="K30" i="46"/>
  <c r="K47" i="46"/>
  <c r="K29" i="46"/>
  <c r="K35" i="46"/>
  <c r="K34" i="46"/>
  <c r="K48" i="46"/>
  <c r="K49" i="46"/>
  <c r="J28" i="180"/>
  <c r="J26" i="180"/>
  <c r="H46" i="180"/>
  <c r="I46" i="180" s="1"/>
  <c r="J20" i="180"/>
  <c r="J18" i="180"/>
  <c r="J14" i="180"/>
  <c r="J33" i="180"/>
  <c r="J36" i="180"/>
  <c r="J46" i="180"/>
  <c r="J12" i="180"/>
  <c r="J24" i="180"/>
  <c r="J27" i="180"/>
  <c r="J13" i="180"/>
  <c r="J40" i="180"/>
  <c r="J32" i="180"/>
  <c r="J22" i="180"/>
  <c r="J19" i="180"/>
  <c r="J21" i="180"/>
  <c r="J38" i="180"/>
  <c r="J31" i="180"/>
  <c r="J37" i="180"/>
  <c r="J41" i="180"/>
  <c r="J39" i="180"/>
  <c r="J23" i="180"/>
  <c r="J25" i="180"/>
  <c r="J42" i="180"/>
  <c r="J29" i="180"/>
  <c r="J30" i="180"/>
  <c r="J34" i="180"/>
  <c r="J43" i="180"/>
  <c r="J35" i="180"/>
  <c r="J44" i="180"/>
  <c r="J44" i="47"/>
  <c r="J22" i="47"/>
  <c r="J38" i="47"/>
  <c r="J24" i="47"/>
  <c r="J31" i="47"/>
  <c r="J21" i="47"/>
  <c r="J37" i="47"/>
  <c r="J12" i="47"/>
  <c r="J39" i="47"/>
  <c r="J26" i="47"/>
  <c r="J32" i="47"/>
  <c r="J20" i="47"/>
  <c r="J14" i="47"/>
  <c r="J33" i="47"/>
  <c r="J19" i="47"/>
  <c r="J27" i="47"/>
  <c r="J28" i="47"/>
  <c r="J46" i="47"/>
  <c r="J40" i="47"/>
  <c r="J13" i="47"/>
  <c r="J41" i="47"/>
  <c r="J18" i="47"/>
  <c r="J36" i="47"/>
  <c r="H46" i="47"/>
  <c r="I46" i="47" s="1"/>
  <c r="J23" i="47"/>
  <c r="J25" i="47"/>
  <c r="J29" i="47"/>
  <c r="J42" i="47"/>
  <c r="J30" i="47"/>
  <c r="J35" i="47"/>
  <c r="J34" i="47"/>
  <c r="J43" i="47"/>
  <c r="K34" i="124"/>
  <c r="K18" i="124"/>
  <c r="K36" i="124"/>
  <c r="K17" i="124"/>
  <c r="K35" i="124"/>
  <c r="K32" i="124"/>
  <c r="K40" i="124"/>
  <c r="K25" i="124"/>
  <c r="K31" i="124"/>
  <c r="K26" i="124"/>
  <c r="K30" i="124"/>
  <c r="K27" i="124"/>
  <c r="K20" i="124"/>
  <c r="H50" i="124"/>
  <c r="K39" i="124"/>
  <c r="K15" i="124"/>
  <c r="K16" i="124"/>
  <c r="K23" i="124"/>
  <c r="K19" i="124"/>
  <c r="K38" i="124"/>
  <c r="K22" i="124"/>
  <c r="K50" i="124"/>
  <c r="K37" i="124"/>
  <c r="K21" i="124"/>
  <c r="K24" i="124"/>
  <c r="K28" i="124"/>
  <c r="K29" i="124"/>
  <c r="K46" i="124"/>
  <c r="K47" i="124"/>
  <c r="K33" i="124"/>
  <c r="K48" i="124"/>
  <c r="K16" i="47"/>
  <c r="K17" i="47"/>
  <c r="K33" i="47"/>
  <c r="K37" i="47"/>
  <c r="K41" i="47"/>
  <c r="K18" i="47"/>
  <c r="K20" i="47"/>
  <c r="K28" i="47"/>
  <c r="K21" i="47"/>
  <c r="K19" i="47"/>
  <c r="K22" i="47"/>
  <c r="K26" i="47"/>
  <c r="K39" i="47"/>
  <c r="K51" i="47"/>
  <c r="K38" i="47"/>
  <c r="H51" i="47"/>
  <c r="K32" i="47"/>
  <c r="K15" i="47"/>
  <c r="K24" i="47"/>
  <c r="K36" i="47"/>
  <c r="K31" i="47"/>
  <c r="K40" i="47"/>
  <c r="K27" i="47"/>
  <c r="K23" i="47"/>
  <c r="K25" i="47"/>
  <c r="K30" i="47"/>
  <c r="K47" i="47"/>
  <c r="K29" i="47"/>
  <c r="K49" i="47"/>
  <c r="K48" i="47"/>
  <c r="K35" i="47"/>
  <c r="K34" i="47"/>
  <c r="I50" i="122"/>
  <c r="I20" i="179" s="1"/>
  <c r="H20" i="179"/>
  <c r="I51" i="180"/>
  <c r="I4" i="7" s="1"/>
  <c r="H4" i="7"/>
  <c r="H21" i="179"/>
  <c r="I50" i="187"/>
  <c r="I21" i="179" s="1"/>
  <c r="J26" i="46"/>
  <c r="J20" i="46"/>
  <c r="J31" i="46"/>
  <c r="H46" i="46"/>
  <c r="I46" i="46" s="1"/>
  <c r="J46" i="46"/>
  <c r="J38" i="46"/>
  <c r="J40" i="46"/>
  <c r="J37" i="46"/>
  <c r="J33" i="46"/>
  <c r="J41" i="46"/>
  <c r="J39" i="46"/>
  <c r="J21" i="46"/>
  <c r="J32" i="46"/>
  <c r="J18" i="46"/>
  <c r="J22" i="46"/>
  <c r="J27" i="46"/>
  <c r="J13" i="46"/>
  <c r="J12" i="46"/>
  <c r="J14" i="46"/>
  <c r="J19" i="46"/>
  <c r="J36" i="46"/>
  <c r="J24" i="46"/>
  <c r="J28" i="46"/>
  <c r="J23" i="46"/>
  <c r="J25" i="46"/>
  <c r="J29" i="46"/>
  <c r="J42" i="46"/>
  <c r="J30" i="46"/>
  <c r="J35" i="46"/>
  <c r="J43" i="46"/>
  <c r="J44" i="46"/>
  <c r="J34" i="46"/>
  <c r="J45" i="46"/>
  <c r="J44" i="187"/>
  <c r="J23" i="187"/>
  <c r="J22" i="187"/>
  <c r="J39" i="187"/>
  <c r="H45" i="187"/>
  <c r="I45" i="187" s="1"/>
  <c r="J32" i="187"/>
  <c r="J12" i="187"/>
  <c r="J18" i="187"/>
  <c r="J26" i="187"/>
  <c r="J30" i="187"/>
  <c r="J35" i="187"/>
  <c r="J19" i="187"/>
  <c r="J37" i="187"/>
  <c r="J13" i="187"/>
  <c r="J20" i="187"/>
  <c r="J45" i="187"/>
  <c r="J31" i="187"/>
  <c r="J38" i="187"/>
  <c r="J14" i="187"/>
  <c r="J40" i="187"/>
  <c r="J36" i="187"/>
  <c r="J25" i="187"/>
  <c r="J27" i="187"/>
  <c r="J21" i="187"/>
  <c r="J24" i="187"/>
  <c r="J29" i="187"/>
  <c r="J28" i="187"/>
  <c r="J41" i="187"/>
  <c r="J42" i="187"/>
  <c r="J34" i="187"/>
  <c r="J33" i="187"/>
  <c r="J43" i="187"/>
  <c r="K46" i="113"/>
  <c r="K18" i="113"/>
  <c r="K26" i="113"/>
  <c r="K31" i="113"/>
  <c r="K30" i="113"/>
  <c r="K15" i="113"/>
  <c r="K38" i="113"/>
  <c r="K36" i="113"/>
  <c r="K35" i="113"/>
  <c r="K19" i="113"/>
  <c r="K25" i="113"/>
  <c r="K49" i="113"/>
  <c r="K37" i="113"/>
  <c r="K34" i="113"/>
  <c r="H49" i="113"/>
  <c r="K24" i="113"/>
  <c r="K20" i="113"/>
  <c r="K39" i="113"/>
  <c r="K17" i="113"/>
  <c r="K16" i="113"/>
  <c r="K22" i="113"/>
  <c r="K29" i="113"/>
  <c r="K21" i="113"/>
  <c r="K23" i="113"/>
  <c r="K45" i="113"/>
  <c r="K28" i="113"/>
  <c r="K27" i="113"/>
  <c r="K33" i="113"/>
  <c r="K32" i="113"/>
  <c r="K47" i="113"/>
  <c r="I49" i="115"/>
  <c r="I6" i="179" s="1"/>
  <c r="J38" i="4"/>
  <c r="J31" i="4"/>
  <c r="J20" i="4"/>
  <c r="J36" i="4"/>
  <c r="J40" i="4"/>
  <c r="J13" i="4"/>
  <c r="J28" i="4"/>
  <c r="J41" i="4"/>
  <c r="J37" i="4"/>
  <c r="J24" i="4"/>
  <c r="J32" i="4"/>
  <c r="J22" i="4"/>
  <c r="J46" i="4"/>
  <c r="J39" i="4"/>
  <c r="J18" i="4"/>
  <c r="J26" i="4"/>
  <c r="J27" i="4"/>
  <c r="J21" i="4"/>
  <c r="J19" i="4"/>
  <c r="J14" i="4"/>
  <c r="J33" i="4"/>
  <c r="J12" i="4"/>
  <c r="H46" i="4"/>
  <c r="I46" i="4" s="1"/>
  <c r="J23" i="4"/>
  <c r="J25" i="4"/>
  <c r="J42" i="4"/>
  <c r="J30" i="4"/>
  <c r="J29" i="4"/>
  <c r="J35" i="4"/>
  <c r="J44" i="4"/>
  <c r="J34" i="4"/>
  <c r="J43" i="4"/>
  <c r="H50" i="46"/>
  <c r="I50" i="46" s="1"/>
  <c r="K50" i="46"/>
  <c r="G51" i="4"/>
  <c r="K50" i="4" s="1"/>
  <c r="H50" i="4"/>
  <c r="I50" i="4" s="1"/>
  <c r="H45" i="180"/>
  <c r="I45" i="180" s="1"/>
  <c r="J45" i="180"/>
  <c r="H22" i="179"/>
  <c r="I50" i="123"/>
  <c r="I22" i="179" s="1"/>
  <c r="K26" i="112"/>
  <c r="K36" i="112"/>
  <c r="K34" i="112"/>
  <c r="K22" i="112"/>
  <c r="K30" i="112"/>
  <c r="K31" i="112"/>
  <c r="K39" i="112"/>
  <c r="K15" i="112"/>
  <c r="K49" i="112"/>
  <c r="K20" i="112"/>
  <c r="H49" i="112"/>
  <c r="K18" i="112"/>
  <c r="K16" i="112"/>
  <c r="K29" i="112"/>
  <c r="K38" i="112"/>
  <c r="K25" i="112"/>
  <c r="K17" i="112"/>
  <c r="K35" i="112"/>
  <c r="K19" i="112"/>
  <c r="K24" i="112"/>
  <c r="K37" i="112"/>
  <c r="K21" i="112"/>
  <c r="K23" i="112"/>
  <c r="K45" i="112"/>
  <c r="K27" i="112"/>
  <c r="K28" i="112"/>
  <c r="K32" i="112"/>
  <c r="K46" i="112"/>
  <c r="K33" i="112"/>
  <c r="K47" i="112"/>
  <c r="I49" i="185"/>
  <c r="I4" i="179" s="1"/>
  <c r="H4" i="179"/>
  <c r="J42" i="189"/>
  <c r="J14" i="189"/>
  <c r="J13" i="189"/>
  <c r="J36" i="189"/>
  <c r="J26" i="189"/>
  <c r="J12" i="189"/>
  <c r="J27" i="189"/>
  <c r="J20" i="189"/>
  <c r="H45" i="189"/>
  <c r="I45" i="189" s="1"/>
  <c r="J35" i="189"/>
  <c r="J30" i="189"/>
  <c r="J23" i="189"/>
  <c r="J32" i="189"/>
  <c r="J38" i="189"/>
  <c r="J25" i="189"/>
  <c r="J39" i="189"/>
  <c r="J45" i="189"/>
  <c r="J31" i="189"/>
  <c r="J22" i="189"/>
  <c r="J37" i="189"/>
  <c r="J18" i="189"/>
  <c r="J40" i="189"/>
  <c r="J19" i="189"/>
  <c r="J21" i="189"/>
  <c r="J24" i="189"/>
  <c r="J41" i="189"/>
  <c r="J29" i="189"/>
  <c r="J28" i="189"/>
  <c r="J33" i="189"/>
  <c r="J34" i="189"/>
  <c r="J43" i="189"/>
  <c r="J44" i="130"/>
  <c r="J26" i="130"/>
  <c r="J27" i="130"/>
  <c r="J25" i="130"/>
  <c r="J39" i="130"/>
  <c r="J36" i="130"/>
  <c r="H45" i="130"/>
  <c r="I45" i="130" s="1"/>
  <c r="J31" i="130"/>
  <c r="J18" i="130"/>
  <c r="J23" i="130"/>
  <c r="J45" i="130"/>
  <c r="J14" i="130"/>
  <c r="J38" i="130"/>
  <c r="J40" i="130"/>
  <c r="J35" i="130"/>
  <c r="J37" i="130"/>
  <c r="J12" i="130"/>
  <c r="J20" i="130"/>
  <c r="J30" i="130"/>
  <c r="J22" i="130"/>
  <c r="J32" i="130"/>
  <c r="J13" i="130"/>
  <c r="J19" i="130"/>
  <c r="J21" i="130"/>
  <c r="J24" i="130"/>
  <c r="J28" i="130"/>
  <c r="J41" i="130"/>
  <c r="J29" i="130"/>
  <c r="J33" i="130"/>
  <c r="J34" i="130"/>
  <c r="J42" i="130"/>
  <c r="J43" i="130"/>
  <c r="K17" i="129"/>
  <c r="K36" i="129"/>
  <c r="K50" i="129"/>
  <c r="H50" i="129"/>
  <c r="K30" i="129"/>
  <c r="K31" i="129"/>
  <c r="K27" i="129"/>
  <c r="K23" i="129"/>
  <c r="K40" i="129"/>
  <c r="K18" i="129"/>
  <c r="K25" i="129"/>
  <c r="K35" i="129"/>
  <c r="K22" i="129"/>
  <c r="K38" i="129"/>
  <c r="K26" i="129"/>
  <c r="K39" i="129"/>
  <c r="K32" i="129"/>
  <c r="K20" i="129"/>
  <c r="K15" i="129"/>
  <c r="K16" i="129"/>
  <c r="K37" i="129"/>
  <c r="K19" i="129"/>
  <c r="K21" i="129"/>
  <c r="K24" i="129"/>
  <c r="K29" i="129"/>
  <c r="K28" i="129"/>
  <c r="K46" i="129"/>
  <c r="K47" i="129"/>
  <c r="K33" i="129"/>
  <c r="K34" i="129"/>
  <c r="K48" i="129"/>
  <c r="H40" i="179"/>
  <c r="I50" i="190"/>
  <c r="I40" i="179" s="1"/>
  <c r="I50" i="189"/>
  <c r="I25" i="179" s="1"/>
  <c r="H25" i="179"/>
  <c r="K33" i="131"/>
  <c r="K39" i="131"/>
  <c r="K38" i="131"/>
  <c r="K40" i="131"/>
  <c r="K37" i="131"/>
  <c r="K27" i="131"/>
  <c r="K26" i="131"/>
  <c r="K25" i="131"/>
  <c r="K30" i="131"/>
  <c r="H50" i="131"/>
  <c r="K35" i="131"/>
  <c r="K23" i="131"/>
  <c r="K32" i="131"/>
  <c r="K16" i="131"/>
  <c r="K18" i="131"/>
  <c r="K15" i="131"/>
  <c r="K36" i="131"/>
  <c r="K20" i="131"/>
  <c r="K17" i="131"/>
  <c r="K50" i="131"/>
  <c r="K31" i="131"/>
  <c r="K22" i="131"/>
  <c r="K19" i="131"/>
  <c r="K21" i="131"/>
  <c r="K24" i="131"/>
  <c r="K28" i="131"/>
  <c r="K46" i="131"/>
  <c r="K29" i="131"/>
  <c r="K47" i="131"/>
  <c r="K34" i="131"/>
  <c r="K48" i="131"/>
  <c r="I51" i="47" l="1"/>
  <c r="I5" i="7" s="1"/>
  <c r="H5" i="7"/>
  <c r="H3" i="179"/>
  <c r="I49" i="112"/>
  <c r="I3" i="179" s="1"/>
  <c r="H23" i="179"/>
  <c r="I50" i="124"/>
  <c r="I23" i="179" s="1"/>
  <c r="I51" i="46"/>
  <c r="I3" i="7" s="1"/>
  <c r="H3" i="7"/>
  <c r="K34" i="4"/>
  <c r="K39" i="4"/>
  <c r="K38" i="4"/>
  <c r="K22" i="4"/>
  <c r="K20" i="4"/>
  <c r="K21" i="4"/>
  <c r="K28" i="4"/>
  <c r="K24" i="4"/>
  <c r="K27" i="4"/>
  <c r="K17" i="4"/>
  <c r="K51" i="4"/>
  <c r="H51" i="4"/>
  <c r="K15" i="4"/>
  <c r="K26" i="4"/>
  <c r="K41" i="4"/>
  <c r="K32" i="4"/>
  <c r="K40" i="4"/>
  <c r="K31" i="4"/>
  <c r="K33" i="4"/>
  <c r="K16" i="4"/>
  <c r="K37" i="4"/>
  <c r="K19" i="4"/>
  <c r="K18" i="4"/>
  <c r="K36" i="4"/>
  <c r="K23" i="4"/>
  <c r="K25" i="4"/>
  <c r="K29" i="4"/>
  <c r="K30" i="4"/>
  <c r="K47" i="4"/>
  <c r="K35" i="4"/>
  <c r="K48" i="4"/>
  <c r="K49" i="4"/>
  <c r="I49" i="113"/>
  <c r="I5" i="179" s="1"/>
  <c r="H5" i="179"/>
  <c r="I50" i="131"/>
  <c r="I39" i="179" s="1"/>
  <c r="H39" i="179"/>
  <c r="I50" i="129"/>
  <c r="I26" i="179" s="1"/>
  <c r="H26" i="179"/>
  <c r="H2" i="7" l="1"/>
  <c r="I51" i="4"/>
  <c r="I2" i="7" s="1"/>
  <c r="S11" i="3" l="1"/>
  <c r="S7" i="3"/>
  <c r="S10" i="3"/>
  <c r="S8" i="3"/>
  <c r="S9" i="3"/>
  <c r="F23" i="62" l="1"/>
  <c r="G23" i="62" s="1"/>
  <c r="F23" i="60"/>
  <c r="G23" i="60" s="1"/>
  <c r="F23" i="183"/>
  <c r="G23" i="183" s="1"/>
  <c r="F23" i="61"/>
  <c r="G23" i="61" s="1"/>
  <c r="F18" i="197"/>
  <c r="G18" i="197" s="1"/>
  <c r="F18" i="198"/>
  <c r="G18" i="198" s="1"/>
  <c r="F19" i="67"/>
  <c r="G19" i="67" s="1"/>
  <c r="F19" i="65"/>
  <c r="G19" i="65" s="1"/>
  <c r="F19" i="174"/>
  <c r="G19" i="174" s="1"/>
  <c r="F23" i="57"/>
  <c r="G23" i="57" s="1"/>
  <c r="F23" i="59"/>
  <c r="G23" i="59" s="1"/>
  <c r="F23" i="184"/>
  <c r="G23" i="184" s="1"/>
  <c r="F23" i="58"/>
  <c r="G23" i="58" s="1"/>
  <c r="F18" i="144"/>
  <c r="G18" i="144" s="1"/>
  <c r="F19" i="25"/>
  <c r="G19" i="25" s="1"/>
  <c r="F18" i="157"/>
  <c r="G18" i="157" s="1"/>
  <c r="F19" i="64"/>
  <c r="G19" i="64" s="1"/>
  <c r="F18" i="160"/>
  <c r="G18" i="160" s="1"/>
  <c r="F19" i="169"/>
  <c r="G19" i="169" s="1"/>
  <c r="F18" i="151"/>
  <c r="G18" i="151" s="1"/>
  <c r="F18" i="154"/>
  <c r="G18" i="154" s="1"/>
  <c r="F19" i="175"/>
  <c r="G19" i="175" s="1"/>
  <c r="F18" i="141"/>
  <c r="G18" i="141" s="1"/>
  <c r="F19" i="68"/>
  <c r="G19" i="68" s="1"/>
  <c r="F19" i="70"/>
  <c r="G19" i="70" s="1"/>
  <c r="G22" i="160" l="1"/>
  <c r="H18" i="160"/>
  <c r="I18" i="160" s="1"/>
  <c r="G25" i="183"/>
  <c r="H23" i="183"/>
  <c r="I23" i="183" s="1"/>
  <c r="G22" i="70"/>
  <c r="H19" i="70"/>
  <c r="I19" i="70" s="1"/>
  <c r="G22" i="68"/>
  <c r="H19" i="68"/>
  <c r="I19" i="68" s="1"/>
  <c r="G21" i="141"/>
  <c r="H18" i="141"/>
  <c r="I18" i="141" s="1"/>
  <c r="H18" i="151"/>
  <c r="I18" i="151" s="1"/>
  <c r="G22" i="151"/>
  <c r="G22" i="25"/>
  <c r="H19" i="25"/>
  <c r="I19" i="25" s="1"/>
  <c r="G25" i="59"/>
  <c r="H23" i="59"/>
  <c r="I23" i="59" s="1"/>
  <c r="G22" i="65"/>
  <c r="H19" i="65"/>
  <c r="I19" i="65" s="1"/>
  <c r="G25" i="61"/>
  <c r="H23" i="61"/>
  <c r="I23" i="61" s="1"/>
  <c r="H19" i="175"/>
  <c r="I19" i="175" s="1"/>
  <c r="G22" i="175"/>
  <c r="G22" i="64"/>
  <c r="H19" i="64"/>
  <c r="I19" i="64" s="1"/>
  <c r="H18" i="144"/>
  <c r="I18" i="144" s="1"/>
  <c r="G21" i="144"/>
  <c r="G25" i="58"/>
  <c r="H23" i="58"/>
  <c r="I23" i="58" s="1"/>
  <c r="H23" i="60"/>
  <c r="I23" i="60" s="1"/>
  <c r="G25" i="60"/>
  <c r="G25" i="57"/>
  <c r="H23" i="57"/>
  <c r="I23" i="57" s="1"/>
  <c r="H18" i="198"/>
  <c r="I18" i="198" s="1"/>
  <c r="G22" i="198"/>
  <c r="H18" i="154"/>
  <c r="I18" i="154" s="1"/>
  <c r="G22" i="154"/>
  <c r="G22" i="169"/>
  <c r="H19" i="169"/>
  <c r="I19" i="169" s="1"/>
  <c r="G22" i="157"/>
  <c r="H18" i="157"/>
  <c r="I18" i="157" s="1"/>
  <c r="G25" i="184"/>
  <c r="H23" i="184"/>
  <c r="I23" i="184" s="1"/>
  <c r="H19" i="174"/>
  <c r="I19" i="174" s="1"/>
  <c r="G22" i="174"/>
  <c r="H19" i="67"/>
  <c r="I19" i="67" s="1"/>
  <c r="G22" i="67"/>
  <c r="G22" i="197"/>
  <c r="H18" i="197"/>
  <c r="I18" i="197" s="1"/>
  <c r="G25" i="62"/>
  <c r="H23" i="62"/>
  <c r="I23" i="62" s="1"/>
  <c r="H22" i="174" l="1"/>
  <c r="G24" i="174"/>
  <c r="G47" i="57"/>
  <c r="G50" i="57" s="1"/>
  <c r="G30" i="57"/>
  <c r="H25" i="57"/>
  <c r="G42" i="57"/>
  <c r="G45" i="57" s="1"/>
  <c r="G29" i="57"/>
  <c r="G42" i="61"/>
  <c r="G45" i="61" s="1"/>
  <c r="H25" i="61"/>
  <c r="G29" i="61"/>
  <c r="G47" i="61"/>
  <c r="G50" i="61" s="1"/>
  <c r="G30" i="61"/>
  <c r="H22" i="25"/>
  <c r="G24" i="25"/>
  <c r="H22" i="151"/>
  <c r="G24" i="151"/>
  <c r="H22" i="160"/>
  <c r="G24" i="160"/>
  <c r="H22" i="67"/>
  <c r="G24" i="67"/>
  <c r="G30" i="184"/>
  <c r="G29" i="184"/>
  <c r="H25" i="184"/>
  <c r="G47" i="184"/>
  <c r="G50" i="184" s="1"/>
  <c r="G42" i="184"/>
  <c r="G45" i="184" s="1"/>
  <c r="G47" i="60"/>
  <c r="G50" i="60" s="1"/>
  <c r="H25" i="60"/>
  <c r="G42" i="60"/>
  <c r="G45" i="60" s="1"/>
  <c r="G29" i="60"/>
  <c r="G30" i="60"/>
  <c r="H21" i="144"/>
  <c r="G23" i="144"/>
  <c r="G24" i="64"/>
  <c r="H22" i="64"/>
  <c r="H22" i="175"/>
  <c r="G24" i="175"/>
  <c r="G23" i="141"/>
  <c r="H21" i="141"/>
  <c r="H22" i="169"/>
  <c r="I22" i="169" s="1"/>
  <c r="G24" i="169"/>
  <c r="G24" i="65"/>
  <c r="H22" i="65"/>
  <c r="G42" i="59"/>
  <c r="G45" i="59" s="1"/>
  <c r="H25" i="59"/>
  <c r="G29" i="59"/>
  <c r="G47" i="59"/>
  <c r="G50" i="59" s="1"/>
  <c r="G30" i="59"/>
  <c r="G24" i="70"/>
  <c r="H22" i="70"/>
  <c r="G29" i="183"/>
  <c r="H25" i="183"/>
  <c r="G47" i="183"/>
  <c r="G50" i="183" s="1"/>
  <c r="G42" i="183"/>
  <c r="G45" i="183" s="1"/>
  <c r="G30" i="183"/>
  <c r="G47" i="62"/>
  <c r="G50" i="62" s="1"/>
  <c r="G30" i="62"/>
  <c r="H25" i="62"/>
  <c r="G42" i="62"/>
  <c r="G45" i="62" s="1"/>
  <c r="G29" i="62"/>
  <c r="G24" i="197"/>
  <c r="H22" i="197"/>
  <c r="H22" i="157"/>
  <c r="G24" i="157"/>
  <c r="G24" i="154"/>
  <c r="H22" i="154"/>
  <c r="H22" i="198"/>
  <c r="G24" i="198"/>
  <c r="G29" i="58"/>
  <c r="H25" i="58"/>
  <c r="G30" i="58"/>
  <c r="G47" i="58"/>
  <c r="G50" i="58" s="1"/>
  <c r="G42" i="58"/>
  <c r="G45" i="58" s="1"/>
  <c r="H22" i="68"/>
  <c r="G24" i="68"/>
  <c r="G35" i="58" l="1"/>
  <c r="H30" i="58"/>
  <c r="I30" i="58" s="1"/>
  <c r="H42" i="183"/>
  <c r="I42" i="183" s="1"/>
  <c r="G43" i="183"/>
  <c r="H47" i="57"/>
  <c r="I47" i="57" s="1"/>
  <c r="G48" i="57"/>
  <c r="G49" i="57" s="1"/>
  <c r="I25" i="58"/>
  <c r="G19" i="7" s="1"/>
  <c r="F19" i="7"/>
  <c r="G28" i="198"/>
  <c r="G35" i="198"/>
  <c r="G38" i="198" s="1"/>
  <c r="H24" i="198"/>
  <c r="I24" i="198" s="1"/>
  <c r="I22" i="197"/>
  <c r="G32" i="179" s="1"/>
  <c r="F32" i="179"/>
  <c r="G34" i="62"/>
  <c r="H29" i="62"/>
  <c r="I29" i="62" s="1"/>
  <c r="H47" i="62"/>
  <c r="I47" i="62" s="1"/>
  <c r="G48" i="62"/>
  <c r="H47" i="183"/>
  <c r="I47" i="183" s="1"/>
  <c r="G48" i="183"/>
  <c r="F40" i="7"/>
  <c r="I22" i="70"/>
  <c r="G40" i="7" s="1"/>
  <c r="G48" i="59"/>
  <c r="H47" i="59"/>
  <c r="I47" i="59" s="1"/>
  <c r="F34" i="7"/>
  <c r="I22" i="64"/>
  <c r="G34" i="7" s="1"/>
  <c r="I21" i="144"/>
  <c r="G14" i="179" s="1"/>
  <c r="F14" i="179"/>
  <c r="G43" i="60"/>
  <c r="G44" i="60" s="1"/>
  <c r="H42" i="60"/>
  <c r="I42" i="60" s="1"/>
  <c r="G34" i="184"/>
  <c r="H29" i="184"/>
  <c r="I29" i="184" s="1"/>
  <c r="I22" i="67"/>
  <c r="G37" i="7" s="1"/>
  <c r="F37" i="7"/>
  <c r="G35" i="25"/>
  <c r="G38" i="25" s="1"/>
  <c r="G28" i="25"/>
  <c r="H24" i="25"/>
  <c r="I24" i="25" s="1"/>
  <c r="H30" i="61"/>
  <c r="I30" i="61" s="1"/>
  <c r="G35" i="61"/>
  <c r="H42" i="61"/>
  <c r="I42" i="61" s="1"/>
  <c r="G43" i="61"/>
  <c r="G43" i="57"/>
  <c r="H42" i="57"/>
  <c r="I42" i="57" s="1"/>
  <c r="G28" i="154"/>
  <c r="H24" i="154"/>
  <c r="I24" i="154" s="1"/>
  <c r="G35" i="154"/>
  <c r="G38" i="154" s="1"/>
  <c r="G35" i="62"/>
  <c r="H30" i="62"/>
  <c r="I30" i="62" s="1"/>
  <c r="G35" i="59"/>
  <c r="H30" i="59"/>
  <c r="I30" i="59" s="1"/>
  <c r="H23" i="144"/>
  <c r="I23" i="144" s="1"/>
  <c r="G27" i="144"/>
  <c r="G34" i="144"/>
  <c r="G37" i="144" s="1"/>
  <c r="G28" i="67"/>
  <c r="G35" i="67"/>
  <c r="G38" i="67" s="1"/>
  <c r="H24" i="67"/>
  <c r="I24" i="67" s="1"/>
  <c r="H29" i="57"/>
  <c r="I29" i="57" s="1"/>
  <c r="G34" i="57"/>
  <c r="G35" i="68"/>
  <c r="G38" i="68" s="1"/>
  <c r="G28" i="68"/>
  <c r="H24" i="68"/>
  <c r="I24" i="68" s="1"/>
  <c r="G43" i="58"/>
  <c r="G44" i="58" s="1"/>
  <c r="H42" i="58"/>
  <c r="I42" i="58" s="1"/>
  <c r="G34" i="58"/>
  <c r="H29" i="58"/>
  <c r="I29" i="58" s="1"/>
  <c r="F47" i="179"/>
  <c r="I22" i="198"/>
  <c r="G47" i="179" s="1"/>
  <c r="G28" i="157"/>
  <c r="H24" i="157"/>
  <c r="I24" i="157" s="1"/>
  <c r="G35" i="157"/>
  <c r="G38" i="157" s="1"/>
  <c r="G35" i="197"/>
  <c r="G38" i="197" s="1"/>
  <c r="H24" i="197"/>
  <c r="I24" i="197" s="1"/>
  <c r="G28" i="197"/>
  <c r="H42" i="62"/>
  <c r="I42" i="62" s="1"/>
  <c r="G43" i="62"/>
  <c r="F24" i="7"/>
  <c r="I25" i="183"/>
  <c r="G24" i="7" s="1"/>
  <c r="G35" i="70"/>
  <c r="G38" i="70" s="1"/>
  <c r="G28" i="70"/>
  <c r="H24" i="70"/>
  <c r="I24" i="70" s="1"/>
  <c r="G34" i="59"/>
  <c r="H29" i="59"/>
  <c r="I29" i="59" s="1"/>
  <c r="F35" i="7"/>
  <c r="I22" i="65"/>
  <c r="G35" i="7" s="1"/>
  <c r="I21" i="141"/>
  <c r="G15" i="179" s="1"/>
  <c r="F15" i="179"/>
  <c r="H24" i="175"/>
  <c r="I24" i="175" s="1"/>
  <c r="G28" i="175"/>
  <c r="G35" i="175"/>
  <c r="G38" i="175" s="1"/>
  <c r="G35" i="64"/>
  <c r="G38" i="64" s="1"/>
  <c r="G28" i="64"/>
  <c r="H24" i="64"/>
  <c r="I24" i="64" s="1"/>
  <c r="I25" i="60"/>
  <c r="G22" i="7" s="1"/>
  <c r="F22" i="7"/>
  <c r="G43" i="184"/>
  <c r="H42" i="184"/>
  <c r="I42" i="184" s="1"/>
  <c r="H30" i="184"/>
  <c r="I30" i="184" s="1"/>
  <c r="G35" i="184"/>
  <c r="H24" i="151"/>
  <c r="I24" i="151" s="1"/>
  <c r="G28" i="151"/>
  <c r="G35" i="151"/>
  <c r="G38" i="151" s="1"/>
  <c r="F32" i="7"/>
  <c r="I22" i="25"/>
  <c r="G32" i="7" s="1"/>
  <c r="H47" i="61"/>
  <c r="I47" i="61" s="1"/>
  <c r="G48" i="61"/>
  <c r="F18" i="7"/>
  <c r="I25" i="57"/>
  <c r="G18" i="7" s="1"/>
  <c r="H24" i="174"/>
  <c r="I24" i="174" s="1"/>
  <c r="G35" i="174"/>
  <c r="G38" i="174" s="1"/>
  <c r="G28" i="174"/>
  <c r="G43" i="59"/>
  <c r="H42" i="59"/>
  <c r="I42" i="59" s="1"/>
  <c r="H29" i="60"/>
  <c r="I29" i="60" s="1"/>
  <c r="G34" i="60"/>
  <c r="I25" i="184"/>
  <c r="G20" i="7" s="1"/>
  <c r="F20" i="7"/>
  <c r="F31" i="179"/>
  <c r="I22" i="160"/>
  <c r="G31" i="179" s="1"/>
  <c r="I25" i="61"/>
  <c r="G23" i="7" s="1"/>
  <c r="F23" i="7"/>
  <c r="I22" i="68"/>
  <c r="G38" i="7" s="1"/>
  <c r="F38" i="7"/>
  <c r="G48" i="58"/>
  <c r="G49" i="58" s="1"/>
  <c r="H47" i="58"/>
  <c r="I47" i="58" s="1"/>
  <c r="F48" i="179"/>
  <c r="I22" i="154"/>
  <c r="G48" i="179" s="1"/>
  <c r="F46" i="179"/>
  <c r="I22" i="157"/>
  <c r="G46" i="179" s="1"/>
  <c r="I25" i="62"/>
  <c r="G25" i="7" s="1"/>
  <c r="F25" i="7"/>
  <c r="H30" i="183"/>
  <c r="I30" i="183" s="1"/>
  <c r="G35" i="183"/>
  <c r="H29" i="183"/>
  <c r="I29" i="183" s="1"/>
  <c r="G34" i="183"/>
  <c r="F21" i="7"/>
  <c r="I25" i="59"/>
  <c r="G21" i="7" s="1"/>
  <c r="G28" i="65"/>
  <c r="G35" i="65"/>
  <c r="G38" i="65" s="1"/>
  <c r="H24" i="65"/>
  <c r="I24" i="65" s="1"/>
  <c r="G28" i="169"/>
  <c r="H24" i="169"/>
  <c r="G35" i="169"/>
  <c r="G38" i="169" s="1"/>
  <c r="H23" i="141"/>
  <c r="I23" i="141" s="1"/>
  <c r="G27" i="141"/>
  <c r="G34" i="141"/>
  <c r="G37" i="141" s="1"/>
  <c r="I22" i="175"/>
  <c r="G39" i="7" s="1"/>
  <c r="F39" i="7"/>
  <c r="G35" i="60"/>
  <c r="H30" i="60"/>
  <c r="I30" i="60" s="1"/>
  <c r="G48" i="60"/>
  <c r="H47" i="60"/>
  <c r="I47" i="60" s="1"/>
  <c r="G48" i="184"/>
  <c r="H47" i="184"/>
  <c r="I47" i="184" s="1"/>
  <c r="H24" i="160"/>
  <c r="I24" i="160" s="1"/>
  <c r="G28" i="160"/>
  <c r="G35" i="160"/>
  <c r="G38" i="160" s="1"/>
  <c r="I22" i="151"/>
  <c r="G33" i="179" s="1"/>
  <c r="F33" i="179"/>
  <c r="G34" i="61"/>
  <c r="H29" i="61"/>
  <c r="I29" i="61" s="1"/>
  <c r="G35" i="57"/>
  <c r="H30" i="57"/>
  <c r="I30" i="57" s="1"/>
  <c r="I22" i="174"/>
  <c r="G36" i="7" s="1"/>
  <c r="F36" i="7"/>
  <c r="G51" i="57" l="1"/>
  <c r="H49" i="57"/>
  <c r="I49" i="57" s="1"/>
  <c r="H35" i="160"/>
  <c r="I35" i="160" s="1"/>
  <c r="G36" i="160"/>
  <c r="H34" i="183"/>
  <c r="I34" i="183" s="1"/>
  <c r="H28" i="174"/>
  <c r="I28" i="174" s="1"/>
  <c r="H28" i="151"/>
  <c r="I28" i="151" s="1"/>
  <c r="H35" i="175"/>
  <c r="I35" i="175" s="1"/>
  <c r="G36" i="175"/>
  <c r="H34" i="57"/>
  <c r="I34" i="57" s="1"/>
  <c r="H28" i="160"/>
  <c r="I28" i="160" s="1"/>
  <c r="G49" i="184"/>
  <c r="H48" i="184"/>
  <c r="I48" i="184" s="1"/>
  <c r="H48" i="60"/>
  <c r="I48" i="60" s="1"/>
  <c r="H35" i="60"/>
  <c r="I35" i="60" s="1"/>
  <c r="H34" i="141"/>
  <c r="I34" i="141" s="1"/>
  <c r="G35" i="141"/>
  <c r="G36" i="169"/>
  <c r="G37" i="169" s="1"/>
  <c r="H35" i="169"/>
  <c r="I35" i="169" s="1"/>
  <c r="H49" i="58"/>
  <c r="I49" i="58" s="1"/>
  <c r="H50" i="58"/>
  <c r="I50" i="58" s="1"/>
  <c r="G36" i="174"/>
  <c r="G37" i="174" s="1"/>
  <c r="H35" i="174"/>
  <c r="I35" i="174" s="1"/>
  <c r="H28" i="64"/>
  <c r="I28" i="64" s="1"/>
  <c r="H28" i="175"/>
  <c r="I28" i="175" s="1"/>
  <c r="H28" i="70"/>
  <c r="I28" i="70" s="1"/>
  <c r="H28" i="197"/>
  <c r="I28" i="197" s="1"/>
  <c r="G36" i="157"/>
  <c r="H35" i="157"/>
  <c r="I35" i="157" s="1"/>
  <c r="H34" i="58"/>
  <c r="I34" i="58" s="1"/>
  <c r="H43" i="58"/>
  <c r="I43" i="58" s="1"/>
  <c r="G36" i="68"/>
  <c r="G37" i="68" s="1"/>
  <c r="H35" i="68"/>
  <c r="I35" i="68" s="1"/>
  <c r="H28" i="67"/>
  <c r="I28" i="67" s="1"/>
  <c r="H35" i="59"/>
  <c r="I35" i="59" s="1"/>
  <c r="H35" i="62"/>
  <c r="I35" i="62" s="1"/>
  <c r="H28" i="154"/>
  <c r="I28" i="154" s="1"/>
  <c r="H34" i="184"/>
  <c r="I34" i="184" s="1"/>
  <c r="H43" i="60"/>
  <c r="I43" i="60" s="1"/>
  <c r="H35" i="198"/>
  <c r="I35" i="198" s="1"/>
  <c r="G36" i="198"/>
  <c r="H34" i="61"/>
  <c r="I34" i="61" s="1"/>
  <c r="H35" i="183"/>
  <c r="I35" i="183" s="1"/>
  <c r="H28" i="68"/>
  <c r="I28" i="68" s="1"/>
  <c r="H27" i="144"/>
  <c r="I27" i="144" s="1"/>
  <c r="H27" i="141"/>
  <c r="I27" i="141" s="1"/>
  <c r="I24" i="169"/>
  <c r="G33" i="7" s="1"/>
  <c r="F33" i="7"/>
  <c r="H35" i="65"/>
  <c r="I35" i="65" s="1"/>
  <c r="G36" i="65"/>
  <c r="H34" i="60"/>
  <c r="I34" i="60" s="1"/>
  <c r="G44" i="59"/>
  <c r="H43" i="59"/>
  <c r="I43" i="59" s="1"/>
  <c r="G49" i="61"/>
  <c r="H48" i="61"/>
  <c r="I48" i="61" s="1"/>
  <c r="H35" i="64"/>
  <c r="I35" i="64" s="1"/>
  <c r="G36" i="64"/>
  <c r="H34" i="59"/>
  <c r="I34" i="59" s="1"/>
  <c r="G36" i="70"/>
  <c r="H35" i="70"/>
  <c r="I35" i="70" s="1"/>
  <c r="G44" i="62"/>
  <c r="H43" i="62"/>
  <c r="I43" i="62" s="1"/>
  <c r="G44" i="61"/>
  <c r="H43" i="61"/>
  <c r="I43" i="61" s="1"/>
  <c r="H35" i="61"/>
  <c r="I35" i="61" s="1"/>
  <c r="H28" i="25"/>
  <c r="I28" i="25" s="1"/>
  <c r="H28" i="198"/>
  <c r="I28" i="198" s="1"/>
  <c r="G44" i="183"/>
  <c r="H43" i="183"/>
  <c r="I43" i="183" s="1"/>
  <c r="H35" i="57"/>
  <c r="I35" i="57" s="1"/>
  <c r="H35" i="184"/>
  <c r="I35" i="184" s="1"/>
  <c r="G44" i="184"/>
  <c r="H43" i="184"/>
  <c r="I43" i="184" s="1"/>
  <c r="H35" i="67"/>
  <c r="I35" i="67" s="1"/>
  <c r="G36" i="67"/>
  <c r="G44" i="57"/>
  <c r="H43" i="57"/>
  <c r="I43" i="57" s="1"/>
  <c r="G49" i="59"/>
  <c r="H48" i="59"/>
  <c r="I48" i="59" s="1"/>
  <c r="G49" i="183"/>
  <c r="H48" i="183"/>
  <c r="I48" i="183" s="1"/>
  <c r="H34" i="62"/>
  <c r="I34" i="62" s="1"/>
  <c r="G49" i="60"/>
  <c r="H28" i="169"/>
  <c r="I28" i="169" s="1"/>
  <c r="H28" i="65"/>
  <c r="I28" i="65" s="1"/>
  <c r="H48" i="58"/>
  <c r="I48" i="58" s="1"/>
  <c r="G36" i="151"/>
  <c r="G37" i="151" s="1"/>
  <c r="H35" i="151"/>
  <c r="I35" i="151" s="1"/>
  <c r="G36" i="197"/>
  <c r="H35" i="197"/>
  <c r="I35" i="197" s="1"/>
  <c r="H28" i="157"/>
  <c r="I28" i="157" s="1"/>
  <c r="H44" i="58"/>
  <c r="I44" i="58" s="1"/>
  <c r="G46" i="58"/>
  <c r="J35" i="58" s="1"/>
  <c r="G35" i="144"/>
  <c r="G36" i="144" s="1"/>
  <c r="H34" i="144"/>
  <c r="I34" i="144" s="1"/>
  <c r="G36" i="154"/>
  <c r="H35" i="154"/>
  <c r="I35" i="154" s="1"/>
  <c r="H35" i="25"/>
  <c r="I35" i="25" s="1"/>
  <c r="G36" i="25"/>
  <c r="G37" i="25" s="1"/>
  <c r="H44" i="60"/>
  <c r="I44" i="60" s="1"/>
  <c r="H45" i="60"/>
  <c r="I45" i="60" s="1"/>
  <c r="G49" i="62"/>
  <c r="H48" i="62"/>
  <c r="I48" i="62" s="1"/>
  <c r="H48" i="57"/>
  <c r="I48" i="57" s="1"/>
  <c r="H35" i="58"/>
  <c r="I35" i="58" s="1"/>
  <c r="H37" i="25" l="1"/>
  <c r="I37" i="25" s="1"/>
  <c r="H51" i="57"/>
  <c r="K17" i="57"/>
  <c r="K22" i="57"/>
  <c r="K28" i="57"/>
  <c r="K24" i="57"/>
  <c r="K19" i="57"/>
  <c r="K20" i="57"/>
  <c r="K31" i="57"/>
  <c r="K51" i="57"/>
  <c r="K21" i="57"/>
  <c r="K38" i="57"/>
  <c r="K40" i="57"/>
  <c r="K37" i="57"/>
  <c r="K36" i="57"/>
  <c r="K39" i="57"/>
  <c r="K41" i="57"/>
  <c r="K16" i="57"/>
  <c r="K18" i="57"/>
  <c r="K15" i="57"/>
  <c r="K26" i="57"/>
  <c r="K32" i="57"/>
  <c r="K27" i="57"/>
  <c r="K33" i="57"/>
  <c r="K23" i="57"/>
  <c r="K25" i="57"/>
  <c r="K29" i="57"/>
  <c r="K47" i="57"/>
  <c r="K30" i="57"/>
  <c r="K35" i="57"/>
  <c r="K48" i="57"/>
  <c r="K49" i="57"/>
  <c r="K34" i="57"/>
  <c r="J13" i="58"/>
  <c r="J27" i="58"/>
  <c r="J36" i="58"/>
  <c r="J33" i="58"/>
  <c r="J37" i="58"/>
  <c r="J31" i="58"/>
  <c r="J18" i="58"/>
  <c r="J41" i="58"/>
  <c r="J38" i="58"/>
  <c r="J21" i="58"/>
  <c r="J26" i="58"/>
  <c r="J46" i="58"/>
  <c r="J22" i="58"/>
  <c r="J28" i="58"/>
  <c r="J32" i="58"/>
  <c r="J12" i="58"/>
  <c r="J14" i="58"/>
  <c r="J24" i="58"/>
  <c r="J20" i="58"/>
  <c r="H46" i="58"/>
  <c r="I46" i="58" s="1"/>
  <c r="J39" i="58"/>
  <c r="J19" i="58"/>
  <c r="J40" i="58"/>
  <c r="J23" i="58"/>
  <c r="J25" i="58"/>
  <c r="J42" i="58"/>
  <c r="J29" i="58"/>
  <c r="J30" i="58"/>
  <c r="H49" i="183"/>
  <c r="I49" i="183" s="1"/>
  <c r="G51" i="183"/>
  <c r="G46" i="183"/>
  <c r="H44" i="183"/>
  <c r="I44" i="183" s="1"/>
  <c r="H37" i="68"/>
  <c r="I37" i="68" s="1"/>
  <c r="G39" i="68"/>
  <c r="J36" i="68" s="1"/>
  <c r="G37" i="154"/>
  <c r="H36" i="154"/>
  <c r="I36" i="154" s="1"/>
  <c r="H35" i="144"/>
  <c r="I35" i="144" s="1"/>
  <c r="H45" i="58"/>
  <c r="I45" i="58" s="1"/>
  <c r="J45" i="58"/>
  <c r="H36" i="151"/>
  <c r="I36" i="151" s="1"/>
  <c r="H44" i="184"/>
  <c r="I44" i="184" s="1"/>
  <c r="G46" i="184"/>
  <c r="G37" i="70"/>
  <c r="H36" i="70"/>
  <c r="I36" i="70" s="1"/>
  <c r="G37" i="65"/>
  <c r="H36" i="65"/>
  <c r="I36" i="65" s="1"/>
  <c r="G37" i="198"/>
  <c r="H36" i="198"/>
  <c r="I36" i="198" s="1"/>
  <c r="J34" i="58"/>
  <c r="H36" i="169"/>
  <c r="I36" i="169" s="1"/>
  <c r="H49" i="184"/>
  <c r="I49" i="184" s="1"/>
  <c r="H50" i="184"/>
  <c r="I50" i="184" s="1"/>
  <c r="G39" i="174"/>
  <c r="J36" i="174" s="1"/>
  <c r="H37" i="174"/>
  <c r="I37" i="174" s="1"/>
  <c r="G46" i="60"/>
  <c r="H49" i="60"/>
  <c r="I49" i="60" s="1"/>
  <c r="H44" i="57"/>
  <c r="I44" i="57" s="1"/>
  <c r="G46" i="62"/>
  <c r="H44" i="62"/>
  <c r="I44" i="62" s="1"/>
  <c r="G37" i="64"/>
  <c r="H36" i="64"/>
  <c r="I36" i="64" s="1"/>
  <c r="H44" i="59"/>
  <c r="I44" i="59" s="1"/>
  <c r="H36" i="68"/>
  <c r="I36" i="68" s="1"/>
  <c r="G37" i="157"/>
  <c r="H36" i="157"/>
  <c r="I36" i="157" s="1"/>
  <c r="H36" i="174"/>
  <c r="I36" i="174" s="1"/>
  <c r="G37" i="175"/>
  <c r="H36" i="175"/>
  <c r="I36" i="175" s="1"/>
  <c r="G37" i="160"/>
  <c r="H36" i="160"/>
  <c r="I36" i="160" s="1"/>
  <c r="G37" i="67"/>
  <c r="H36" i="67"/>
  <c r="I36" i="67" s="1"/>
  <c r="H35" i="141"/>
  <c r="I35" i="141" s="1"/>
  <c r="H49" i="62"/>
  <c r="I49" i="62" s="1"/>
  <c r="H36" i="25"/>
  <c r="I36" i="25" s="1"/>
  <c r="H36" i="144"/>
  <c r="I36" i="144" s="1"/>
  <c r="H37" i="144"/>
  <c r="I37" i="144" s="1"/>
  <c r="J44" i="58"/>
  <c r="G37" i="197"/>
  <c r="H36" i="197"/>
  <c r="I36" i="197" s="1"/>
  <c r="H37" i="151"/>
  <c r="I37" i="151" s="1"/>
  <c r="H49" i="59"/>
  <c r="I49" i="59" s="1"/>
  <c r="H44" i="61"/>
  <c r="I44" i="61" s="1"/>
  <c r="H45" i="61"/>
  <c r="I45" i="61" s="1"/>
  <c r="H49" i="61"/>
  <c r="I49" i="61" s="1"/>
  <c r="J43" i="58"/>
  <c r="G51" i="58"/>
  <c r="H37" i="169"/>
  <c r="I37" i="169" s="1"/>
  <c r="G36" i="141"/>
  <c r="H50" i="57"/>
  <c r="I50" i="57" s="1"/>
  <c r="K50" i="57"/>
  <c r="G46" i="61" l="1"/>
  <c r="J44" i="61" s="1"/>
  <c r="J41" i="62"/>
  <c r="H46" i="62"/>
  <c r="I46" i="62" s="1"/>
  <c r="J37" i="62"/>
  <c r="J21" i="62"/>
  <c r="J24" i="62"/>
  <c r="J19" i="62"/>
  <c r="J33" i="62"/>
  <c r="J31" i="62"/>
  <c r="J22" i="62"/>
  <c r="J20" i="62"/>
  <c r="J39" i="62"/>
  <c r="J27" i="62"/>
  <c r="J38" i="62"/>
  <c r="J12" i="62"/>
  <c r="J40" i="62"/>
  <c r="J46" i="62"/>
  <c r="J14" i="62"/>
  <c r="J26" i="62"/>
  <c r="J28" i="62"/>
  <c r="J36" i="62"/>
  <c r="J13" i="62"/>
  <c r="J32" i="62"/>
  <c r="J18" i="62"/>
  <c r="J23" i="62"/>
  <c r="J25" i="62"/>
  <c r="J30" i="62"/>
  <c r="J29" i="62"/>
  <c r="J42" i="62"/>
  <c r="J35" i="62"/>
  <c r="J34" i="62"/>
  <c r="J43" i="62"/>
  <c r="J44" i="62"/>
  <c r="K24" i="183"/>
  <c r="K41" i="183"/>
  <c r="K28" i="183"/>
  <c r="K26" i="183"/>
  <c r="K32" i="183"/>
  <c r="K51" i="183"/>
  <c r="K18" i="183"/>
  <c r="K37" i="183"/>
  <c r="K33" i="183"/>
  <c r="K40" i="183"/>
  <c r="K36" i="183"/>
  <c r="K20" i="183"/>
  <c r="H51" i="183"/>
  <c r="K31" i="183"/>
  <c r="K21" i="183"/>
  <c r="K17" i="183"/>
  <c r="K15" i="183"/>
  <c r="K27" i="183"/>
  <c r="K22" i="183"/>
  <c r="K38" i="183"/>
  <c r="K39" i="183"/>
  <c r="K16" i="183"/>
  <c r="K19" i="183"/>
  <c r="K23" i="183"/>
  <c r="K25" i="183"/>
  <c r="K47" i="183"/>
  <c r="K30" i="183"/>
  <c r="K29" i="183"/>
  <c r="K34" i="183"/>
  <c r="K35" i="183"/>
  <c r="K48" i="183"/>
  <c r="J27" i="61"/>
  <c r="J36" i="61"/>
  <c r="J19" i="61"/>
  <c r="J14" i="61"/>
  <c r="J42" i="61"/>
  <c r="J43" i="61"/>
  <c r="G51" i="62"/>
  <c r="K50" i="62" s="1"/>
  <c r="H50" i="62"/>
  <c r="I50" i="62" s="1"/>
  <c r="H37" i="160"/>
  <c r="I37" i="160" s="1"/>
  <c r="H38" i="160"/>
  <c r="I38" i="160" s="1"/>
  <c r="G39" i="160"/>
  <c r="H38" i="157"/>
  <c r="I38" i="157" s="1"/>
  <c r="H37" i="157"/>
  <c r="I37" i="157" s="1"/>
  <c r="H38" i="174"/>
  <c r="I38" i="174" s="1"/>
  <c r="J38" i="174"/>
  <c r="H45" i="184"/>
  <c r="I45" i="184" s="1"/>
  <c r="J45" i="184"/>
  <c r="H38" i="68"/>
  <c r="I38" i="68" s="1"/>
  <c r="J38" i="68"/>
  <c r="H50" i="183"/>
  <c r="I50" i="183" s="1"/>
  <c r="K50" i="183"/>
  <c r="K50" i="58"/>
  <c r="K18" i="58"/>
  <c r="K19" i="58"/>
  <c r="K39" i="58"/>
  <c r="K20" i="58"/>
  <c r="K33" i="58"/>
  <c r="K37" i="58"/>
  <c r="K27" i="58"/>
  <c r="K38" i="58"/>
  <c r="K22" i="58"/>
  <c r="K16" i="58"/>
  <c r="K32" i="58"/>
  <c r="K17" i="58"/>
  <c r="K15" i="58"/>
  <c r="K51" i="58"/>
  <c r="K26" i="58"/>
  <c r="K36" i="58"/>
  <c r="K40" i="58"/>
  <c r="K21" i="58"/>
  <c r="K28" i="58"/>
  <c r="H51" i="58"/>
  <c r="K31" i="58"/>
  <c r="K24" i="58"/>
  <c r="K41" i="58"/>
  <c r="K23" i="58"/>
  <c r="K25" i="58"/>
  <c r="K29" i="58"/>
  <c r="K47" i="58"/>
  <c r="K30" i="58"/>
  <c r="K49" i="58"/>
  <c r="K34" i="58"/>
  <c r="K48" i="58"/>
  <c r="K35" i="58"/>
  <c r="G51" i="61"/>
  <c r="K50" i="61" s="1"/>
  <c r="H50" i="61"/>
  <c r="I50" i="61" s="1"/>
  <c r="H37" i="175"/>
  <c r="I37" i="175" s="1"/>
  <c r="J18" i="183"/>
  <c r="J28" i="183"/>
  <c r="J40" i="183"/>
  <c r="J36" i="183"/>
  <c r="J21" i="183"/>
  <c r="J20" i="183"/>
  <c r="J46" i="183"/>
  <c r="J26" i="183"/>
  <c r="J14" i="183"/>
  <c r="H46" i="183"/>
  <c r="I46" i="183" s="1"/>
  <c r="J33" i="183"/>
  <c r="J22" i="183"/>
  <c r="J39" i="183"/>
  <c r="J37" i="183"/>
  <c r="J24" i="183"/>
  <c r="J32" i="183"/>
  <c r="J41" i="183"/>
  <c r="J12" i="183"/>
  <c r="J27" i="183"/>
  <c r="J38" i="183"/>
  <c r="J19" i="183"/>
  <c r="J13" i="183"/>
  <c r="J31" i="183"/>
  <c r="J23" i="183"/>
  <c r="J25" i="183"/>
  <c r="J30" i="183"/>
  <c r="J29" i="183"/>
  <c r="J42" i="183"/>
  <c r="J34" i="183"/>
  <c r="J43" i="183"/>
  <c r="J35" i="183"/>
  <c r="I51" i="57"/>
  <c r="I18" i="7" s="1"/>
  <c r="H18" i="7"/>
  <c r="H38" i="25"/>
  <c r="I38" i="25" s="1"/>
  <c r="G39" i="169"/>
  <c r="J38" i="169" s="1"/>
  <c r="H38" i="169"/>
  <c r="I38" i="169" s="1"/>
  <c r="G51" i="184"/>
  <c r="H37" i="198"/>
  <c r="I37" i="198" s="1"/>
  <c r="H37" i="70"/>
  <c r="I37" i="70" s="1"/>
  <c r="H45" i="183"/>
  <c r="I45" i="183" s="1"/>
  <c r="J45" i="183"/>
  <c r="G39" i="25"/>
  <c r="H36" i="141"/>
  <c r="I36" i="141" s="1"/>
  <c r="G38" i="141"/>
  <c r="J36" i="141" s="1"/>
  <c r="H38" i="197"/>
  <c r="I38" i="197" s="1"/>
  <c r="H37" i="197"/>
  <c r="I37" i="197" s="1"/>
  <c r="H45" i="57"/>
  <c r="I45" i="57" s="1"/>
  <c r="J45" i="60"/>
  <c r="J21" i="60"/>
  <c r="J32" i="60"/>
  <c r="J28" i="60"/>
  <c r="J39" i="60"/>
  <c r="J33" i="60"/>
  <c r="J19" i="60"/>
  <c r="J38" i="60"/>
  <c r="J27" i="60"/>
  <c r="J13" i="60"/>
  <c r="J37" i="60"/>
  <c r="J20" i="60"/>
  <c r="J46" i="60"/>
  <c r="J14" i="60"/>
  <c r="J36" i="60"/>
  <c r="J18" i="60"/>
  <c r="H46" i="60"/>
  <c r="I46" i="60" s="1"/>
  <c r="J26" i="60"/>
  <c r="J12" i="60"/>
  <c r="J40" i="60"/>
  <c r="J31" i="60"/>
  <c r="J24" i="60"/>
  <c r="J41" i="60"/>
  <c r="J22" i="60"/>
  <c r="J23" i="60"/>
  <c r="J25" i="60"/>
  <c r="J42" i="60"/>
  <c r="J30" i="60"/>
  <c r="J29" i="60"/>
  <c r="J34" i="60"/>
  <c r="J35" i="60"/>
  <c r="J43" i="60"/>
  <c r="J44" i="60"/>
  <c r="J41" i="184"/>
  <c r="J18" i="184"/>
  <c r="J26" i="184"/>
  <c r="J33" i="184"/>
  <c r="J22" i="184"/>
  <c r="J37" i="184"/>
  <c r="J24" i="184"/>
  <c r="J14" i="184"/>
  <c r="J12" i="184"/>
  <c r="J13" i="184"/>
  <c r="H46" i="184"/>
  <c r="I46" i="184" s="1"/>
  <c r="J46" i="184"/>
  <c r="J36" i="184"/>
  <c r="J21" i="184"/>
  <c r="J28" i="184"/>
  <c r="J27" i="184"/>
  <c r="J20" i="184"/>
  <c r="J19" i="184"/>
  <c r="J38" i="184"/>
  <c r="J40" i="184"/>
  <c r="J31" i="184"/>
  <c r="J32" i="184"/>
  <c r="J39" i="184"/>
  <c r="J23" i="184"/>
  <c r="J25" i="184"/>
  <c r="J29" i="184"/>
  <c r="J42" i="184"/>
  <c r="J30" i="184"/>
  <c r="J35" i="184"/>
  <c r="J43" i="184"/>
  <c r="J34" i="184"/>
  <c r="J12" i="68"/>
  <c r="J26" i="68"/>
  <c r="J14" i="68"/>
  <c r="J20" i="68"/>
  <c r="H39" i="68"/>
  <c r="J32" i="68"/>
  <c r="J29" i="68"/>
  <c r="J13" i="68"/>
  <c r="J25" i="68"/>
  <c r="J16" i="68"/>
  <c r="J17" i="68"/>
  <c r="J34" i="68"/>
  <c r="J33" i="68"/>
  <c r="J30" i="68"/>
  <c r="J21" i="68"/>
  <c r="J18" i="68"/>
  <c r="J15" i="68"/>
  <c r="J23" i="68"/>
  <c r="J39" i="68"/>
  <c r="J27" i="68"/>
  <c r="J31" i="68"/>
  <c r="J19" i="68"/>
  <c r="J22" i="68"/>
  <c r="J24" i="68"/>
  <c r="J35" i="68"/>
  <c r="J28" i="68"/>
  <c r="G51" i="59"/>
  <c r="K50" i="59" s="1"/>
  <c r="H50" i="59"/>
  <c r="I50" i="59" s="1"/>
  <c r="G39" i="151"/>
  <c r="J38" i="151" s="1"/>
  <c r="H38" i="151"/>
  <c r="I38" i="151" s="1"/>
  <c r="G38" i="144"/>
  <c r="G39" i="67"/>
  <c r="H37" i="67"/>
  <c r="I37" i="67" s="1"/>
  <c r="G46" i="59"/>
  <c r="J45" i="59" s="1"/>
  <c r="H45" i="59"/>
  <c r="I45" i="59" s="1"/>
  <c r="H37" i="64"/>
  <c r="I37" i="64" s="1"/>
  <c r="G39" i="64"/>
  <c r="J37" i="64" s="1"/>
  <c r="H45" i="62"/>
  <c r="I45" i="62" s="1"/>
  <c r="J45" i="62"/>
  <c r="G46" i="57"/>
  <c r="G51" i="60"/>
  <c r="H50" i="60"/>
  <c r="I50" i="60" s="1"/>
  <c r="J37" i="174"/>
  <c r="J25" i="174"/>
  <c r="J13" i="174"/>
  <c r="J23" i="174"/>
  <c r="J21" i="174"/>
  <c r="J14" i="174"/>
  <c r="J17" i="174"/>
  <c r="J29" i="174"/>
  <c r="J34" i="174"/>
  <c r="J12" i="174"/>
  <c r="J16" i="174"/>
  <c r="J27" i="174"/>
  <c r="J26" i="174"/>
  <c r="J32" i="174"/>
  <c r="J18" i="174"/>
  <c r="J31" i="174"/>
  <c r="J33" i="174"/>
  <c r="J30" i="174"/>
  <c r="H39" i="174"/>
  <c r="J15" i="174"/>
  <c r="J39" i="174"/>
  <c r="J20" i="174"/>
  <c r="J19" i="174"/>
  <c r="J22" i="174"/>
  <c r="J24" i="174"/>
  <c r="J35" i="174"/>
  <c r="J28" i="174"/>
  <c r="H37" i="65"/>
  <c r="I37" i="65" s="1"/>
  <c r="J44" i="184"/>
  <c r="H37" i="154"/>
  <c r="I37" i="154" s="1"/>
  <c r="J37" i="68"/>
  <c r="J44" i="183"/>
  <c r="K49" i="183"/>
  <c r="J40" i="61" l="1"/>
  <c r="J39" i="61"/>
  <c r="J35" i="61"/>
  <c r="J37" i="61"/>
  <c r="J26" i="61"/>
  <c r="J34" i="61"/>
  <c r="J25" i="61"/>
  <c r="J20" i="61"/>
  <c r="J18" i="61"/>
  <c r="J33" i="61"/>
  <c r="J31" i="61"/>
  <c r="J32" i="61"/>
  <c r="J21" i="61"/>
  <c r="J30" i="61"/>
  <c r="J41" i="61"/>
  <c r="J13" i="61"/>
  <c r="J24" i="61"/>
  <c r="J28" i="61"/>
  <c r="J29" i="61"/>
  <c r="J23" i="61"/>
  <c r="J46" i="61"/>
  <c r="J38" i="61"/>
  <c r="J22" i="61"/>
  <c r="H46" i="61"/>
  <c r="I46" i="61" s="1"/>
  <c r="J12" i="61"/>
  <c r="J45" i="61"/>
  <c r="G39" i="157"/>
  <c r="J16" i="157" s="1"/>
  <c r="G39" i="65"/>
  <c r="J38" i="65" s="1"/>
  <c r="H38" i="65"/>
  <c r="I38" i="65" s="1"/>
  <c r="J28" i="57"/>
  <c r="J13" i="57"/>
  <c r="J26" i="57"/>
  <c r="J18" i="57"/>
  <c r="J14" i="57"/>
  <c r="J41" i="57"/>
  <c r="J31" i="57"/>
  <c r="J24" i="57"/>
  <c r="J27" i="57"/>
  <c r="J38" i="57"/>
  <c r="J12" i="57"/>
  <c r="J21" i="57"/>
  <c r="J22" i="57"/>
  <c r="H46" i="57"/>
  <c r="I46" i="57" s="1"/>
  <c r="J33" i="57"/>
  <c r="J32" i="57"/>
  <c r="J37" i="57"/>
  <c r="J19" i="57"/>
  <c r="J36" i="57"/>
  <c r="J20" i="57"/>
  <c r="J39" i="57"/>
  <c r="J46" i="57"/>
  <c r="J40" i="57"/>
  <c r="J23" i="57"/>
  <c r="J25" i="57"/>
  <c r="J29" i="57"/>
  <c r="J42" i="57"/>
  <c r="J30" i="57"/>
  <c r="J35" i="57"/>
  <c r="J43" i="57"/>
  <c r="J34" i="57"/>
  <c r="J44" i="57"/>
  <c r="J36" i="64"/>
  <c r="J23" i="64"/>
  <c r="J32" i="64"/>
  <c r="J27" i="64"/>
  <c r="J12" i="64"/>
  <c r="J17" i="64"/>
  <c r="J26" i="64"/>
  <c r="J34" i="64"/>
  <c r="J33" i="64"/>
  <c r="J14" i="64"/>
  <c r="J20" i="64"/>
  <c r="J13" i="64"/>
  <c r="J29" i="64"/>
  <c r="J18" i="64"/>
  <c r="J16" i="64"/>
  <c r="J15" i="64"/>
  <c r="J31" i="64"/>
  <c r="J30" i="64"/>
  <c r="J21" i="64"/>
  <c r="H39" i="64"/>
  <c r="J25" i="64"/>
  <c r="J39" i="64"/>
  <c r="J19" i="64"/>
  <c r="J22" i="64"/>
  <c r="J24" i="64"/>
  <c r="J28" i="64"/>
  <c r="J35" i="64"/>
  <c r="K22" i="59"/>
  <c r="K17" i="59"/>
  <c r="K21" i="59"/>
  <c r="K26" i="59"/>
  <c r="K39" i="59"/>
  <c r="K33" i="59"/>
  <c r="H51" i="59"/>
  <c r="K16" i="59"/>
  <c r="K15" i="59"/>
  <c r="K27" i="59"/>
  <c r="K28" i="59"/>
  <c r="K51" i="59"/>
  <c r="K37" i="59"/>
  <c r="K31" i="59"/>
  <c r="K36" i="59"/>
  <c r="K40" i="59"/>
  <c r="K32" i="59"/>
  <c r="K38" i="59"/>
  <c r="K20" i="59"/>
  <c r="K19" i="59"/>
  <c r="K18" i="59"/>
  <c r="K24" i="59"/>
  <c r="K41" i="59"/>
  <c r="K23" i="59"/>
  <c r="K25" i="59"/>
  <c r="K29" i="59"/>
  <c r="K47" i="59"/>
  <c r="K30" i="59"/>
  <c r="K35" i="59"/>
  <c r="K34" i="59"/>
  <c r="K48" i="59"/>
  <c r="K49" i="59"/>
  <c r="J45" i="57"/>
  <c r="J30" i="141"/>
  <c r="J25" i="141"/>
  <c r="J12" i="141"/>
  <c r="J28" i="141"/>
  <c r="J31" i="141"/>
  <c r="J38" i="141"/>
  <c r="J13" i="141"/>
  <c r="J24" i="141"/>
  <c r="J32" i="141"/>
  <c r="J20" i="141"/>
  <c r="J29" i="141"/>
  <c r="J19" i="141"/>
  <c r="J26" i="141"/>
  <c r="J16" i="141"/>
  <c r="H38" i="141"/>
  <c r="J17" i="141"/>
  <c r="J33" i="141"/>
  <c r="J14" i="141"/>
  <c r="J22" i="141"/>
  <c r="J15" i="141"/>
  <c r="J18" i="141"/>
  <c r="J21" i="141"/>
  <c r="J23" i="141"/>
  <c r="J34" i="141"/>
  <c r="J27" i="141"/>
  <c r="J35" i="141"/>
  <c r="G39" i="175"/>
  <c r="J38" i="175" s="1"/>
  <c r="H38" i="175"/>
  <c r="I38" i="175" s="1"/>
  <c r="K33" i="61"/>
  <c r="K41" i="61"/>
  <c r="K17" i="61"/>
  <c r="K20" i="61"/>
  <c r="K15" i="61"/>
  <c r="K24" i="61"/>
  <c r="H51" i="61"/>
  <c r="K16" i="61"/>
  <c r="K36" i="61"/>
  <c r="K26" i="61"/>
  <c r="K27" i="61"/>
  <c r="K39" i="61"/>
  <c r="K40" i="61"/>
  <c r="K19" i="61"/>
  <c r="K37" i="61"/>
  <c r="K18" i="61"/>
  <c r="K22" i="61"/>
  <c r="K31" i="61"/>
  <c r="K21" i="61"/>
  <c r="K38" i="61"/>
  <c r="K28" i="61"/>
  <c r="K51" i="61"/>
  <c r="K32" i="61"/>
  <c r="K23" i="61"/>
  <c r="K25" i="61"/>
  <c r="K29" i="61"/>
  <c r="K30" i="61"/>
  <c r="K47" i="61"/>
  <c r="K34" i="61"/>
  <c r="K35" i="61"/>
  <c r="K48" i="61"/>
  <c r="K49" i="61"/>
  <c r="K49" i="62"/>
  <c r="K33" i="62"/>
  <c r="K40" i="62"/>
  <c r="K16" i="62"/>
  <c r="K15" i="62"/>
  <c r="K37" i="62"/>
  <c r="K19" i="62"/>
  <c r="K18" i="62"/>
  <c r="K38" i="62"/>
  <c r="K22" i="62"/>
  <c r="K31" i="62"/>
  <c r="K39" i="62"/>
  <c r="K36" i="62"/>
  <c r="K32" i="62"/>
  <c r="K26" i="62"/>
  <c r="K41" i="62"/>
  <c r="K24" i="62"/>
  <c r="K21" i="62"/>
  <c r="K27" i="62"/>
  <c r="K51" i="62"/>
  <c r="K28" i="62"/>
  <c r="K17" i="62"/>
  <c r="K20" i="62"/>
  <c r="H51" i="62"/>
  <c r="K23" i="62"/>
  <c r="K25" i="62"/>
  <c r="K30" i="62"/>
  <c r="K29" i="62"/>
  <c r="K47" i="62"/>
  <c r="K34" i="62"/>
  <c r="K35" i="62"/>
  <c r="K48" i="62"/>
  <c r="K49" i="60"/>
  <c r="K22" i="60"/>
  <c r="K33" i="60"/>
  <c r="K28" i="60"/>
  <c r="K27" i="60"/>
  <c r="K32" i="60"/>
  <c r="K39" i="60"/>
  <c r="K41" i="60"/>
  <c r="K38" i="60"/>
  <c r="K19" i="60"/>
  <c r="H51" i="60"/>
  <c r="K18" i="60"/>
  <c r="K26" i="60"/>
  <c r="K37" i="60"/>
  <c r="K20" i="60"/>
  <c r="K24" i="60"/>
  <c r="K31" i="60"/>
  <c r="K16" i="60"/>
  <c r="K15" i="60"/>
  <c r="K17" i="60"/>
  <c r="K51" i="60"/>
  <c r="K36" i="60"/>
  <c r="K40" i="60"/>
  <c r="K21" i="60"/>
  <c r="K23" i="60"/>
  <c r="K25" i="60"/>
  <c r="K30" i="60"/>
  <c r="K47" i="60"/>
  <c r="K29" i="60"/>
  <c r="K35" i="60"/>
  <c r="K34" i="60"/>
  <c r="K48" i="60"/>
  <c r="G39" i="154"/>
  <c r="J38" i="154" s="1"/>
  <c r="H38" i="154"/>
  <c r="I38" i="154" s="1"/>
  <c r="K50" i="60"/>
  <c r="H38" i="64"/>
  <c r="I38" i="64" s="1"/>
  <c r="J38" i="64"/>
  <c r="J38" i="59"/>
  <c r="J39" i="59"/>
  <c r="J24" i="59"/>
  <c r="J36" i="59"/>
  <c r="J26" i="59"/>
  <c r="J40" i="59"/>
  <c r="J46" i="59"/>
  <c r="J32" i="59"/>
  <c r="J22" i="59"/>
  <c r="J41" i="59"/>
  <c r="J37" i="59"/>
  <c r="J14" i="59"/>
  <c r="J18" i="59"/>
  <c r="J20" i="59"/>
  <c r="J28" i="59"/>
  <c r="J13" i="59"/>
  <c r="J31" i="59"/>
  <c r="H46" i="59"/>
  <c r="I46" i="59" s="1"/>
  <c r="J21" i="59"/>
  <c r="J33" i="59"/>
  <c r="J19" i="59"/>
  <c r="J12" i="59"/>
  <c r="J27" i="59"/>
  <c r="J23" i="59"/>
  <c r="J25" i="59"/>
  <c r="J30" i="59"/>
  <c r="J42" i="59"/>
  <c r="J29" i="59"/>
  <c r="J43" i="59"/>
  <c r="J35" i="59"/>
  <c r="J34" i="59"/>
  <c r="J44" i="59"/>
  <c r="H38" i="67"/>
  <c r="I38" i="67" s="1"/>
  <c r="J38" i="67"/>
  <c r="J25" i="151"/>
  <c r="J21" i="151"/>
  <c r="H39" i="151"/>
  <c r="J34" i="151"/>
  <c r="J13" i="151"/>
  <c r="J27" i="151"/>
  <c r="J33" i="151"/>
  <c r="J23" i="151"/>
  <c r="J30" i="151"/>
  <c r="J14" i="151"/>
  <c r="J15" i="151"/>
  <c r="J31" i="151"/>
  <c r="J20" i="151"/>
  <c r="J17" i="151"/>
  <c r="J16" i="151"/>
  <c r="J19" i="151"/>
  <c r="J12" i="151"/>
  <c r="J26" i="151"/>
  <c r="J39" i="151"/>
  <c r="J29" i="151"/>
  <c r="J32" i="151"/>
  <c r="J18" i="151"/>
  <c r="J22" i="151"/>
  <c r="J24" i="151"/>
  <c r="J28" i="151"/>
  <c r="J35" i="151"/>
  <c r="J36" i="151"/>
  <c r="J37" i="151"/>
  <c r="H38" i="7"/>
  <c r="I39" i="68"/>
  <c r="I38" i="7" s="1"/>
  <c r="G39" i="197"/>
  <c r="H37" i="141"/>
  <c r="I37" i="141" s="1"/>
  <c r="J37" i="141"/>
  <c r="G39" i="198"/>
  <c r="J38" i="198" s="1"/>
  <c r="H38" i="198"/>
  <c r="I38" i="198" s="1"/>
  <c r="J25" i="169"/>
  <c r="J17" i="169"/>
  <c r="J21" i="169"/>
  <c r="J39" i="169"/>
  <c r="J16" i="169"/>
  <c r="J14" i="169"/>
  <c r="J26" i="169"/>
  <c r="J20" i="169"/>
  <c r="J27" i="169"/>
  <c r="J33" i="169"/>
  <c r="J12" i="169"/>
  <c r="J30" i="169"/>
  <c r="J32" i="169"/>
  <c r="J15" i="169"/>
  <c r="H39" i="169"/>
  <c r="J34" i="169"/>
  <c r="J18" i="169"/>
  <c r="J23" i="169"/>
  <c r="J13" i="169"/>
  <c r="J31" i="169"/>
  <c r="J29" i="169"/>
  <c r="J19" i="169"/>
  <c r="J22" i="169"/>
  <c r="J24" i="169"/>
  <c r="J28" i="169"/>
  <c r="J35" i="169"/>
  <c r="J36" i="169"/>
  <c r="J37" i="169"/>
  <c r="I51" i="58"/>
  <c r="I19" i="7" s="1"/>
  <c r="H19" i="7"/>
  <c r="J36" i="67"/>
  <c r="J27" i="67"/>
  <c r="J23" i="67"/>
  <c r="J25" i="67"/>
  <c r="J39" i="67"/>
  <c r="J20" i="67"/>
  <c r="J29" i="67"/>
  <c r="J31" i="67"/>
  <c r="J18" i="67"/>
  <c r="J16" i="67"/>
  <c r="J14" i="67"/>
  <c r="J21" i="67"/>
  <c r="J30" i="67"/>
  <c r="J15" i="67"/>
  <c r="J33" i="67"/>
  <c r="H39" i="67"/>
  <c r="J34" i="67"/>
  <c r="J13" i="67"/>
  <c r="J26" i="67"/>
  <c r="J12" i="67"/>
  <c r="J17" i="67"/>
  <c r="J32" i="67"/>
  <c r="J19" i="67"/>
  <c r="J22" i="67"/>
  <c r="J24" i="67"/>
  <c r="J35" i="67"/>
  <c r="J28" i="67"/>
  <c r="J38" i="160"/>
  <c r="J32" i="160"/>
  <c r="J34" i="160"/>
  <c r="J29" i="160"/>
  <c r="J30" i="160"/>
  <c r="J14" i="160"/>
  <c r="J15" i="160"/>
  <c r="J26" i="160"/>
  <c r="J13" i="160"/>
  <c r="J27" i="160"/>
  <c r="J16" i="160"/>
  <c r="J20" i="160"/>
  <c r="J21" i="160"/>
  <c r="J39" i="160"/>
  <c r="H39" i="160"/>
  <c r="J33" i="160"/>
  <c r="J17" i="160"/>
  <c r="J19" i="160"/>
  <c r="J25" i="160"/>
  <c r="J12" i="160"/>
  <c r="J23" i="160"/>
  <c r="J31" i="160"/>
  <c r="J18" i="160"/>
  <c r="J22" i="160"/>
  <c r="J24" i="160"/>
  <c r="J28" i="160"/>
  <c r="J35" i="160"/>
  <c r="J36" i="160"/>
  <c r="I39" i="174"/>
  <c r="I36" i="7" s="1"/>
  <c r="H36" i="7"/>
  <c r="J37" i="67"/>
  <c r="J37" i="144"/>
  <c r="J14" i="144"/>
  <c r="J20" i="144"/>
  <c r="J33" i="144"/>
  <c r="J13" i="144"/>
  <c r="J22" i="144"/>
  <c r="J25" i="144"/>
  <c r="J26" i="144"/>
  <c r="J29" i="144"/>
  <c r="J31" i="144"/>
  <c r="J24" i="144"/>
  <c r="J17" i="144"/>
  <c r="J28" i="144"/>
  <c r="H38" i="144"/>
  <c r="J19" i="144"/>
  <c r="J15" i="144"/>
  <c r="J16" i="144"/>
  <c r="J38" i="144"/>
  <c r="J32" i="144"/>
  <c r="J12" i="144"/>
  <c r="J30" i="144"/>
  <c r="J18" i="144"/>
  <c r="J21" i="144"/>
  <c r="J23" i="144"/>
  <c r="J27" i="144"/>
  <c r="J34" i="144"/>
  <c r="J35" i="144"/>
  <c r="J36" i="144"/>
  <c r="J20" i="25"/>
  <c r="J12" i="25"/>
  <c r="H39" i="25"/>
  <c r="J25" i="25"/>
  <c r="J17" i="25"/>
  <c r="J15" i="25"/>
  <c r="J30" i="25"/>
  <c r="J27" i="25"/>
  <c r="J18" i="25"/>
  <c r="J33" i="25"/>
  <c r="J23" i="25"/>
  <c r="J14" i="25"/>
  <c r="J13" i="25"/>
  <c r="J21" i="25"/>
  <c r="J16" i="25"/>
  <c r="J31" i="25"/>
  <c r="J29" i="25"/>
  <c r="J32" i="25"/>
  <c r="J26" i="25"/>
  <c r="J34" i="25"/>
  <c r="J39" i="25"/>
  <c r="J19" i="25"/>
  <c r="J22" i="25"/>
  <c r="J24" i="25"/>
  <c r="J35" i="25"/>
  <c r="J28" i="25"/>
  <c r="J36" i="25"/>
  <c r="J37" i="25"/>
  <c r="G39" i="70"/>
  <c r="H38" i="70"/>
  <c r="I38" i="70" s="1"/>
  <c r="K50" i="184"/>
  <c r="K21" i="184"/>
  <c r="K39" i="184"/>
  <c r="K31" i="184"/>
  <c r="K41" i="184"/>
  <c r="H51" i="184"/>
  <c r="K51" i="184"/>
  <c r="K37" i="184"/>
  <c r="K16" i="184"/>
  <c r="K33" i="184"/>
  <c r="K38" i="184"/>
  <c r="K26" i="184"/>
  <c r="K15" i="184"/>
  <c r="K22" i="184"/>
  <c r="K19" i="184"/>
  <c r="K36" i="184"/>
  <c r="K40" i="184"/>
  <c r="K24" i="184"/>
  <c r="K32" i="184"/>
  <c r="K20" i="184"/>
  <c r="K18" i="184"/>
  <c r="K28" i="184"/>
  <c r="K27" i="184"/>
  <c r="K17" i="184"/>
  <c r="K23" i="184"/>
  <c r="K25" i="184"/>
  <c r="K30" i="184"/>
  <c r="K47" i="184"/>
  <c r="K29" i="184"/>
  <c r="K48" i="184"/>
  <c r="K34" i="184"/>
  <c r="K35" i="184"/>
  <c r="K49" i="184"/>
  <c r="J38" i="25"/>
  <c r="J37" i="160"/>
  <c r="H24" i="7"/>
  <c r="I51" i="183"/>
  <c r="I24" i="7" s="1"/>
  <c r="J27" i="157" l="1"/>
  <c r="J32" i="157"/>
  <c r="J39" i="157"/>
  <c r="J35" i="157"/>
  <c r="J26" i="157"/>
  <c r="H39" i="157"/>
  <c r="I39" i="157" s="1"/>
  <c r="I46" i="179" s="1"/>
  <c r="J37" i="157"/>
  <c r="J18" i="157"/>
  <c r="J21" i="157"/>
  <c r="J33" i="157"/>
  <c r="J30" i="157"/>
  <c r="J24" i="157"/>
  <c r="J14" i="157"/>
  <c r="J19" i="157"/>
  <c r="J38" i="157"/>
  <c r="J28" i="157"/>
  <c r="J15" i="157"/>
  <c r="J31" i="157"/>
  <c r="J25" i="157"/>
  <c r="J34" i="157"/>
  <c r="J23" i="157"/>
  <c r="J17" i="157"/>
  <c r="J36" i="157"/>
  <c r="J22" i="157"/>
  <c r="J20" i="157"/>
  <c r="J29" i="157"/>
  <c r="J12" i="157"/>
  <c r="J13" i="157"/>
  <c r="I51" i="184"/>
  <c r="I20" i="7" s="1"/>
  <c r="H20" i="7"/>
  <c r="I38" i="144"/>
  <c r="I14" i="179" s="1"/>
  <c r="H14" i="179"/>
  <c r="H22" i="7"/>
  <c r="I51" i="60"/>
  <c r="I22" i="7" s="1"/>
  <c r="H31" i="179"/>
  <c r="I39" i="160"/>
  <c r="I31" i="179" s="1"/>
  <c r="H37" i="7"/>
  <c r="I39" i="67"/>
  <c r="I37" i="7" s="1"/>
  <c r="I39" i="169"/>
  <c r="I33" i="7" s="1"/>
  <c r="H33" i="7"/>
  <c r="J34" i="198"/>
  <c r="J20" i="198"/>
  <c r="J12" i="198"/>
  <c r="J31" i="198"/>
  <c r="J39" i="198"/>
  <c r="J14" i="198"/>
  <c r="J17" i="198"/>
  <c r="J23" i="198"/>
  <c r="J13" i="198"/>
  <c r="J15" i="198"/>
  <c r="J32" i="198"/>
  <c r="J25" i="198"/>
  <c r="H39" i="198"/>
  <c r="J27" i="198"/>
  <c r="J26" i="198"/>
  <c r="J29" i="198"/>
  <c r="J21" i="198"/>
  <c r="J16" i="198"/>
  <c r="J19" i="198"/>
  <c r="J30" i="198"/>
  <c r="J33" i="198"/>
  <c r="J18" i="198"/>
  <c r="J22" i="198"/>
  <c r="J24" i="198"/>
  <c r="J35" i="198"/>
  <c r="J28" i="198"/>
  <c r="J36" i="198"/>
  <c r="J37" i="198"/>
  <c r="J13" i="154"/>
  <c r="J14" i="154"/>
  <c r="J17" i="154"/>
  <c r="J25" i="154"/>
  <c r="J34" i="154"/>
  <c r="J12" i="154"/>
  <c r="H39" i="154"/>
  <c r="J27" i="154"/>
  <c r="J23" i="154"/>
  <c r="J20" i="154"/>
  <c r="J16" i="154"/>
  <c r="J32" i="154"/>
  <c r="J30" i="154"/>
  <c r="J26" i="154"/>
  <c r="J33" i="154"/>
  <c r="J21" i="154"/>
  <c r="J31" i="154"/>
  <c r="J39" i="154"/>
  <c r="J19" i="154"/>
  <c r="J29" i="154"/>
  <c r="J15" i="154"/>
  <c r="J18" i="154"/>
  <c r="J22" i="154"/>
  <c r="J24" i="154"/>
  <c r="J35" i="154"/>
  <c r="J28" i="154"/>
  <c r="J36" i="154"/>
  <c r="J37" i="154"/>
  <c r="I51" i="61"/>
  <c r="I23" i="7" s="1"/>
  <c r="H23" i="7"/>
  <c r="I38" i="141"/>
  <c r="I15" i="179" s="1"/>
  <c r="H15" i="179"/>
  <c r="I39" i="64"/>
  <c r="I34" i="7" s="1"/>
  <c r="H34" i="7"/>
  <c r="I39" i="25"/>
  <c r="I32" i="7" s="1"/>
  <c r="H32" i="7"/>
  <c r="J38" i="197"/>
  <c r="J30" i="197"/>
  <c r="J25" i="197"/>
  <c r="J27" i="197"/>
  <c r="J23" i="197"/>
  <c r="J32" i="197"/>
  <c r="J34" i="197"/>
  <c r="J33" i="197"/>
  <c r="J19" i="197"/>
  <c r="H39" i="197"/>
  <c r="J14" i="197"/>
  <c r="J13" i="197"/>
  <c r="J17" i="197"/>
  <c r="J20" i="197"/>
  <c r="J12" i="197"/>
  <c r="J15" i="197"/>
  <c r="J31" i="197"/>
  <c r="J16" i="197"/>
  <c r="J26" i="197"/>
  <c r="J39" i="197"/>
  <c r="J21" i="197"/>
  <c r="J29" i="197"/>
  <c r="J18" i="197"/>
  <c r="J22" i="197"/>
  <c r="J24" i="197"/>
  <c r="J28" i="197"/>
  <c r="J35" i="197"/>
  <c r="J36" i="197"/>
  <c r="J37" i="197"/>
  <c r="J32" i="175"/>
  <c r="J17" i="175"/>
  <c r="J14" i="175"/>
  <c r="J25" i="175"/>
  <c r="J33" i="175"/>
  <c r="J15" i="175"/>
  <c r="H39" i="175"/>
  <c r="J30" i="175"/>
  <c r="J39" i="175"/>
  <c r="J20" i="175"/>
  <c r="J34" i="175"/>
  <c r="J13" i="175"/>
  <c r="J31" i="175"/>
  <c r="J27" i="175"/>
  <c r="J26" i="175"/>
  <c r="J18" i="175"/>
  <c r="J23" i="175"/>
  <c r="J16" i="175"/>
  <c r="J29" i="175"/>
  <c r="J21" i="175"/>
  <c r="J12" i="175"/>
  <c r="J19" i="175"/>
  <c r="J22" i="175"/>
  <c r="J24" i="175"/>
  <c r="J28" i="175"/>
  <c r="J35" i="175"/>
  <c r="J36" i="175"/>
  <c r="J37" i="175"/>
  <c r="J37" i="70"/>
  <c r="J20" i="70"/>
  <c r="J16" i="70"/>
  <c r="J23" i="70"/>
  <c r="J34" i="70"/>
  <c r="J27" i="70"/>
  <c r="J12" i="70"/>
  <c r="J14" i="70"/>
  <c r="J29" i="70"/>
  <c r="J21" i="70"/>
  <c r="J25" i="70"/>
  <c r="H39" i="70"/>
  <c r="J31" i="70"/>
  <c r="J15" i="70"/>
  <c r="J26" i="70"/>
  <c r="J13" i="70"/>
  <c r="J39" i="70"/>
  <c r="J30" i="70"/>
  <c r="J32" i="70"/>
  <c r="J33" i="70"/>
  <c r="J18" i="70"/>
  <c r="J17" i="70"/>
  <c r="J19" i="70"/>
  <c r="J22" i="70"/>
  <c r="J24" i="70"/>
  <c r="J35" i="70"/>
  <c r="J28" i="70"/>
  <c r="J36" i="70"/>
  <c r="J38" i="70"/>
  <c r="I39" i="151"/>
  <c r="I33" i="179" s="1"/>
  <c r="H33" i="179"/>
  <c r="I51" i="62"/>
  <c r="I25" i="7" s="1"/>
  <c r="H25" i="7"/>
  <c r="I51" i="59"/>
  <c r="I21" i="7" s="1"/>
  <c r="H21" i="7"/>
  <c r="J37" i="65"/>
  <c r="J34" i="65"/>
  <c r="J26" i="65"/>
  <c r="J23" i="65"/>
  <c r="J29" i="65"/>
  <c r="J33" i="65"/>
  <c r="J17" i="65"/>
  <c r="J30" i="65"/>
  <c r="J15" i="65"/>
  <c r="H39" i="65"/>
  <c r="J20" i="65"/>
  <c r="J27" i="65"/>
  <c r="J31" i="65"/>
  <c r="J18" i="65"/>
  <c r="J16" i="65"/>
  <c r="J12" i="65"/>
  <c r="J39" i="65"/>
  <c r="J13" i="65"/>
  <c r="J25" i="65"/>
  <c r="J14" i="65"/>
  <c r="J21" i="65"/>
  <c r="J32" i="65"/>
  <c r="J19" i="65"/>
  <c r="J22" i="65"/>
  <c r="J24" i="65"/>
  <c r="J28" i="65"/>
  <c r="J35" i="65"/>
  <c r="J36" i="65"/>
  <c r="H46" i="179" l="1"/>
  <c r="H40" i="7"/>
  <c r="I39" i="70"/>
  <c r="I40" i="7" s="1"/>
  <c r="I39" i="154"/>
  <c r="I48" i="179" s="1"/>
  <c r="H48" i="179"/>
  <c r="I39" i="175"/>
  <c r="I39" i="7" s="1"/>
  <c r="H39" i="7"/>
  <c r="H32" i="179"/>
  <c r="I39" i="197"/>
  <c r="I32" i="179" s="1"/>
  <c r="H35" i="7"/>
  <c r="I39" i="65"/>
  <c r="I35" i="7" s="1"/>
  <c r="H47" i="179"/>
  <c r="I39" i="198"/>
  <c r="I47" i="179" s="1"/>
  <c r="S5" i="3" l="1"/>
  <c r="S6" i="3" l="1"/>
  <c r="F23" i="51"/>
  <c r="G23" i="51" s="1"/>
  <c r="F23" i="53"/>
  <c r="G23" i="53" s="1"/>
  <c r="F23" i="52"/>
  <c r="G23" i="52" s="1"/>
  <c r="F23" i="181"/>
  <c r="G23" i="181" s="1"/>
  <c r="S4" i="3"/>
  <c r="G25" i="52" l="1"/>
  <c r="H23" i="52"/>
  <c r="I23" i="52" s="1"/>
  <c r="H23" i="53"/>
  <c r="I23" i="53" s="1"/>
  <c r="G25" i="53"/>
  <c r="G25" i="51"/>
  <c r="H23" i="51"/>
  <c r="I23" i="51" s="1"/>
  <c r="F23" i="50"/>
  <c r="G23" i="50" s="1"/>
  <c r="F23" i="182"/>
  <c r="G23" i="182" s="1"/>
  <c r="F23" i="48"/>
  <c r="G23" i="48" s="1"/>
  <c r="F23" i="49"/>
  <c r="G23" i="49" s="1"/>
  <c r="H23" i="181"/>
  <c r="I23" i="181" s="1"/>
  <c r="G25" i="181"/>
  <c r="F23" i="168"/>
  <c r="G23" i="168" s="1"/>
  <c r="F23" i="54"/>
  <c r="G23" i="54" s="1"/>
  <c r="F23" i="56"/>
  <c r="G23" i="56" s="1"/>
  <c r="F23" i="104"/>
  <c r="G23" i="104" s="1"/>
  <c r="H23" i="49" l="1"/>
  <c r="I23" i="49" s="1"/>
  <c r="G25" i="49"/>
  <c r="G25" i="56"/>
  <c r="H23" i="56"/>
  <c r="I23" i="56" s="1"/>
  <c r="H23" i="48"/>
  <c r="I23" i="48" s="1"/>
  <c r="G25" i="48"/>
  <c r="H23" i="104"/>
  <c r="I23" i="104" s="1"/>
  <c r="G25" i="104"/>
  <c r="H23" i="54"/>
  <c r="I23" i="54" s="1"/>
  <c r="G25" i="54"/>
  <c r="G42" i="181"/>
  <c r="G45" i="181" s="1"/>
  <c r="H25" i="181"/>
  <c r="G30" i="181"/>
  <c r="G47" i="181"/>
  <c r="G50" i="181" s="1"/>
  <c r="G29" i="181"/>
  <c r="H23" i="182"/>
  <c r="I23" i="182" s="1"/>
  <c r="G25" i="182"/>
  <c r="G29" i="53"/>
  <c r="H25" i="53"/>
  <c r="G47" i="53"/>
  <c r="G50" i="53" s="1"/>
  <c r="G30" i="53"/>
  <c r="G42" i="53"/>
  <c r="G45" i="53" s="1"/>
  <c r="G25" i="168"/>
  <c r="H23" i="168"/>
  <c r="I23" i="168" s="1"/>
  <c r="H23" i="50"/>
  <c r="I23" i="50" s="1"/>
  <c r="G25" i="50"/>
  <c r="G47" i="51"/>
  <c r="G50" i="51" s="1"/>
  <c r="H25" i="51"/>
  <c r="G29" i="51"/>
  <c r="G42" i="51"/>
  <c r="G45" i="51" s="1"/>
  <c r="G30" i="51"/>
  <c r="G42" i="52"/>
  <c r="G45" i="52" s="1"/>
  <c r="H25" i="52"/>
  <c r="G29" i="52"/>
  <c r="G30" i="52"/>
  <c r="G47" i="52"/>
  <c r="G50" i="52" s="1"/>
  <c r="F11" i="7" l="1"/>
  <c r="I25" i="52"/>
  <c r="G11" i="7" s="1"/>
  <c r="G48" i="51"/>
  <c r="G49" i="51" s="1"/>
  <c r="H47" i="51"/>
  <c r="I47" i="51" s="1"/>
  <c r="G42" i="168"/>
  <c r="G45" i="168" s="1"/>
  <c r="G29" i="168"/>
  <c r="G47" i="168"/>
  <c r="G50" i="168" s="1"/>
  <c r="H25" i="168"/>
  <c r="G30" i="168"/>
  <c r="G35" i="53"/>
  <c r="H30" i="53"/>
  <c r="I30" i="53" s="1"/>
  <c r="G35" i="181"/>
  <c r="H30" i="181"/>
  <c r="I30" i="181" s="1"/>
  <c r="G34" i="52"/>
  <c r="H29" i="52"/>
  <c r="I29" i="52" s="1"/>
  <c r="I25" i="51"/>
  <c r="G10" i="7" s="1"/>
  <c r="F10" i="7"/>
  <c r="G29" i="50"/>
  <c r="H25" i="50"/>
  <c r="G47" i="50"/>
  <c r="G50" i="50" s="1"/>
  <c r="G30" i="50"/>
  <c r="G42" i="50"/>
  <c r="G45" i="50" s="1"/>
  <c r="H42" i="53"/>
  <c r="I42" i="53" s="1"/>
  <c r="G43" i="53"/>
  <c r="H29" i="53"/>
  <c r="I29" i="53" s="1"/>
  <c r="G34" i="53"/>
  <c r="H47" i="181"/>
  <c r="I47" i="181" s="1"/>
  <c r="G48" i="181"/>
  <c r="H30" i="51"/>
  <c r="I30" i="51" s="1"/>
  <c r="G35" i="51"/>
  <c r="H47" i="52"/>
  <c r="I47" i="52" s="1"/>
  <c r="G48" i="52"/>
  <c r="G43" i="52"/>
  <c r="G44" i="52" s="1"/>
  <c r="H42" i="52"/>
  <c r="I42" i="52" s="1"/>
  <c r="H42" i="51"/>
  <c r="I42" i="51" s="1"/>
  <c r="G43" i="51"/>
  <c r="G48" i="53"/>
  <c r="G49" i="53" s="1"/>
  <c r="H47" i="53"/>
  <c r="I47" i="53" s="1"/>
  <c r="F12" i="7"/>
  <c r="I25" i="181"/>
  <c r="G12" i="7" s="1"/>
  <c r="G29" i="54"/>
  <c r="G30" i="54"/>
  <c r="H25" i="54"/>
  <c r="G47" i="54"/>
  <c r="G50" i="54" s="1"/>
  <c r="G42" i="54"/>
  <c r="G45" i="54" s="1"/>
  <c r="G42" i="104"/>
  <c r="G45" i="104" s="1"/>
  <c r="G47" i="104"/>
  <c r="G50" i="104" s="1"/>
  <c r="G30" i="104"/>
  <c r="G29" i="104"/>
  <c r="H25" i="104"/>
  <c r="H25" i="48"/>
  <c r="G30" i="48"/>
  <c r="G42" i="48"/>
  <c r="G45" i="48" s="1"/>
  <c r="G47" i="48"/>
  <c r="G50" i="48" s="1"/>
  <c r="G29" i="48"/>
  <c r="H25" i="49"/>
  <c r="G30" i="49"/>
  <c r="G42" i="49"/>
  <c r="G45" i="49" s="1"/>
  <c r="G29" i="49"/>
  <c r="G47" i="49"/>
  <c r="G50" i="49" s="1"/>
  <c r="H30" i="52"/>
  <c r="I30" i="52" s="1"/>
  <c r="G35" i="52"/>
  <c r="G34" i="51"/>
  <c r="H29" i="51"/>
  <c r="I29" i="51" s="1"/>
  <c r="I25" i="53"/>
  <c r="G13" i="7" s="1"/>
  <c r="F13" i="7"/>
  <c r="G47" i="182"/>
  <c r="G50" i="182" s="1"/>
  <c r="H25" i="182"/>
  <c r="G42" i="182"/>
  <c r="G45" i="182" s="1"/>
  <c r="G29" i="182"/>
  <c r="G30" i="182"/>
  <c r="G34" i="181"/>
  <c r="H29" i="181"/>
  <c r="I29" i="181" s="1"/>
  <c r="G43" i="181"/>
  <c r="H42" i="181"/>
  <c r="I42" i="181" s="1"/>
  <c r="H25" i="56"/>
  <c r="G47" i="56"/>
  <c r="G50" i="56" s="1"/>
  <c r="G29" i="56"/>
  <c r="G30" i="56"/>
  <c r="G42" i="56"/>
  <c r="G45" i="56" s="1"/>
  <c r="H49" i="53" l="1"/>
  <c r="I49" i="53" s="1"/>
  <c r="H50" i="53"/>
  <c r="I50" i="53" s="1"/>
  <c r="G51" i="53"/>
  <c r="G34" i="182"/>
  <c r="H29" i="182"/>
  <c r="I29" i="182" s="1"/>
  <c r="G48" i="49"/>
  <c r="G49" i="49" s="1"/>
  <c r="H47" i="49"/>
  <c r="I47" i="49" s="1"/>
  <c r="H30" i="104"/>
  <c r="I30" i="104" s="1"/>
  <c r="G35" i="104"/>
  <c r="G49" i="52"/>
  <c r="H48" i="52"/>
  <c r="I48" i="52" s="1"/>
  <c r="G43" i="50"/>
  <c r="G44" i="50" s="1"/>
  <c r="H42" i="50"/>
  <c r="I42" i="50" s="1"/>
  <c r="G34" i="168"/>
  <c r="H29" i="168"/>
  <c r="I29" i="168" s="1"/>
  <c r="G43" i="56"/>
  <c r="G44" i="56" s="1"/>
  <c r="H42" i="56"/>
  <c r="I42" i="56" s="1"/>
  <c r="G43" i="182"/>
  <c r="G44" i="182" s="1"/>
  <c r="H42" i="182"/>
  <c r="I42" i="182" s="1"/>
  <c r="H34" i="51"/>
  <c r="I34" i="51" s="1"/>
  <c r="G34" i="49"/>
  <c r="H29" i="49"/>
  <c r="I29" i="49" s="1"/>
  <c r="G43" i="48"/>
  <c r="H42" i="48"/>
  <c r="I42" i="48" s="1"/>
  <c r="H47" i="104"/>
  <c r="I47" i="104" s="1"/>
  <c r="G48" i="104"/>
  <c r="G43" i="54"/>
  <c r="G44" i="54" s="1"/>
  <c r="H42" i="54"/>
  <c r="I42" i="54" s="1"/>
  <c r="H29" i="54"/>
  <c r="I29" i="54" s="1"/>
  <c r="G34" i="54"/>
  <c r="G44" i="51"/>
  <c r="H43" i="51"/>
  <c r="I43" i="51" s="1"/>
  <c r="H30" i="50"/>
  <c r="I30" i="50" s="1"/>
  <c r="G35" i="50"/>
  <c r="H30" i="168"/>
  <c r="I30" i="168" s="1"/>
  <c r="G35" i="168"/>
  <c r="H42" i="168"/>
  <c r="I42" i="168" s="1"/>
  <c r="G43" i="168"/>
  <c r="H48" i="51"/>
  <c r="I48" i="51" s="1"/>
  <c r="H34" i="181"/>
  <c r="I34" i="181" s="1"/>
  <c r="H35" i="52"/>
  <c r="I35" i="52" s="1"/>
  <c r="F7" i="7"/>
  <c r="I25" i="49"/>
  <c r="G7" i="7" s="1"/>
  <c r="H35" i="51"/>
  <c r="I35" i="51" s="1"/>
  <c r="H48" i="181"/>
  <c r="I48" i="181" s="1"/>
  <c r="H43" i="53"/>
  <c r="I43" i="53" s="1"/>
  <c r="H29" i="50"/>
  <c r="I29" i="50" s="1"/>
  <c r="G34" i="50"/>
  <c r="F17" i="7"/>
  <c r="I25" i="56"/>
  <c r="G17" i="7" s="1"/>
  <c r="H30" i="56"/>
  <c r="I30" i="56" s="1"/>
  <c r="G35" i="56"/>
  <c r="I25" i="182"/>
  <c r="G8" i="7" s="1"/>
  <c r="F8" i="7"/>
  <c r="H42" i="49"/>
  <c r="I42" i="49" s="1"/>
  <c r="G43" i="49"/>
  <c r="G44" i="49" s="1"/>
  <c r="G35" i="48"/>
  <c r="H30" i="48"/>
  <c r="I30" i="48" s="1"/>
  <c r="I25" i="104"/>
  <c r="G15" i="7" s="1"/>
  <c r="F15" i="7"/>
  <c r="G43" i="104"/>
  <c r="H42" i="104"/>
  <c r="I42" i="104" s="1"/>
  <c r="G48" i="54"/>
  <c r="H47" i="54"/>
  <c r="I47" i="54" s="1"/>
  <c r="H43" i="52"/>
  <c r="I43" i="52" s="1"/>
  <c r="H47" i="50"/>
  <c r="I47" i="50" s="1"/>
  <c r="G48" i="50"/>
  <c r="G49" i="50" s="1"/>
  <c r="H34" i="52"/>
  <c r="I34" i="52" s="1"/>
  <c r="H35" i="181"/>
  <c r="I35" i="181" s="1"/>
  <c r="H35" i="53"/>
  <c r="I35" i="53" s="1"/>
  <c r="F16" i="7"/>
  <c r="I25" i="168"/>
  <c r="G16" i="7" s="1"/>
  <c r="H47" i="56"/>
  <c r="I47" i="56" s="1"/>
  <c r="G48" i="56"/>
  <c r="G49" i="56" s="1"/>
  <c r="G44" i="181"/>
  <c r="H43" i="181"/>
  <c r="I43" i="181" s="1"/>
  <c r="G48" i="48"/>
  <c r="H47" i="48"/>
  <c r="I47" i="48" s="1"/>
  <c r="H30" i="54"/>
  <c r="I30" i="54" s="1"/>
  <c r="G35" i="54"/>
  <c r="H44" i="52"/>
  <c r="I44" i="52" s="1"/>
  <c r="H34" i="53"/>
  <c r="I34" i="53" s="1"/>
  <c r="H29" i="56"/>
  <c r="I29" i="56" s="1"/>
  <c r="G34" i="56"/>
  <c r="H30" i="182"/>
  <c r="I30" i="182" s="1"/>
  <c r="G35" i="182"/>
  <c r="G48" i="182"/>
  <c r="H47" i="182"/>
  <c r="I47" i="182" s="1"/>
  <c r="G35" i="49"/>
  <c r="H30" i="49"/>
  <c r="I30" i="49" s="1"/>
  <c r="G34" i="48"/>
  <c r="H29" i="48"/>
  <c r="I29" i="48" s="1"/>
  <c r="F6" i="7"/>
  <c r="I25" i="48"/>
  <c r="G6" i="7" s="1"/>
  <c r="H29" i="104"/>
  <c r="I29" i="104" s="1"/>
  <c r="G34" i="104"/>
  <c r="I25" i="54"/>
  <c r="G14" i="7" s="1"/>
  <c r="F14" i="7"/>
  <c r="H48" i="53"/>
  <c r="I48" i="53" s="1"/>
  <c r="G49" i="181"/>
  <c r="G44" i="53"/>
  <c r="F9" i="7"/>
  <c r="I25" i="50"/>
  <c r="G9" i="7" s="1"/>
  <c r="H47" i="168"/>
  <c r="I47" i="168" s="1"/>
  <c r="G48" i="168"/>
  <c r="G49" i="168" s="1"/>
  <c r="G51" i="51"/>
  <c r="H49" i="51"/>
  <c r="I49" i="51" s="1"/>
  <c r="K27" i="51" l="1"/>
  <c r="K17" i="51"/>
  <c r="K32" i="51"/>
  <c r="K40" i="51"/>
  <c r="K36" i="51"/>
  <c r="H51" i="51"/>
  <c r="K41" i="51"/>
  <c r="K51" i="51"/>
  <c r="K28" i="51"/>
  <c r="K37" i="51"/>
  <c r="K26" i="51"/>
  <c r="K24" i="51"/>
  <c r="K16" i="51"/>
  <c r="K22" i="51"/>
  <c r="K31" i="51"/>
  <c r="K33" i="51"/>
  <c r="K38" i="51"/>
  <c r="K15" i="51"/>
  <c r="K18" i="51"/>
  <c r="K21" i="51"/>
  <c r="K39" i="51"/>
  <c r="K20" i="51"/>
  <c r="K19" i="51"/>
  <c r="K23" i="51"/>
  <c r="K25" i="51"/>
  <c r="K47" i="51"/>
  <c r="K30" i="51"/>
  <c r="K29" i="51"/>
  <c r="K48" i="51"/>
  <c r="K49" i="51"/>
  <c r="K34" i="51"/>
  <c r="K35" i="51"/>
  <c r="G51" i="168"/>
  <c r="H49" i="168"/>
  <c r="I49" i="168" s="1"/>
  <c r="H44" i="54"/>
  <c r="I44" i="54" s="1"/>
  <c r="H49" i="56"/>
  <c r="I49" i="56" s="1"/>
  <c r="H44" i="53"/>
  <c r="I44" i="53" s="1"/>
  <c r="H45" i="52"/>
  <c r="I45" i="52" s="1"/>
  <c r="G49" i="48"/>
  <c r="H48" i="48"/>
  <c r="I48" i="48" s="1"/>
  <c r="H48" i="54"/>
  <c r="I48" i="54" s="1"/>
  <c r="H44" i="49"/>
  <c r="I44" i="49" s="1"/>
  <c r="H34" i="54"/>
  <c r="I34" i="54" s="1"/>
  <c r="K50" i="53"/>
  <c r="K21" i="53"/>
  <c r="K24" i="53"/>
  <c r="K31" i="53"/>
  <c r="K26" i="53"/>
  <c r="K51" i="53"/>
  <c r="K18" i="53"/>
  <c r="K28" i="53"/>
  <c r="K38" i="53"/>
  <c r="K20" i="53"/>
  <c r="K36" i="53"/>
  <c r="K33" i="53"/>
  <c r="K22" i="53"/>
  <c r="K39" i="53"/>
  <c r="K16" i="53"/>
  <c r="K40" i="53"/>
  <c r="K27" i="53"/>
  <c r="K17" i="53"/>
  <c r="K15" i="53"/>
  <c r="H51" i="53"/>
  <c r="K41" i="53"/>
  <c r="K32" i="53"/>
  <c r="K37" i="53"/>
  <c r="K19" i="53"/>
  <c r="K23" i="53"/>
  <c r="K25" i="53"/>
  <c r="K30" i="53"/>
  <c r="K29" i="53"/>
  <c r="K47" i="53"/>
  <c r="K48" i="53"/>
  <c r="H34" i="48"/>
  <c r="I34" i="48" s="1"/>
  <c r="H35" i="49"/>
  <c r="I35" i="49" s="1"/>
  <c r="K34" i="53"/>
  <c r="G46" i="52"/>
  <c r="J45" i="52" s="1"/>
  <c r="H45" i="181"/>
  <c r="I45" i="181" s="1"/>
  <c r="H44" i="181"/>
  <c r="I44" i="181" s="1"/>
  <c r="H35" i="56"/>
  <c r="I35" i="56" s="1"/>
  <c r="G49" i="104"/>
  <c r="H48" i="104"/>
  <c r="I48" i="104" s="1"/>
  <c r="H43" i="182"/>
  <c r="I43" i="182" s="1"/>
  <c r="H43" i="56"/>
  <c r="I43" i="56" s="1"/>
  <c r="H34" i="168"/>
  <c r="I34" i="168" s="1"/>
  <c r="H43" i="50"/>
  <c r="I43" i="50" s="1"/>
  <c r="K49" i="53"/>
  <c r="H34" i="104"/>
  <c r="I34" i="104" s="1"/>
  <c r="H49" i="50"/>
  <c r="I49" i="50" s="1"/>
  <c r="G51" i="50"/>
  <c r="H43" i="104"/>
  <c r="I43" i="104" s="1"/>
  <c r="H34" i="49"/>
  <c r="I34" i="49" s="1"/>
  <c r="H50" i="51"/>
  <c r="I50" i="51" s="1"/>
  <c r="K50" i="51"/>
  <c r="H49" i="181"/>
  <c r="H35" i="182"/>
  <c r="I35" i="182" s="1"/>
  <c r="H34" i="56"/>
  <c r="I34" i="56" s="1"/>
  <c r="H48" i="50"/>
  <c r="I48" i="50" s="1"/>
  <c r="H43" i="49"/>
  <c r="I43" i="49" s="1"/>
  <c r="H34" i="50"/>
  <c r="I34" i="50" s="1"/>
  <c r="G44" i="168"/>
  <c r="H43" i="168"/>
  <c r="I43" i="168" s="1"/>
  <c r="H35" i="168"/>
  <c r="I35" i="168" s="1"/>
  <c r="H35" i="50"/>
  <c r="I35" i="50" s="1"/>
  <c r="H44" i="51"/>
  <c r="I44" i="51" s="1"/>
  <c r="G46" i="51"/>
  <c r="H43" i="54"/>
  <c r="I43" i="54" s="1"/>
  <c r="H44" i="182"/>
  <c r="I44" i="182" s="1"/>
  <c r="H44" i="56"/>
  <c r="I44" i="56" s="1"/>
  <c r="H44" i="50"/>
  <c r="I44" i="50" s="1"/>
  <c r="H35" i="104"/>
  <c r="I35" i="104" s="1"/>
  <c r="H48" i="168"/>
  <c r="I48" i="168" s="1"/>
  <c r="H35" i="54"/>
  <c r="I35" i="54" s="1"/>
  <c r="H43" i="48"/>
  <c r="I43" i="48" s="1"/>
  <c r="H49" i="49"/>
  <c r="I49" i="49" s="1"/>
  <c r="G51" i="49"/>
  <c r="G49" i="182"/>
  <c r="H48" i="182"/>
  <c r="I48" i="182" s="1"/>
  <c r="H48" i="56"/>
  <c r="I48" i="56" s="1"/>
  <c r="K35" i="53"/>
  <c r="G49" i="54"/>
  <c r="G44" i="104"/>
  <c r="H35" i="48"/>
  <c r="I35" i="48" s="1"/>
  <c r="G44" i="48"/>
  <c r="G51" i="52"/>
  <c r="H49" i="52"/>
  <c r="I49" i="52" s="1"/>
  <c r="H48" i="49"/>
  <c r="I48" i="49" s="1"/>
  <c r="H34" i="182"/>
  <c r="I34" i="182" s="1"/>
  <c r="G46" i="181" l="1"/>
  <c r="J44" i="181" s="1"/>
  <c r="K48" i="50"/>
  <c r="K34" i="50"/>
  <c r="K16" i="168"/>
  <c r="K36" i="168"/>
  <c r="K27" i="168"/>
  <c r="K38" i="168"/>
  <c r="K15" i="168"/>
  <c r="K51" i="168"/>
  <c r="K17" i="168"/>
  <c r="K26" i="168"/>
  <c r="K21" i="168"/>
  <c r="K32" i="168"/>
  <c r="K24" i="168"/>
  <c r="K28" i="168"/>
  <c r="K18" i="168"/>
  <c r="K40" i="168"/>
  <c r="K22" i="168"/>
  <c r="K33" i="168"/>
  <c r="K31" i="168"/>
  <c r="K37" i="168"/>
  <c r="K41" i="168"/>
  <c r="K39" i="168"/>
  <c r="H51" i="168"/>
  <c r="K20" i="168"/>
  <c r="K19" i="168"/>
  <c r="K23" i="168"/>
  <c r="K25" i="168"/>
  <c r="K29" i="168"/>
  <c r="K30" i="168"/>
  <c r="K47" i="168"/>
  <c r="K35" i="168"/>
  <c r="K49" i="168"/>
  <c r="K34" i="168"/>
  <c r="K48" i="168"/>
  <c r="K20" i="49"/>
  <c r="K51" i="49"/>
  <c r="K18" i="49"/>
  <c r="K15" i="49"/>
  <c r="K36" i="49"/>
  <c r="K27" i="49"/>
  <c r="K21" i="49"/>
  <c r="K22" i="49"/>
  <c r="K17" i="49"/>
  <c r="K41" i="49"/>
  <c r="K24" i="49"/>
  <c r="K39" i="49"/>
  <c r="K31" i="49"/>
  <c r="K26" i="49"/>
  <c r="K37" i="49"/>
  <c r="K40" i="49"/>
  <c r="K32" i="49"/>
  <c r="K38" i="49"/>
  <c r="K16" i="49"/>
  <c r="H51" i="49"/>
  <c r="K28" i="49"/>
  <c r="K33" i="49"/>
  <c r="K19" i="49"/>
  <c r="K23" i="49"/>
  <c r="K25" i="49"/>
  <c r="K29" i="49"/>
  <c r="K30" i="49"/>
  <c r="K47" i="49"/>
  <c r="K35" i="49"/>
  <c r="H50" i="56"/>
  <c r="I50" i="56" s="1"/>
  <c r="K48" i="49"/>
  <c r="H50" i="49"/>
  <c r="I50" i="49" s="1"/>
  <c r="K50" i="49"/>
  <c r="H45" i="51"/>
  <c r="I45" i="51" s="1"/>
  <c r="J45" i="51"/>
  <c r="H50" i="50"/>
  <c r="I50" i="50" s="1"/>
  <c r="K50" i="50"/>
  <c r="G46" i="53"/>
  <c r="J45" i="53" s="1"/>
  <c r="H45" i="53"/>
  <c r="I45" i="53" s="1"/>
  <c r="J39" i="51"/>
  <c r="J12" i="51"/>
  <c r="J26" i="51"/>
  <c r="J32" i="51"/>
  <c r="H46" i="51"/>
  <c r="I46" i="51" s="1"/>
  <c r="J33" i="51"/>
  <c r="J24" i="51"/>
  <c r="J38" i="51"/>
  <c r="J36" i="51"/>
  <c r="J40" i="51"/>
  <c r="J27" i="51"/>
  <c r="J41" i="51"/>
  <c r="J46" i="51"/>
  <c r="J28" i="51"/>
  <c r="J31" i="51"/>
  <c r="J13" i="51"/>
  <c r="J37" i="51"/>
  <c r="J21" i="51"/>
  <c r="J22" i="51"/>
  <c r="J18" i="51"/>
  <c r="J14" i="51"/>
  <c r="J20" i="51"/>
  <c r="J19" i="51"/>
  <c r="J23" i="51"/>
  <c r="J25" i="51"/>
  <c r="J30" i="51"/>
  <c r="J29" i="51"/>
  <c r="J42" i="51"/>
  <c r="J34" i="51"/>
  <c r="J43" i="51"/>
  <c r="J35" i="51"/>
  <c r="K33" i="50"/>
  <c r="H51" i="50"/>
  <c r="K18" i="50"/>
  <c r="K17" i="50"/>
  <c r="K16" i="50"/>
  <c r="K27" i="50"/>
  <c r="K51" i="50"/>
  <c r="K22" i="50"/>
  <c r="K15" i="50"/>
  <c r="K40" i="50"/>
  <c r="K26" i="50"/>
  <c r="K39" i="50"/>
  <c r="K20" i="50"/>
  <c r="K21" i="50"/>
  <c r="K28" i="50"/>
  <c r="K36" i="50"/>
  <c r="K38" i="50"/>
  <c r="K31" i="50"/>
  <c r="K19" i="50"/>
  <c r="K24" i="50"/>
  <c r="K32" i="50"/>
  <c r="K41" i="50"/>
  <c r="K37" i="50"/>
  <c r="K23" i="50"/>
  <c r="K25" i="50"/>
  <c r="K30" i="50"/>
  <c r="K29" i="50"/>
  <c r="K47" i="50"/>
  <c r="H50" i="52"/>
  <c r="I50" i="52" s="1"/>
  <c r="K50" i="52"/>
  <c r="H49" i="182"/>
  <c r="I49" i="182" s="1"/>
  <c r="H50" i="182"/>
  <c r="I50" i="182" s="1"/>
  <c r="G46" i="50"/>
  <c r="J45" i="50" s="1"/>
  <c r="H45" i="50"/>
  <c r="I45" i="50" s="1"/>
  <c r="G46" i="56"/>
  <c r="J45" i="56" s="1"/>
  <c r="H45" i="56"/>
  <c r="I45" i="56" s="1"/>
  <c r="G51" i="181"/>
  <c r="K50" i="181" s="1"/>
  <c r="H50" i="181"/>
  <c r="I50" i="181" s="1"/>
  <c r="H49" i="104"/>
  <c r="I49" i="104" s="1"/>
  <c r="H50" i="104"/>
  <c r="I50" i="104" s="1"/>
  <c r="J20" i="52"/>
  <c r="J28" i="52"/>
  <c r="J31" i="52"/>
  <c r="J38" i="52"/>
  <c r="J46" i="52"/>
  <c r="J37" i="52"/>
  <c r="J39" i="52"/>
  <c r="J22" i="52"/>
  <c r="J13" i="52"/>
  <c r="J41" i="52"/>
  <c r="J40" i="52"/>
  <c r="J24" i="52"/>
  <c r="H46" i="52"/>
  <c r="I46" i="52" s="1"/>
  <c r="J14" i="52"/>
  <c r="J27" i="52"/>
  <c r="J18" i="52"/>
  <c r="J12" i="52"/>
  <c r="J32" i="52"/>
  <c r="J26" i="52"/>
  <c r="J21" i="52"/>
  <c r="J33" i="52"/>
  <c r="J36" i="52"/>
  <c r="J19" i="52"/>
  <c r="J23" i="52"/>
  <c r="J25" i="52"/>
  <c r="J29" i="52"/>
  <c r="J42" i="52"/>
  <c r="J30" i="52"/>
  <c r="J44" i="52"/>
  <c r="J35" i="52"/>
  <c r="J43" i="52"/>
  <c r="J34" i="52"/>
  <c r="H49" i="48"/>
  <c r="I49" i="48" s="1"/>
  <c r="H10" i="7"/>
  <c r="I51" i="51"/>
  <c r="I10" i="7" s="1"/>
  <c r="K24" i="52"/>
  <c r="K31" i="52"/>
  <c r="K17" i="52"/>
  <c r="K40" i="52"/>
  <c r="K22" i="52"/>
  <c r="K38" i="52"/>
  <c r="K18" i="52"/>
  <c r="H51" i="52"/>
  <c r="K37" i="52"/>
  <c r="K26" i="52"/>
  <c r="K16" i="52"/>
  <c r="K19" i="52"/>
  <c r="K20" i="52"/>
  <c r="K36" i="52"/>
  <c r="K33" i="52"/>
  <c r="K51" i="52"/>
  <c r="K39" i="52"/>
  <c r="K28" i="52"/>
  <c r="K41" i="52"/>
  <c r="K15" i="52"/>
  <c r="K27" i="52"/>
  <c r="K21" i="52"/>
  <c r="K32" i="52"/>
  <c r="K23" i="52"/>
  <c r="K25" i="52"/>
  <c r="K47" i="52"/>
  <c r="K30" i="52"/>
  <c r="K29" i="52"/>
  <c r="K48" i="52"/>
  <c r="K35" i="52"/>
  <c r="K34" i="52"/>
  <c r="H49" i="54"/>
  <c r="I49" i="54" s="1"/>
  <c r="H45" i="49"/>
  <c r="I45" i="49" s="1"/>
  <c r="K49" i="52"/>
  <c r="H44" i="48"/>
  <c r="I44" i="48" s="1"/>
  <c r="H44" i="104"/>
  <c r="I44" i="104" s="1"/>
  <c r="K49" i="49"/>
  <c r="G46" i="182"/>
  <c r="J45" i="182" s="1"/>
  <c r="H45" i="182"/>
  <c r="I45" i="182" s="1"/>
  <c r="J44" i="51"/>
  <c r="K35" i="50"/>
  <c r="H44" i="168"/>
  <c r="I44" i="168" s="1"/>
  <c r="H45" i="168"/>
  <c r="I45" i="168" s="1"/>
  <c r="I49" i="181"/>
  <c r="K34" i="49"/>
  <c r="K49" i="50"/>
  <c r="J26" i="181"/>
  <c r="J46" i="181"/>
  <c r="J31" i="181"/>
  <c r="J14" i="181"/>
  <c r="J32" i="181"/>
  <c r="J20" i="181"/>
  <c r="J42" i="181"/>
  <c r="J35" i="181"/>
  <c r="H13" i="7"/>
  <c r="I51" i="53"/>
  <c r="I13" i="7" s="1"/>
  <c r="G46" i="49"/>
  <c r="J45" i="49" s="1"/>
  <c r="G51" i="56"/>
  <c r="G46" i="54"/>
  <c r="H45" i="54"/>
  <c r="I45" i="54" s="1"/>
  <c r="H50" i="168"/>
  <c r="I50" i="168" s="1"/>
  <c r="K50" i="168"/>
  <c r="J34" i="181" l="1"/>
  <c r="J38" i="181"/>
  <c r="J24" i="181"/>
  <c r="J30" i="181"/>
  <c r="J23" i="181"/>
  <c r="J22" i="181"/>
  <c r="J40" i="181"/>
  <c r="H46" i="181"/>
  <c r="I46" i="181" s="1"/>
  <c r="J27" i="181"/>
  <c r="J13" i="181"/>
  <c r="J45" i="181"/>
  <c r="J25" i="181"/>
  <c r="J41" i="181"/>
  <c r="J28" i="181"/>
  <c r="J37" i="181"/>
  <c r="J18" i="181"/>
  <c r="J43" i="181"/>
  <c r="J29" i="181"/>
  <c r="J33" i="181"/>
  <c r="J21" i="181"/>
  <c r="J19" i="181"/>
  <c r="J39" i="181"/>
  <c r="J36" i="181"/>
  <c r="J12" i="181"/>
  <c r="J44" i="54"/>
  <c r="J12" i="54"/>
  <c r="J24" i="54"/>
  <c r="J22" i="54"/>
  <c r="J26" i="54"/>
  <c r="J28" i="54"/>
  <c r="J14" i="54"/>
  <c r="J36" i="54"/>
  <c r="J39" i="54"/>
  <c r="J13" i="54"/>
  <c r="J41" i="54"/>
  <c r="J21" i="54"/>
  <c r="J19" i="54"/>
  <c r="J38" i="54"/>
  <c r="J18" i="54"/>
  <c r="J33" i="54"/>
  <c r="J46" i="54"/>
  <c r="J40" i="54"/>
  <c r="J37" i="54"/>
  <c r="J27" i="54"/>
  <c r="J31" i="54"/>
  <c r="H46" i="54"/>
  <c r="I46" i="54" s="1"/>
  <c r="J20" i="54"/>
  <c r="J32" i="54"/>
  <c r="J23" i="54"/>
  <c r="J25" i="54"/>
  <c r="J42" i="54"/>
  <c r="J29" i="54"/>
  <c r="J30" i="54"/>
  <c r="J35" i="54"/>
  <c r="J43" i="54"/>
  <c r="J34" i="54"/>
  <c r="G51" i="54"/>
  <c r="K50" i="54" s="1"/>
  <c r="H50" i="54"/>
  <c r="I50" i="54" s="1"/>
  <c r="I51" i="52"/>
  <c r="I11" i="7" s="1"/>
  <c r="H11" i="7"/>
  <c r="G51" i="48"/>
  <c r="K50" i="48" s="1"/>
  <c r="H50" i="48"/>
  <c r="I50" i="48" s="1"/>
  <c r="K49" i="56"/>
  <c r="K51" i="56"/>
  <c r="K17" i="56"/>
  <c r="K41" i="56"/>
  <c r="K36" i="56"/>
  <c r="K20" i="56"/>
  <c r="K31" i="56"/>
  <c r="K18" i="56"/>
  <c r="K26" i="56"/>
  <c r="K27" i="56"/>
  <c r="K22" i="56"/>
  <c r="K39" i="56"/>
  <c r="K16" i="56"/>
  <c r="K32" i="56"/>
  <c r="K19" i="56"/>
  <c r="H51" i="56"/>
  <c r="K38" i="56"/>
  <c r="K40" i="56"/>
  <c r="K21" i="56"/>
  <c r="K28" i="56"/>
  <c r="K37" i="56"/>
  <c r="K15" i="56"/>
  <c r="K24" i="56"/>
  <c r="K33" i="56"/>
  <c r="K23" i="56"/>
  <c r="K25" i="56"/>
  <c r="K47" i="56"/>
  <c r="K30" i="56"/>
  <c r="K29" i="56"/>
  <c r="K35" i="56"/>
  <c r="K34" i="56"/>
  <c r="K48" i="56"/>
  <c r="J44" i="182"/>
  <c r="J40" i="182"/>
  <c r="J12" i="182"/>
  <c r="J32" i="182"/>
  <c r="J37" i="182"/>
  <c r="J39" i="182"/>
  <c r="J19" i="182"/>
  <c r="J26" i="182"/>
  <c r="J38" i="182"/>
  <c r="J18" i="182"/>
  <c r="J41" i="182"/>
  <c r="J33" i="182"/>
  <c r="J27" i="182"/>
  <c r="J13" i="182"/>
  <c r="J14" i="182"/>
  <c r="J31" i="182"/>
  <c r="J21" i="182"/>
  <c r="J28" i="182"/>
  <c r="J20" i="182"/>
  <c r="J22" i="182"/>
  <c r="H46" i="182"/>
  <c r="I46" i="182" s="1"/>
  <c r="J46" i="182"/>
  <c r="J24" i="182"/>
  <c r="J36" i="182"/>
  <c r="J23" i="182"/>
  <c r="J25" i="182"/>
  <c r="J42" i="182"/>
  <c r="J29" i="182"/>
  <c r="J30" i="182"/>
  <c r="J43" i="182"/>
  <c r="J35" i="182"/>
  <c r="J34" i="182"/>
  <c r="G46" i="48"/>
  <c r="J45" i="48" s="1"/>
  <c r="H45" i="48"/>
  <c r="I45" i="48" s="1"/>
  <c r="J26" i="50"/>
  <c r="J18" i="50"/>
  <c r="J22" i="50"/>
  <c r="J36" i="50"/>
  <c r="J33" i="50"/>
  <c r="J13" i="50"/>
  <c r="J20" i="50"/>
  <c r="H46" i="50"/>
  <c r="I46" i="50" s="1"/>
  <c r="J41" i="50"/>
  <c r="J21" i="50"/>
  <c r="J39" i="50"/>
  <c r="J24" i="50"/>
  <c r="J37" i="50"/>
  <c r="J14" i="50"/>
  <c r="J40" i="50"/>
  <c r="J46" i="50"/>
  <c r="J27" i="50"/>
  <c r="J12" i="50"/>
  <c r="J38" i="50"/>
  <c r="J31" i="50"/>
  <c r="J32" i="50"/>
  <c r="J28" i="50"/>
  <c r="J19" i="50"/>
  <c r="J23" i="50"/>
  <c r="J25" i="50"/>
  <c r="J29" i="50"/>
  <c r="J42" i="50"/>
  <c r="J30" i="50"/>
  <c r="J43" i="50"/>
  <c r="J34" i="50"/>
  <c r="J44" i="50"/>
  <c r="J35" i="50"/>
  <c r="J44" i="53"/>
  <c r="J40" i="53"/>
  <c r="J32" i="53"/>
  <c r="J14" i="53"/>
  <c r="H46" i="53"/>
  <c r="I46" i="53" s="1"/>
  <c r="J36" i="53"/>
  <c r="J28" i="53"/>
  <c r="J18" i="53"/>
  <c r="J37" i="53"/>
  <c r="J38" i="53"/>
  <c r="J21" i="53"/>
  <c r="J12" i="53"/>
  <c r="J46" i="53"/>
  <c r="J22" i="53"/>
  <c r="J27" i="53"/>
  <c r="J20" i="53"/>
  <c r="J24" i="53"/>
  <c r="J13" i="53"/>
  <c r="J19" i="53"/>
  <c r="J39" i="53"/>
  <c r="J26" i="53"/>
  <c r="J41" i="53"/>
  <c r="J33" i="53"/>
  <c r="J31" i="53"/>
  <c r="J23" i="53"/>
  <c r="J25" i="53"/>
  <c r="J29" i="53"/>
  <c r="J42" i="53"/>
  <c r="J30" i="53"/>
  <c r="J43" i="53"/>
  <c r="J35" i="53"/>
  <c r="J34" i="53"/>
  <c r="K50" i="56"/>
  <c r="H7" i="7"/>
  <c r="I51" i="49"/>
  <c r="I7" i="7" s="1"/>
  <c r="J45" i="54"/>
  <c r="H46" i="49"/>
  <c r="I46" i="49" s="1"/>
  <c r="J18" i="49"/>
  <c r="J22" i="49"/>
  <c r="J38" i="49"/>
  <c r="J31" i="49"/>
  <c r="J19" i="49"/>
  <c r="J32" i="49"/>
  <c r="J39" i="49"/>
  <c r="J14" i="49"/>
  <c r="J20" i="49"/>
  <c r="J13" i="49"/>
  <c r="J36" i="49"/>
  <c r="J41" i="49"/>
  <c r="J24" i="49"/>
  <c r="J26" i="49"/>
  <c r="J40" i="49"/>
  <c r="J37" i="49"/>
  <c r="J33" i="49"/>
  <c r="J21" i="49"/>
  <c r="J27" i="49"/>
  <c r="J46" i="49"/>
  <c r="J28" i="49"/>
  <c r="J12" i="49"/>
  <c r="J23" i="49"/>
  <c r="J25" i="49"/>
  <c r="J29" i="49"/>
  <c r="J30" i="49"/>
  <c r="J42" i="49"/>
  <c r="J43" i="49"/>
  <c r="J44" i="49"/>
  <c r="J34" i="49"/>
  <c r="J35" i="49"/>
  <c r="G46" i="168"/>
  <c r="G51" i="104"/>
  <c r="J31" i="56"/>
  <c r="J38" i="56"/>
  <c r="J36" i="56"/>
  <c r="J14" i="56"/>
  <c r="J37" i="56"/>
  <c r="J33" i="56"/>
  <c r="J26" i="56"/>
  <c r="J21" i="56"/>
  <c r="J24" i="56"/>
  <c r="J40" i="56"/>
  <c r="J46" i="56"/>
  <c r="J19" i="56"/>
  <c r="J20" i="56"/>
  <c r="J27" i="56"/>
  <c r="J22" i="56"/>
  <c r="J39" i="56"/>
  <c r="H46" i="56"/>
  <c r="I46" i="56" s="1"/>
  <c r="J28" i="56"/>
  <c r="J12" i="56"/>
  <c r="J13" i="56"/>
  <c r="J18" i="56"/>
  <c r="J32" i="56"/>
  <c r="J41" i="56"/>
  <c r="J23" i="56"/>
  <c r="J25" i="56"/>
  <c r="J30" i="56"/>
  <c r="J29" i="56"/>
  <c r="J42" i="56"/>
  <c r="J43" i="56"/>
  <c r="J34" i="56"/>
  <c r="J35" i="56"/>
  <c r="J44" i="56"/>
  <c r="I51" i="50"/>
  <c r="I9" i="7" s="1"/>
  <c r="H9" i="7"/>
  <c r="G46" i="104"/>
  <c r="H45" i="104"/>
  <c r="I45" i="104" s="1"/>
  <c r="K39" i="181"/>
  <c r="K26" i="181"/>
  <c r="K37" i="181"/>
  <c r="K51" i="181"/>
  <c r="K21" i="181"/>
  <c r="K38" i="181"/>
  <c r="K18" i="181"/>
  <c r="K36" i="181"/>
  <c r="K31" i="181"/>
  <c r="K41" i="181"/>
  <c r="K33" i="181"/>
  <c r="K28" i="181"/>
  <c r="K27" i="181"/>
  <c r="K17" i="181"/>
  <c r="H51" i="181"/>
  <c r="K22" i="181"/>
  <c r="K20" i="181"/>
  <c r="K24" i="181"/>
  <c r="K32" i="181"/>
  <c r="K40" i="181"/>
  <c r="K19" i="181"/>
  <c r="K16" i="181"/>
  <c r="K15" i="181"/>
  <c r="K23" i="181"/>
  <c r="K25" i="181"/>
  <c r="K30" i="181"/>
  <c r="K47" i="181"/>
  <c r="K29" i="181"/>
  <c r="K35" i="181"/>
  <c r="K48" i="181"/>
  <c r="K34" i="181"/>
  <c r="K49" i="181"/>
  <c r="G51" i="182"/>
  <c r="H16" i="7"/>
  <c r="I51" i="168"/>
  <c r="I16" i="7" s="1"/>
  <c r="I51" i="181" l="1"/>
  <c r="I12" i="7" s="1"/>
  <c r="H12" i="7"/>
  <c r="H17" i="7"/>
  <c r="I51" i="56"/>
  <c r="I17" i="7" s="1"/>
  <c r="K50" i="182"/>
  <c r="K26" i="182"/>
  <c r="K21" i="182"/>
  <c r="K31" i="182"/>
  <c r="K51" i="182"/>
  <c r="K36" i="182"/>
  <c r="K18" i="182"/>
  <c r="K24" i="182"/>
  <c r="K38" i="182"/>
  <c r="K33" i="182"/>
  <c r="H51" i="182"/>
  <c r="K15" i="182"/>
  <c r="K40" i="182"/>
  <c r="K27" i="182"/>
  <c r="K28" i="182"/>
  <c r="K39" i="182"/>
  <c r="K22" i="182"/>
  <c r="K19" i="182"/>
  <c r="K17" i="182"/>
  <c r="K16" i="182"/>
  <c r="K20" i="182"/>
  <c r="K41" i="182"/>
  <c r="K32" i="182"/>
  <c r="K37" i="182"/>
  <c r="K23" i="182"/>
  <c r="K25" i="182"/>
  <c r="K29" i="182"/>
  <c r="K47" i="182"/>
  <c r="K30" i="182"/>
  <c r="K35" i="182"/>
  <c r="K34" i="182"/>
  <c r="K48" i="182"/>
  <c r="K49" i="182"/>
  <c r="J44" i="104"/>
  <c r="J40" i="104"/>
  <c r="J22" i="104"/>
  <c r="J36" i="104"/>
  <c r="J28" i="104"/>
  <c r="J39" i="104"/>
  <c r="J19" i="104"/>
  <c r="J31" i="104"/>
  <c r="J33" i="104"/>
  <c r="J27" i="104"/>
  <c r="J38" i="104"/>
  <c r="J13" i="104"/>
  <c r="J41" i="104"/>
  <c r="J20" i="104"/>
  <c r="J14" i="104"/>
  <c r="J21" i="104"/>
  <c r="J12" i="104"/>
  <c r="J46" i="104"/>
  <c r="J26" i="104"/>
  <c r="J37" i="104"/>
  <c r="J32" i="104"/>
  <c r="H46" i="104"/>
  <c r="I46" i="104" s="1"/>
  <c r="J24" i="104"/>
  <c r="J18" i="104"/>
  <c r="J23" i="104"/>
  <c r="J25" i="104"/>
  <c r="J30" i="104"/>
  <c r="J42" i="104"/>
  <c r="J29" i="104"/>
  <c r="J34" i="104"/>
  <c r="J35" i="104"/>
  <c r="J43" i="104"/>
  <c r="J45" i="168"/>
  <c r="J31" i="168"/>
  <c r="H46" i="168"/>
  <c r="I46" i="168" s="1"/>
  <c r="J32" i="168"/>
  <c r="J39" i="168"/>
  <c r="J33" i="168"/>
  <c r="J19" i="168"/>
  <c r="J38" i="168"/>
  <c r="J12" i="168"/>
  <c r="J26" i="168"/>
  <c r="J41" i="168"/>
  <c r="J27" i="168"/>
  <c r="J28" i="168"/>
  <c r="J14" i="168"/>
  <c r="J46" i="168"/>
  <c r="J36" i="168"/>
  <c r="J37" i="168"/>
  <c r="J20" i="168"/>
  <c r="J40" i="168"/>
  <c r="J13" i="168"/>
  <c r="J21" i="168"/>
  <c r="J22" i="168"/>
  <c r="J24" i="168"/>
  <c r="J18" i="168"/>
  <c r="J23" i="168"/>
  <c r="J25" i="168"/>
  <c r="J29" i="168"/>
  <c r="J30" i="168"/>
  <c r="J42" i="168"/>
  <c r="J35" i="168"/>
  <c r="J34" i="168"/>
  <c r="J43" i="168"/>
  <c r="J44" i="168"/>
  <c r="K34" i="48"/>
  <c r="K36" i="48"/>
  <c r="K28" i="48"/>
  <c r="K26" i="48"/>
  <c r="K20" i="48"/>
  <c r="K41" i="48"/>
  <c r="K27" i="48"/>
  <c r="K24" i="48"/>
  <c r="K32" i="48"/>
  <c r="K16" i="48"/>
  <c r="H51" i="48"/>
  <c r="K17" i="48"/>
  <c r="K19" i="48"/>
  <c r="K21" i="48"/>
  <c r="K33" i="48"/>
  <c r="K39" i="48"/>
  <c r="K38" i="48"/>
  <c r="K51" i="48"/>
  <c r="K15" i="48"/>
  <c r="K37" i="48"/>
  <c r="K40" i="48"/>
  <c r="K22" i="48"/>
  <c r="K18" i="48"/>
  <c r="K31" i="48"/>
  <c r="K23" i="48"/>
  <c r="K25" i="48"/>
  <c r="K47" i="48"/>
  <c r="K29" i="48"/>
  <c r="K30" i="48"/>
  <c r="K35" i="48"/>
  <c r="K48" i="48"/>
  <c r="K49" i="48"/>
  <c r="J45" i="104"/>
  <c r="K50" i="104"/>
  <c r="K37" i="104"/>
  <c r="K20" i="104"/>
  <c r="K51" i="104"/>
  <c r="K28" i="104"/>
  <c r="K21" i="104"/>
  <c r="K19" i="104"/>
  <c r="K41" i="104"/>
  <c r="K39" i="104"/>
  <c r="K18" i="104"/>
  <c r="K31" i="104"/>
  <c r="K32" i="104"/>
  <c r="K40" i="104"/>
  <c r="K33" i="104"/>
  <c r="K24" i="104"/>
  <c r="K27" i="104"/>
  <c r="K16" i="104"/>
  <c r="K38" i="104"/>
  <c r="K17" i="104"/>
  <c r="K22" i="104"/>
  <c r="K15" i="104"/>
  <c r="K36" i="104"/>
  <c r="K26" i="104"/>
  <c r="H51" i="104"/>
  <c r="K23" i="104"/>
  <c r="K25" i="104"/>
  <c r="K47" i="104"/>
  <c r="K30" i="104"/>
  <c r="K29" i="104"/>
  <c r="K34" i="104"/>
  <c r="K35" i="104"/>
  <c r="K48" i="104"/>
  <c r="K49" i="104"/>
  <c r="J44" i="48"/>
  <c r="J27" i="48"/>
  <c r="J33" i="48"/>
  <c r="J14" i="48"/>
  <c r="J13" i="48"/>
  <c r="J24" i="48"/>
  <c r="J19" i="48"/>
  <c r="J46" i="48"/>
  <c r="J20" i="48"/>
  <c r="J41" i="48"/>
  <c r="J39" i="48"/>
  <c r="J31" i="48"/>
  <c r="J28" i="48"/>
  <c r="J18" i="48"/>
  <c r="J40" i="48"/>
  <c r="J38" i="48"/>
  <c r="J22" i="48"/>
  <c r="J37" i="48"/>
  <c r="J12" i="48"/>
  <c r="J32" i="48"/>
  <c r="H46" i="48"/>
  <c r="I46" i="48" s="1"/>
  <c r="J36" i="48"/>
  <c r="J21" i="48"/>
  <c r="J26" i="48"/>
  <c r="J23" i="48"/>
  <c r="J25" i="48"/>
  <c r="J42" i="48"/>
  <c r="J30" i="48"/>
  <c r="J29" i="48"/>
  <c r="J34" i="48"/>
  <c r="J43" i="48"/>
  <c r="J35" i="48"/>
  <c r="K39" i="54"/>
  <c r="K38" i="54"/>
  <c r="K27" i="54"/>
  <c r="K21" i="54"/>
  <c r="K37" i="54"/>
  <c r="K32" i="54"/>
  <c r="K20" i="54"/>
  <c r="K18" i="54"/>
  <c r="K17" i="54"/>
  <c r="K24" i="54"/>
  <c r="K16" i="54"/>
  <c r="K51" i="54"/>
  <c r="K33" i="54"/>
  <c r="H51" i="54"/>
  <c r="K28" i="54"/>
  <c r="K26" i="54"/>
  <c r="K22" i="54"/>
  <c r="K40" i="54"/>
  <c r="K36" i="54"/>
  <c r="K15" i="54"/>
  <c r="K19" i="54"/>
  <c r="K41" i="54"/>
  <c r="K31" i="54"/>
  <c r="K23" i="54"/>
  <c r="K25" i="54"/>
  <c r="K30" i="54"/>
  <c r="K47" i="54"/>
  <c r="K29" i="54"/>
  <c r="K34" i="54"/>
  <c r="K48" i="54"/>
  <c r="K35" i="54"/>
  <c r="K49" i="54"/>
  <c r="H6" i="7" l="1"/>
  <c r="I51" i="48"/>
  <c r="I6" i="7" s="1"/>
  <c r="I51" i="54"/>
  <c r="I14" i="7" s="1"/>
  <c r="H14" i="7"/>
  <c r="I51" i="104"/>
  <c r="I15" i="7" s="1"/>
  <c r="H15" i="7"/>
  <c r="I51" i="182"/>
  <c r="I8" i="7" s="1"/>
  <c r="H8" i="7"/>
</calcChain>
</file>

<file path=xl/comments1.xml><?xml version="1.0" encoding="utf-8"?>
<comments xmlns="http://schemas.openxmlformats.org/spreadsheetml/2006/main">
  <authors>
    <author>Yun(Eva) Gao</author>
    <author>AKSELRUD Uri</author>
    <author>KIM Susan</author>
  </authors>
  <commentList>
    <comment ref="W2" authorId="0">
      <text>
        <r>
          <rPr>
            <sz val="8"/>
            <color indexed="81"/>
            <rFont val="Tahoma"/>
            <family val="2"/>
          </rPr>
          <t>INCLUDES NEW RSVA WMSC FOR CLASS B ONLY</t>
        </r>
        <r>
          <rPr>
            <sz val="8"/>
            <color indexed="81"/>
            <rFont val="Tahoma"/>
            <charset val="1"/>
          </rPr>
          <t xml:space="preserve">
</t>
        </r>
      </text>
    </comment>
    <comment ref="Y12" authorId="1">
      <text>
        <r>
          <rPr>
            <sz val="9"/>
            <color indexed="81"/>
            <rFont val="Tahoma"/>
            <family val="2"/>
          </rPr>
          <t>uplifted for applicable line losses</t>
        </r>
      </text>
    </comment>
    <comment ref="Y13" authorId="1">
      <text>
        <r>
          <rPr>
            <sz val="9"/>
            <color indexed="81"/>
            <rFont val="Tahoma"/>
            <family val="2"/>
          </rPr>
          <t>uplifted for applicable line losses</t>
        </r>
      </text>
    </comment>
    <comment ref="Y14" authorId="1">
      <text>
        <r>
          <rPr>
            <sz val="9"/>
            <color indexed="81"/>
            <rFont val="Tahoma"/>
            <family val="2"/>
          </rPr>
          <t>uplifted for applicable line losses</t>
        </r>
      </text>
    </comment>
    <comment ref="Q15" authorId="2">
      <text>
        <r>
          <rPr>
            <b/>
            <sz val="8"/>
            <color indexed="81"/>
            <rFont val="Tahoma"/>
            <family val="2"/>
          </rPr>
          <t>KIM Susan:</t>
        </r>
        <r>
          <rPr>
            <sz val="8"/>
            <color indexed="81"/>
            <rFont val="Tahoma"/>
            <family val="2"/>
          </rPr>
          <t xml:space="preserve">
from ST rate model, not rate design</t>
        </r>
      </text>
    </comment>
    <comment ref="S15" authorId="2">
      <text>
        <r>
          <rPr>
            <b/>
            <sz val="8"/>
            <color indexed="81"/>
            <rFont val="Tahoma"/>
            <family val="2"/>
          </rPr>
          <t>KIM Susan:</t>
        </r>
        <r>
          <rPr>
            <sz val="8"/>
            <color indexed="81"/>
            <rFont val="Tahoma"/>
            <family val="2"/>
          </rPr>
          <t xml:space="preserve">
Use ST common line charge, not rate from rate design</t>
        </r>
      </text>
    </comment>
    <comment ref="Y15" authorId="0">
      <text>
        <r>
          <rPr>
            <sz val="8"/>
            <color indexed="81"/>
            <rFont val="Tahoma"/>
            <family val="2"/>
          </rPr>
          <t>uplifted for applicable line losses</t>
        </r>
        <r>
          <rPr>
            <sz val="8"/>
            <color indexed="81"/>
            <rFont val="Tahoma"/>
            <charset val="1"/>
          </rPr>
          <t xml:space="preserve">
</t>
        </r>
      </text>
    </comment>
    <comment ref="C27" authorId="2">
      <text>
        <r>
          <rPr>
            <b/>
            <sz val="8"/>
            <color indexed="81"/>
            <rFont val="Tahoma"/>
            <family val="2"/>
          </rPr>
          <t>KIM Susan:</t>
        </r>
        <r>
          <rPr>
            <sz val="8"/>
            <color indexed="81"/>
            <rFont val="Tahoma"/>
            <family val="2"/>
          </rPr>
          <t xml:space="preserve">
assume 50% factor
</t>
        </r>
      </text>
    </comment>
    <comment ref="C38" authorId="2">
      <text>
        <r>
          <rPr>
            <b/>
            <sz val="8"/>
            <color indexed="81"/>
            <rFont val="Tahoma"/>
            <family val="2"/>
          </rPr>
          <t>KIM Susan:</t>
        </r>
        <r>
          <rPr>
            <sz val="8"/>
            <color indexed="81"/>
            <rFont val="Tahoma"/>
            <family val="2"/>
          </rPr>
          <t xml:space="preserve">
assume 50% factor</t>
        </r>
      </text>
    </comment>
    <comment ref="C39" authorId="0">
      <text>
        <r>
          <rPr>
            <b/>
            <sz val="8"/>
            <color indexed="81"/>
            <rFont val="Tahoma"/>
            <family val="2"/>
          </rPr>
          <t>assume 50% factor</t>
        </r>
      </text>
    </comment>
  </commentList>
</comments>
</file>

<file path=xl/comments2.xml><?xml version="1.0" encoding="utf-8"?>
<comments xmlns="http://schemas.openxmlformats.org/spreadsheetml/2006/main">
  <authors>
    <author>KIM Susan</author>
  </authors>
  <commentList>
    <comment ref="B26" authorId="0">
      <text>
        <r>
          <rPr>
            <b/>
            <sz val="8"/>
            <color indexed="81"/>
            <rFont val="Tahoma"/>
            <family val="2"/>
          </rPr>
          <t>KIM Susan:</t>
        </r>
        <r>
          <rPr>
            <sz val="8"/>
            <color indexed="81"/>
            <rFont val="Tahoma"/>
            <family val="2"/>
          </rPr>
          <t xml:space="preserve">
Number of Customers Forecast for Haldimand and Norfolk for the Year 2021.xlsx</t>
        </r>
      </text>
    </comment>
    <comment ref="C26" authorId="0">
      <text>
        <r>
          <rPr>
            <b/>
            <sz val="8"/>
            <color indexed="81"/>
            <rFont val="Tahoma"/>
            <family val="2"/>
          </rPr>
          <t>KIM Susan:</t>
        </r>
        <r>
          <rPr>
            <sz val="8"/>
            <color indexed="81"/>
            <rFont val="Tahoma"/>
            <family val="2"/>
          </rPr>
          <t xml:space="preserve">
 Forecast of Residential and GSe Sales for Newly Acquired for the Year 2021.xlsx</t>
        </r>
      </text>
    </comment>
    <comment ref="D31" authorId="0">
      <text>
        <r>
          <rPr>
            <b/>
            <sz val="8"/>
            <color indexed="81"/>
            <rFont val="Tahoma"/>
            <family val="2"/>
          </rPr>
          <t>KIM Susan:</t>
        </r>
        <r>
          <rPr>
            <sz val="8"/>
            <color indexed="81"/>
            <rFont val="Tahoma"/>
            <family val="2"/>
          </rPr>
          <t xml:space="preserve">
Forecast of Billing Peak for Haldimand and Norfolk_2021.xlsx</t>
        </r>
      </text>
    </comment>
    <comment ref="A34" authorId="0">
      <text>
        <r>
          <rPr>
            <b/>
            <sz val="8"/>
            <color indexed="81"/>
            <rFont val="Tahoma"/>
            <family val="2"/>
          </rPr>
          <t>KIM Susan:</t>
        </r>
        <r>
          <rPr>
            <sz val="8"/>
            <color indexed="81"/>
            <rFont val="Tahoma"/>
            <family val="2"/>
          </rPr>
          <t xml:space="preserve">
2015 actuals</t>
        </r>
      </text>
    </comment>
  </commentList>
</comments>
</file>

<file path=xl/comments3.xml><?xml version="1.0" encoding="utf-8"?>
<comments xmlns="http://schemas.openxmlformats.org/spreadsheetml/2006/main">
  <authors>
    <author>KIM Susan</author>
  </authors>
  <commentList>
    <comment ref="B32" authorId="0">
      <text>
        <r>
          <rPr>
            <b/>
            <sz val="8"/>
            <color indexed="81"/>
            <rFont val="Tahoma"/>
            <family val="2"/>
          </rPr>
          <t>KIM Susan:</t>
        </r>
        <r>
          <rPr>
            <sz val="8"/>
            <color indexed="81"/>
            <rFont val="Tahoma"/>
            <family val="2"/>
          </rPr>
          <t xml:space="preserve">
kW from last COS; kWh based on 50% load profile</t>
        </r>
      </text>
    </comment>
  </commentList>
</comments>
</file>

<file path=xl/comments4.xml><?xml version="1.0" encoding="utf-8"?>
<comments xmlns="http://schemas.openxmlformats.org/spreadsheetml/2006/main">
  <authors>
    <author>SHETH Nikita</author>
  </authors>
  <commentList>
    <comment ref="A46" authorId="0">
      <text>
        <r>
          <rPr>
            <b/>
            <sz val="8"/>
            <color indexed="81"/>
            <rFont val="Tahoma"/>
            <family val="2"/>
          </rPr>
          <t>SHETH Nikita:</t>
        </r>
        <r>
          <rPr>
            <sz val="8"/>
            <color indexed="81"/>
            <rFont val="Tahoma"/>
            <family val="2"/>
          </rPr>
          <t xml:space="preserve">
OCEB only applies to first 3000 kWh per month. So the model was run at 3000 kWh and the OCEB from that OCEB value is then applied here for 15000 kWh</t>
        </r>
      </text>
    </comment>
    <comment ref="A50" authorId="0">
      <text>
        <r>
          <rPr>
            <b/>
            <sz val="8"/>
            <color indexed="81"/>
            <rFont val="Tahoma"/>
            <family val="2"/>
          </rPr>
          <t>SHETH Nikita:</t>
        </r>
        <r>
          <rPr>
            <sz val="8"/>
            <color indexed="81"/>
            <rFont val="Tahoma"/>
            <family val="2"/>
          </rPr>
          <t xml:space="preserve">
OCEB only applies to first 3000 kWh per month. So the model was run at 3000 kWh and the OCEB from that OCEB value is then applied here for 15000 kWh</t>
        </r>
      </text>
    </comment>
  </commentList>
</comments>
</file>

<file path=xl/comments5.xml><?xml version="1.0" encoding="utf-8"?>
<comments xmlns="http://schemas.openxmlformats.org/spreadsheetml/2006/main">
  <authors>
    <author>SHETH Nikita</author>
  </authors>
  <commentList>
    <comment ref="A46" authorId="0">
      <text>
        <r>
          <rPr>
            <b/>
            <sz val="8"/>
            <color indexed="81"/>
            <rFont val="Tahoma"/>
            <family val="2"/>
          </rPr>
          <t>SHETH Nikita:</t>
        </r>
        <r>
          <rPr>
            <sz val="8"/>
            <color indexed="81"/>
            <rFont val="Tahoma"/>
            <family val="2"/>
          </rPr>
          <t xml:space="preserve">
OCEB only applies to first 3000 kWh per month. So the model was run at 3000 kWh and the OCEB from that OCEB value is then applied here for 15000 kWh</t>
        </r>
      </text>
    </comment>
    <comment ref="A50" authorId="0">
      <text>
        <r>
          <rPr>
            <b/>
            <sz val="8"/>
            <color indexed="81"/>
            <rFont val="Tahoma"/>
            <family val="2"/>
          </rPr>
          <t>SHETH Nikita:</t>
        </r>
        <r>
          <rPr>
            <sz val="8"/>
            <color indexed="81"/>
            <rFont val="Tahoma"/>
            <family val="2"/>
          </rPr>
          <t xml:space="preserve">
OCEB only applies to first 3000 kWh per month. So the model was run at 3000 kWh and the OCEB from that OCEB value is then applied here for 15000 kWh</t>
        </r>
      </text>
    </comment>
  </commentList>
</comments>
</file>

<file path=xl/comments6.xml><?xml version="1.0" encoding="utf-8"?>
<comments xmlns="http://schemas.openxmlformats.org/spreadsheetml/2006/main">
  <authors>
    <author>Uri AKSELRUD</author>
  </authors>
  <commentList>
    <comment ref="F16" authorId="0">
      <text>
        <r>
          <rPr>
            <b/>
            <sz val="8"/>
            <color indexed="81"/>
            <rFont val="Tahoma"/>
            <family val="2"/>
          </rPr>
          <t>Uri AKSELRUD:</t>
        </r>
        <r>
          <rPr>
            <sz val="8"/>
            <color indexed="81"/>
            <rFont val="Tahoma"/>
            <family val="2"/>
          </rPr>
          <t xml:space="preserve">
adjusted fixed rate to limit Dgen Bill Impact to 10%</t>
        </r>
      </text>
    </comment>
  </commentList>
</comments>
</file>

<file path=xl/sharedStrings.xml><?xml version="1.0" encoding="utf-8"?>
<sst xmlns="http://schemas.openxmlformats.org/spreadsheetml/2006/main" count="5094" uniqueCount="223">
  <si>
    <t>UR</t>
  </si>
  <si>
    <t>R1</t>
  </si>
  <si>
    <t>R2</t>
  </si>
  <si>
    <t>Seasonal</t>
  </si>
  <si>
    <t>GSe</t>
  </si>
  <si>
    <t>GSd</t>
  </si>
  <si>
    <t>UGe</t>
  </si>
  <si>
    <t>UGd</t>
  </si>
  <si>
    <t>St Lgt</t>
  </si>
  <si>
    <t>Sen Lgt</t>
  </si>
  <si>
    <t>Dgen</t>
  </si>
  <si>
    <t>ST</t>
  </si>
  <si>
    <t>USL</t>
  </si>
  <si>
    <t>Rate Class</t>
  </si>
  <si>
    <t>Loss Factor</t>
  </si>
  <si>
    <t>Commodity Threshold</t>
  </si>
  <si>
    <t>Peak (kW)</t>
  </si>
  <si>
    <t>Charge Determinant</t>
  </si>
  <si>
    <t>kWh</t>
  </si>
  <si>
    <t>kW</t>
  </si>
  <si>
    <t>Loss factor</t>
  </si>
  <si>
    <t>Charge determinant</t>
  </si>
  <si>
    <t>Volume</t>
  </si>
  <si>
    <t>Current Rate ($)</t>
  </si>
  <si>
    <t>Current Charge ($)</t>
  </si>
  <si>
    <t>Proposed Rate ($)</t>
  </si>
  <si>
    <t>Proposed Charge ($)</t>
  </si>
  <si>
    <t>Change ($)</t>
  </si>
  <si>
    <t>Change (%)</t>
  </si>
  <si>
    <t>% of Total Bill on RPP</t>
  </si>
  <si>
    <t>% of Total Bill on TOU</t>
  </si>
  <si>
    <t>Energy First Tier (kWh)</t>
  </si>
  <si>
    <t>Energy Second Tier (kWh)</t>
  </si>
  <si>
    <t>Sub-Total:  Energy (RPP)</t>
  </si>
  <si>
    <t>TOU-Off Peak</t>
  </si>
  <si>
    <t>TOU-Mid Peak</t>
  </si>
  <si>
    <t>TOU-On Peak</t>
  </si>
  <si>
    <t>Sub-Total:  Energy (TOU)</t>
  </si>
  <si>
    <t>Service Charge</t>
  </si>
  <si>
    <t>Distribution Volumetric Rate</t>
  </si>
  <si>
    <t>Retail Transmission Rate – Network Service Rate</t>
  </si>
  <si>
    <t>Retail Transmission Rate – Line and Transformation Connection Service Rate</t>
  </si>
  <si>
    <t xml:space="preserve">Wholesale Market Service Rate </t>
  </si>
  <si>
    <t>Rural Rate Protection Charge</t>
  </si>
  <si>
    <t>Standard Supply Service – Administration Charge (if applicable)</t>
  </si>
  <si>
    <t>Sub-Total:  Regulatory</t>
  </si>
  <si>
    <t>Debt Retirement Charge (DRC)</t>
  </si>
  <si>
    <r>
      <t xml:space="preserve">     </t>
    </r>
    <r>
      <rPr>
        <b/>
        <sz val="10"/>
        <rFont val="Arial"/>
        <family val="2"/>
      </rPr>
      <t>HST</t>
    </r>
  </si>
  <si>
    <t>DGen</t>
  </si>
  <si>
    <t>Load factor</t>
  </si>
  <si>
    <t xml:space="preserve">% of Total Bill </t>
  </si>
  <si>
    <t>TOU</t>
  </si>
  <si>
    <t>Current Variable Charge ($/kWh or $/kW))</t>
  </si>
  <si>
    <t>Smart Metering Entity Charge ($/month)</t>
  </si>
  <si>
    <t>Current Fixed Charge ($/month)</t>
  </si>
  <si>
    <t>Proposed Fixed Charge ($/month)</t>
  </si>
  <si>
    <t>Proposed RTSR-NW ($/kWh or $/kW)</t>
  </si>
  <si>
    <t>Proposed volumetric Charge ($/kWh or $/kW)</t>
  </si>
  <si>
    <t>Current RTSR-NW ($/kWh or $/kW)</t>
  </si>
  <si>
    <t>Current RTSR-CONN ($/kWh or $/kW)</t>
  </si>
  <si>
    <t>Low</t>
  </si>
  <si>
    <t>High</t>
  </si>
  <si>
    <t>Monthly Consumption (kWh)</t>
  </si>
  <si>
    <t>Change in DX Bill ($)</t>
  </si>
  <si>
    <t>Change in Total Bill ($)</t>
  </si>
  <si>
    <t>Change in DX Bill (%)</t>
  </si>
  <si>
    <t>Change in Total Bill (%)</t>
  </si>
  <si>
    <t>Consumption Level</t>
  </si>
  <si>
    <t>Monthly Peak (kW)</t>
  </si>
  <si>
    <t>Commodity Price Used</t>
  </si>
  <si>
    <t>RPP Tier 1 (assumed RPP Tier 1 price is close to WAHSP)</t>
  </si>
  <si>
    <t>Avg Monthly Peak (kW)</t>
  </si>
  <si>
    <t>Sub-Total:  Distribution (excluding pass through)</t>
  </si>
  <si>
    <t>Smart Metering Entity Charge</t>
  </si>
  <si>
    <t>Line Losses on Cost of Power (based on TOU prices)</t>
  </si>
  <si>
    <t>Line Losses on Cost of Power (based on two-tier RPP prices)</t>
  </si>
  <si>
    <t xml:space="preserve">Sub-Total:  Retail Transmission </t>
  </si>
  <si>
    <t>Sub-Total:  Distribution (based on TOU prices)</t>
  </si>
  <si>
    <t>Sub-Total:  Distribution (based on two-tier RPP prices)</t>
  </si>
  <si>
    <t xml:space="preserve">Sub-Total:  Distribution </t>
  </si>
  <si>
    <t xml:space="preserve">Sub-Total:  Delivery </t>
  </si>
  <si>
    <t xml:space="preserve">Line Losses on Cost of Power </t>
  </si>
  <si>
    <t>Monthly Consumption (kWh) - Uplifted</t>
  </si>
  <si>
    <t>Smart Meter Adder</t>
  </si>
  <si>
    <t>Fixed Smoothing Rider</t>
  </si>
  <si>
    <t>Fixed Deferral/Variance Account Rider</t>
  </si>
  <si>
    <t>Volumetric Smoothing Rider</t>
  </si>
  <si>
    <t>Proposed Def/VA rate rider Volumetric($/kWh or $/kW)</t>
  </si>
  <si>
    <t>Gse</t>
  </si>
  <si>
    <t>Uge</t>
  </si>
  <si>
    <t xml:space="preserve">Smart Meter Adder </t>
  </si>
  <si>
    <t>Proposed Def/VA rate rider Fixed ($/month)</t>
  </si>
  <si>
    <t>Current Def/VA rate rider Fixed ($/month)</t>
  </si>
  <si>
    <t>Current Def/VA rate rider Volumetric ($/kWh or $/kW)</t>
  </si>
  <si>
    <t>Typical</t>
  </si>
  <si>
    <t>Sub-Total:  Delivery (based on two-tier RPP prices)</t>
  </si>
  <si>
    <t>Sub-Total:  Delivery (based on TOU prices)</t>
  </si>
  <si>
    <t>Sub-Total:  Distribution</t>
  </si>
  <si>
    <t>Fixed Foregone Rider</t>
  </si>
  <si>
    <t>Two-tier RPP</t>
  </si>
  <si>
    <t>Ontario Electricity Support Program Charge</t>
  </si>
  <si>
    <t>Proposed RTSR-CONN ($/kWh or $/kW)</t>
  </si>
  <si>
    <t>Total Bill on Two-Tier RPP (including HST)</t>
  </si>
  <si>
    <t>Total Bill on TOU (including HST)</t>
  </si>
  <si>
    <t>Total Bill on Two-Tier RPP (before HST)</t>
  </si>
  <si>
    <t>Total Bill on TOU (before HST)</t>
  </si>
  <si>
    <t>2020 Total Bill</t>
  </si>
  <si>
    <t>HONI Avg Monthly Consumption (kWh)</t>
  </si>
  <si>
    <t>HONI Avg Monthly Peak (kW)</t>
  </si>
  <si>
    <t>2021 Bill Impacts (Low Consumption Level)</t>
  </si>
  <si>
    <t>2021 Bill Impacts (Typical Consumption Level)</t>
  </si>
  <si>
    <t>2021 Bill Impacts (High Consumption Level)</t>
  </si>
  <si>
    <t>2021 Bill Impacts (Average Consumption Level)</t>
  </si>
  <si>
    <t>WHSI_RES</t>
  </si>
  <si>
    <t>WHSI_GS&lt;50</t>
  </si>
  <si>
    <t>WHSI_GS 50&gt;999</t>
  </si>
  <si>
    <t>WHSI_St Lgt</t>
  </si>
  <si>
    <t>WHSI_USL</t>
  </si>
  <si>
    <t>WHSI_GS &gt;1,000kW</t>
  </si>
  <si>
    <t>HCHI_RES</t>
  </si>
  <si>
    <t>HCHI_GS&lt;50</t>
  </si>
  <si>
    <t>HCHI_GS &gt;50</t>
  </si>
  <si>
    <t>HCHI_St Lgt</t>
  </si>
  <si>
    <t>HCHI_USL</t>
  </si>
  <si>
    <t>HCHI_Sen Lgt</t>
  </si>
  <si>
    <t>NPDI_RES</t>
  </si>
  <si>
    <t>NPDI_GS&lt;50</t>
  </si>
  <si>
    <t>NPDI_GS &gt;50</t>
  </si>
  <si>
    <t>NPDI_St Lgt</t>
  </si>
  <si>
    <t>NPDI_USL</t>
  </si>
  <si>
    <t>NPDI_Sen Lgt</t>
  </si>
  <si>
    <t>Typical Monthly Consumption (kWh)</t>
  </si>
  <si>
    <t>HCHI to HONI</t>
  </si>
  <si>
    <t>WHSI to HONI</t>
  </si>
  <si>
    <t>Current Rate Rider for Disposition of Global Adjustment Account</t>
  </si>
  <si>
    <t>Proposed Rate Rider for Disposition of Global Adjustment Account</t>
  </si>
  <si>
    <t>Average</t>
  </si>
  <si>
    <t xml:space="preserve">Total  Electricty Charge on Two-Tier RPP </t>
  </si>
  <si>
    <t xml:space="preserve">     HST</t>
  </si>
  <si>
    <t>Total Electricity Charge on Two-Tier RPP (including HST)</t>
  </si>
  <si>
    <t>Rebate equal to Ontario portion of HST (8%)</t>
  </si>
  <si>
    <t>Total Amount on Two-Tier RPP</t>
  </si>
  <si>
    <t>Total Electricty Charge on TOU (before HST)</t>
  </si>
  <si>
    <t>Total Electricity Charge on TOU (including HST)</t>
  </si>
  <si>
    <t>Total Amount on TOU</t>
  </si>
  <si>
    <t>Foregone Revenue Rider Fixed</t>
  </si>
  <si>
    <t>Total Electricity Charge on Two-Tier RPP (before HST)</t>
  </si>
  <si>
    <t>Volumetric Global Adjustment Account Rider</t>
  </si>
  <si>
    <t>Volumetric Global Adjustment Rider</t>
  </si>
  <si>
    <t>Utility</t>
  </si>
  <si>
    <t>Haldimand</t>
  </si>
  <si>
    <t>Nofolk</t>
  </si>
  <si>
    <t>Woodsotock</t>
  </si>
  <si>
    <t>Acquired Total</t>
  </si>
  <si>
    <t>HCHI Res</t>
  </si>
  <si>
    <t>NPDI Res</t>
  </si>
  <si>
    <t>Customers</t>
  </si>
  <si>
    <t>HCHI GSe</t>
  </si>
  <si>
    <t>NPDI Gse</t>
  </si>
  <si>
    <t>HCHI GSd</t>
  </si>
  <si>
    <t>NPDI GSd</t>
  </si>
  <si>
    <t>Number of USL Customers for the Year 2021</t>
  </si>
  <si>
    <t>Count</t>
  </si>
  <si>
    <t>Hydro One</t>
  </si>
  <si>
    <t>Grand Total</t>
  </si>
  <si>
    <t>Company</t>
  </si>
  <si>
    <t xml:space="preserve">KW </t>
  </si>
  <si>
    <t>KWH</t>
  </si>
  <si>
    <t>WHSI Large User</t>
  </si>
  <si>
    <t>Average kWh</t>
  </si>
  <si>
    <t>Average kW</t>
  </si>
  <si>
    <t>Determine Forecst Average Billing Quantities for Acquired customers by LDC</t>
  </si>
  <si>
    <t>WHSI_BI_ST_Avg</t>
  </si>
  <si>
    <t>Tab</t>
  </si>
  <si>
    <t>LDC</t>
  </si>
  <si>
    <t>NPDI St Lgt</t>
  </si>
  <si>
    <t>HCHI St Lgt</t>
  </si>
  <si>
    <t>WHSI St Lgt</t>
  </si>
  <si>
    <t>1. Res and GS</t>
  </si>
  <si>
    <t>2. Streetlights</t>
  </si>
  <si>
    <t>AR</t>
  </si>
  <si>
    <t>AGSe</t>
  </si>
  <si>
    <t>AGSd</t>
  </si>
  <si>
    <t xml:space="preserve">Total Bill on Two-Tier RPP </t>
  </si>
  <si>
    <t>Total Bill on TOU</t>
  </si>
  <si>
    <t>Current Acquisition Rider (Fixed)</t>
  </si>
  <si>
    <t>Current Acquisition Rider (Variable)</t>
  </si>
  <si>
    <t>Current Low Voltage Volumetric ($/kWh or $/kW)</t>
  </si>
  <si>
    <t>Fixed Acquisition Agreement Rider</t>
  </si>
  <si>
    <t>Low Voltage Service Rate</t>
  </si>
  <si>
    <t>Volumetric Acquisition Agreement Rider</t>
  </si>
  <si>
    <t>Variable Acquisition Agreement Rider</t>
  </si>
  <si>
    <t>Fixed Acquisition Rider</t>
  </si>
  <si>
    <t>Volumetric Acquisition Rider</t>
  </si>
  <si>
    <t>Volumetric Deferral/Variance Account Rider (including CBR Class B rider)</t>
  </si>
  <si>
    <t>AUR</t>
  </si>
  <si>
    <t>AUGe</t>
  </si>
  <si>
    <t>AUGd</t>
  </si>
  <si>
    <t>Avg kW (derived)</t>
  </si>
  <si>
    <t>Average kWh (Billed)</t>
  </si>
  <si>
    <t>3. Sentinel Lights</t>
  </si>
  <si>
    <t>NPDI Sen Lgt</t>
  </si>
  <si>
    <t>HCHI Sen Lgt</t>
  </si>
  <si>
    <t>Based on average kW/kWh factor</t>
  </si>
  <si>
    <t>Notes</t>
  </si>
  <si>
    <t>4. USL</t>
  </si>
  <si>
    <t>NPDI USL</t>
  </si>
  <si>
    <t>HCHI USL</t>
  </si>
  <si>
    <t>WHSI USL</t>
  </si>
  <si>
    <t>Street Light Connections per Account Quantities (per Clement/Henry)</t>
  </si>
  <si>
    <t>WHSI</t>
  </si>
  <si>
    <t>NPDI</t>
  </si>
  <si>
    <t>HCHI</t>
  </si>
  <si>
    <t>Service Charge (includes Meter Charge for 1 meter point)</t>
  </si>
  <si>
    <t>Distribution Volumetric Rate (ST Common Line Charge)</t>
  </si>
  <si>
    <t>NPDI to HONI</t>
  </si>
  <si>
    <t>company 1</t>
  </si>
  <si>
    <t>company 2</t>
  </si>
  <si>
    <t>company 3</t>
  </si>
  <si>
    <t>company 4</t>
  </si>
  <si>
    <t>company 5</t>
  </si>
  <si>
    <t>company 6</t>
  </si>
  <si>
    <t>company 7</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</si>
</sst>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6" formatCode="&quot;$&quot;#,##0_);[Red]\(&quot;$&quot;#,##0\)"/>
    <numFmt numFmtId="7" formatCode="&quot;$&quot;#,##0.00_);\(&quot;$&quot;#,##0.00\)"/>
    <numFmt numFmtId="44" formatCode="_(&quot;$&quot;* #,##0.00_);_(&quot;$&quot;* \(#,##0.00\);_(&quot;$&quot;* &quot;-&quot;??_);_(@_)"/>
    <numFmt numFmtId="43" formatCode="_(* #,##0.00_);_(* \(#,##0.00\);_(* &quot;-&quot;??_);_(@_)"/>
    <numFmt numFmtId="164" formatCode="_(* #,##0_);_(* \(#,##0\);_(* &quot;-&quot;??_);_(@_)"/>
    <numFmt numFmtId="165" formatCode="0.0000"/>
    <numFmt numFmtId="166" formatCode="#,##0.000"/>
    <numFmt numFmtId="167" formatCode="#,##0.0000"/>
    <numFmt numFmtId="168" formatCode="0.00000000"/>
    <numFmt numFmtId="169" formatCode="0.000"/>
    <numFmt numFmtId="170" formatCode="_(&quot;$&quot;* #,##0_);_(&quot;$&quot;* \(#,##0\);_(&quot;$&quot;* &quot;-&quot;??_);_(@_)"/>
    <numFmt numFmtId="171" formatCode="#,##0.0_);\(#,##0.0\)"/>
    <numFmt numFmtId="172" formatCode="_(* #,##0.0_);_(* \(#,##0.0\);_(* &quot;-&quot;??_);_(@_)"/>
    <numFmt numFmtId="173" formatCode="#,##0.00000_);\(#,##0.00000\)"/>
    <numFmt numFmtId="174" formatCode="0.0\x"/>
    <numFmt numFmtId="175" formatCode="#,##0.000_);\(#,##0.000\)"/>
    <numFmt numFmtId="176" formatCode="#,##0;&quot;\&quot;&quot;\&quot;&quot;\&quot;&quot;\&quot;\(#,##0&quot;\&quot;&quot;\&quot;&quot;\&quot;&quot;\&quot;\)"/>
    <numFmt numFmtId="177" formatCode="&quot;\&quot;&quot;\&quot;&quot;\&quot;&quot;\&quot;\$#,##0.00;&quot;\&quot;&quot;\&quot;&quot;\&quot;&quot;\&quot;\(&quot;\&quot;&quot;\&quot;&quot;\&quot;&quot;\&quot;\$#,##0.00&quot;\&quot;&quot;\&quot;&quot;\&quot;&quot;\&quot;\)"/>
    <numFmt numFmtId="178" formatCode="&quot;\&quot;&quot;\&quot;&quot;\&quot;&quot;\&quot;\$#,##0;&quot;\&quot;&quot;\&quot;&quot;\&quot;&quot;\&quot;\(&quot;\&quot;&quot;\&quot;&quot;\&quot;&quot;\&quot;\$#,##0&quot;\&quot;&quot;\&quot;&quot;\&quot;&quot;\&quot;\)"/>
    <numFmt numFmtId="179" formatCode="_-&quot;$&quot;* #,##0.00_-;\-&quot;$&quot;* #,##0.00_-;_-&quot;$&quot;* &quot;-&quot;??_-;_-@_-"/>
    <numFmt numFmtId="180" formatCode="0.00\x"/>
    <numFmt numFmtId="181" formatCode="0.0"/>
    <numFmt numFmtId="182" formatCode="#,##0.0"/>
  </numFmts>
  <fonts count="22"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8"/>
      <color indexed="81"/>
      <name val="Tahoma"/>
      <family val="2"/>
    </font>
    <font>
      <b/>
      <sz val="8"/>
      <color indexed="81"/>
      <name val="Tahoma"/>
      <family val="2"/>
    </font>
    <font>
      <b/>
      <sz val="12"/>
      <name val="Times New Roman"/>
      <family val="1"/>
    </font>
    <font>
      <sz val="9"/>
      <color indexed="81"/>
      <name val="Tahoma"/>
      <family val="2"/>
    </font>
    <font>
      <sz val="10"/>
      <name val="Arial"/>
      <family val="2"/>
    </font>
    <font>
      <sz val="9"/>
      <name val="Arial"/>
      <family val="2"/>
    </font>
    <font>
      <sz val="10"/>
      <name val="Times New Roman"/>
      <family val="1"/>
    </font>
    <font>
      <sz val="8"/>
      <name val="Arial"/>
      <family val="2"/>
    </font>
    <font>
      <b/>
      <sz val="12"/>
      <name val="Arial"/>
      <family val="2"/>
    </font>
    <font>
      <sz val="8"/>
      <name val="Times New Roman"/>
      <family val="1"/>
    </font>
    <font>
      <sz val="10"/>
      <name val="MS Sans Serif"/>
      <family val="2"/>
    </font>
    <font>
      <b/>
      <sz val="10"/>
      <name val="MS Sans Serif"/>
      <family val="2"/>
    </font>
    <font>
      <b/>
      <sz val="11"/>
      <color theme="1"/>
      <name val="Calibri"/>
      <family val="2"/>
      <scheme val="minor"/>
    </font>
    <font>
      <b/>
      <sz val="11"/>
      <color rgb="FF000000"/>
      <name val="Calibri"/>
      <family val="2"/>
    </font>
    <font>
      <sz val="11"/>
      <color rgb="FF000000"/>
      <name val="Calibri"/>
      <family val="2"/>
    </font>
    <font>
      <sz val="8"/>
      <color indexed="81"/>
      <name val="Tahoma"/>
      <charset val="1"/>
    </font>
  </fonts>
  <fills count="18">
    <fill>
      <patternFill patternType="none"/>
    </fill>
    <fill>
      <patternFill patternType="gray125"/>
    </fill>
    <fill>
      <patternFill patternType="solid">
        <fgColor theme="3"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CCCC"/>
        <bgColor indexed="64"/>
      </patternFill>
    </fill>
    <fill>
      <patternFill patternType="solid">
        <fgColor rgb="FFCCFFCC"/>
        <bgColor indexed="64"/>
      </patternFill>
    </fill>
    <fill>
      <patternFill patternType="solid">
        <fgColor rgb="FFFFFF00"/>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mediumGray">
        <fgColor indexed="22"/>
      </patternFill>
    </fill>
    <fill>
      <patternFill patternType="solid">
        <fgColor theme="0" tint="-0.14999847407452621"/>
        <bgColor indexed="64"/>
      </patternFill>
    </fill>
    <fill>
      <patternFill patternType="solid">
        <fgColor rgb="FFFFCCFF"/>
        <bgColor indexed="64"/>
      </patternFill>
    </fill>
    <fill>
      <patternFill patternType="solid">
        <fgColor theme="0" tint="-0.499984740745262"/>
        <bgColor indexed="64"/>
      </patternFill>
    </fill>
    <fill>
      <patternFill patternType="solid">
        <fgColor rgb="FFFFFFFF"/>
        <bgColor indexed="64"/>
      </patternFill>
    </fill>
    <fill>
      <patternFill patternType="solid">
        <fgColor theme="4" tint="0.59999389629810485"/>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medium">
        <color indexed="64"/>
      </bottom>
      <diagonal/>
    </border>
    <border>
      <left style="thin">
        <color indexed="64"/>
      </left>
      <right style="medium">
        <color indexed="64"/>
      </right>
      <top/>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bottom/>
      <diagonal/>
    </border>
    <border>
      <left style="medium">
        <color indexed="64"/>
      </left>
      <right style="thick">
        <color indexed="64"/>
      </right>
      <top/>
      <bottom style="medium">
        <color indexed="64"/>
      </bottom>
      <diagonal/>
    </border>
    <border>
      <left style="medium">
        <color indexed="64"/>
      </left>
      <right style="thick">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right/>
      <top style="thick">
        <color indexed="64"/>
      </top>
      <bottom style="medium">
        <color indexed="64"/>
      </bottom>
      <diagonal/>
    </border>
    <border>
      <left style="medium">
        <color indexed="64"/>
      </left>
      <right style="thin">
        <color indexed="64"/>
      </right>
      <top style="thick">
        <color indexed="64"/>
      </top>
      <bottom style="medium">
        <color indexed="64"/>
      </bottom>
      <diagonal/>
    </border>
    <border>
      <left style="thin">
        <color indexed="64"/>
      </left>
      <right style="medium">
        <color indexed="64"/>
      </right>
      <top style="thick">
        <color indexed="64"/>
      </top>
      <bottom style="medium">
        <color indexed="64"/>
      </bottom>
      <diagonal/>
    </border>
    <border>
      <left/>
      <right style="thin">
        <color indexed="64"/>
      </right>
      <top style="thick">
        <color indexed="64"/>
      </top>
      <bottom style="medium">
        <color indexed="64"/>
      </bottom>
      <diagonal/>
    </border>
    <border>
      <left style="thin">
        <color indexed="64"/>
      </left>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top style="thick">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ck">
        <color indexed="64"/>
      </left>
      <right/>
      <top/>
      <bottom style="medium">
        <color indexed="64"/>
      </bottom>
      <diagonal/>
    </border>
    <border>
      <left style="thin">
        <color indexed="64"/>
      </left>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s>
  <cellStyleXfs count="48">
    <xf numFmtId="0" fontId="0" fillId="0" borderId="0"/>
    <xf numFmtId="43" fontId="4" fillId="0" borderId="0" applyFont="0" applyFill="0" applyBorder="0" applyAlignment="0" applyProtection="0"/>
    <xf numFmtId="44" fontId="4"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0" fontId="4" fillId="0" borderId="0"/>
    <xf numFmtId="0" fontId="10" fillId="0" borderId="0"/>
    <xf numFmtId="164" fontId="4" fillId="0" borderId="0"/>
    <xf numFmtId="164" fontId="4" fillId="0" borderId="0"/>
    <xf numFmtId="164" fontId="4" fillId="0" borderId="0"/>
    <xf numFmtId="170" fontId="11" fillId="0" borderId="0"/>
    <xf numFmtId="171" fontId="4" fillId="0" borderId="0" applyFont="0" applyFill="0" applyBorder="0" applyAlignment="0" applyProtection="0"/>
    <xf numFmtId="172" fontId="4" fillId="0" borderId="0" applyFont="0" applyFill="0" applyBorder="0" applyAlignment="0" applyProtection="0"/>
    <xf numFmtId="39" fontId="4" fillId="0" borderId="0" applyFont="0" applyFill="0" applyBorder="0" applyAlignment="0" applyProtection="0"/>
    <xf numFmtId="170" fontId="4" fillId="0" borderId="0" applyFont="0" applyFill="0" applyBorder="0" applyAlignment="0" applyProtection="0"/>
    <xf numFmtId="173" fontId="4" fillId="0" borderId="0" applyFont="0" applyFill="0" applyBorder="0" applyAlignment="0" applyProtection="0"/>
    <xf numFmtId="174" fontId="4" fillId="0" borderId="0" applyFont="0" applyFill="0" applyBorder="0" applyAlignment="0" applyProtection="0"/>
    <xf numFmtId="175" fontId="4" fillId="0" borderId="0" applyFont="0" applyFill="0" applyBorder="0" applyAlignment="0" applyProtection="0"/>
    <xf numFmtId="0" fontId="4" fillId="0" borderId="0" applyFont="0" applyFill="0" applyBorder="0" applyAlignment="0" applyProtection="0"/>
    <xf numFmtId="175" fontId="4" fillId="0" borderId="0" applyFont="0" applyFill="0" applyBorder="0" applyAlignment="0" applyProtection="0"/>
    <xf numFmtId="176" fontId="12" fillId="0" borderId="0"/>
    <xf numFmtId="177" fontId="12" fillId="0" borderId="0"/>
    <xf numFmtId="178" fontId="12" fillId="0" borderId="0"/>
    <xf numFmtId="38" fontId="13" fillId="9" borderId="0" applyNumberFormat="0" applyBorder="0" applyAlignment="0" applyProtection="0"/>
    <xf numFmtId="0" fontId="14" fillId="0" borderId="16" applyNumberFormat="0" applyAlignment="0" applyProtection="0">
      <alignment horizontal="left" vertical="center"/>
    </xf>
    <xf numFmtId="0" fontId="14" fillId="0" borderId="15">
      <alignment horizontal="left" vertical="center"/>
    </xf>
    <xf numFmtId="10" fontId="13" fillId="10" borderId="1" applyNumberFormat="0" applyBorder="0" applyAlignment="0" applyProtection="0"/>
    <xf numFmtId="179" fontId="11" fillId="0" borderId="0"/>
    <xf numFmtId="166" fontId="4" fillId="0" borderId="0"/>
    <xf numFmtId="0" fontId="4" fillId="0" borderId="0"/>
    <xf numFmtId="7" fontId="12" fillId="0" borderId="0"/>
    <xf numFmtId="37" fontId="15" fillId="11" borderId="0">
      <alignment horizontal="right"/>
    </xf>
    <xf numFmtId="10" fontId="4" fillId="0" borderId="0" applyFont="0" applyFill="0" applyBorder="0" applyAlignment="0" applyProtection="0"/>
    <xf numFmtId="0" fontId="16" fillId="0" borderId="0" applyNumberFormat="0" applyFont="0" applyFill="0" applyBorder="0" applyAlignment="0" applyProtection="0">
      <alignment horizontal="left"/>
    </xf>
    <xf numFmtId="15" fontId="16" fillId="0" borderId="0" applyFont="0" applyFill="0" applyBorder="0" applyAlignment="0" applyProtection="0"/>
    <xf numFmtId="4" fontId="16" fillId="0" borderId="0" applyFont="0" applyFill="0" applyBorder="0" applyAlignment="0" applyProtection="0"/>
    <xf numFmtId="0" fontId="17" fillId="0" borderId="39">
      <alignment horizontal="center"/>
    </xf>
    <xf numFmtId="3" fontId="16" fillId="0" borderId="0" applyFont="0" applyFill="0" applyBorder="0" applyAlignment="0" applyProtection="0"/>
    <xf numFmtId="0" fontId="16" fillId="12" borderId="0" applyNumberFormat="0" applyFont="0" applyBorder="0" applyAlignment="0" applyProtection="0"/>
    <xf numFmtId="1" fontId="4" fillId="0" borderId="0"/>
    <xf numFmtId="0" fontId="4" fillId="0" borderId="0" applyFont="0" applyFill="0" applyBorder="0" applyAlignment="0" applyProtection="0"/>
    <xf numFmtId="0" fontId="4" fillId="0" borderId="0">
      <alignment vertical="top"/>
    </xf>
    <xf numFmtId="0" fontId="4" fillId="0" borderId="0">
      <alignment vertical="top"/>
    </xf>
    <xf numFmtId="180" fontId="4" fillId="0" borderId="0"/>
    <xf numFmtId="180" fontId="4" fillId="0" borderId="0"/>
    <xf numFmtId="180" fontId="4" fillId="0" borderId="0"/>
    <xf numFmtId="0" fontId="2" fillId="0" borderId="0"/>
    <xf numFmtId="0" fontId="2" fillId="0" borderId="0"/>
  </cellStyleXfs>
  <cellXfs count="351">
    <xf numFmtId="0" fontId="0" fillId="0" borderId="0" xfId="0"/>
    <xf numFmtId="0" fontId="5" fillId="0" borderId="0" xfId="0" applyFont="1"/>
    <xf numFmtId="0" fontId="0" fillId="0" borderId="1" xfId="0" applyBorder="1"/>
    <xf numFmtId="2" fontId="0" fillId="0" borderId="1" xfId="0" applyNumberFormat="1" applyBorder="1"/>
    <xf numFmtId="0" fontId="0" fillId="0" borderId="1" xfId="0" applyBorder="1" applyAlignment="1">
      <alignment horizontal="center"/>
    </xf>
    <xf numFmtId="3" fontId="0" fillId="0" borderId="0" xfId="0" applyNumberFormat="1"/>
    <xf numFmtId="0" fontId="5" fillId="0" borderId="1" xfId="0" applyFont="1" applyBorder="1"/>
    <xf numFmtId="3" fontId="0" fillId="0" borderId="1" xfId="0" applyNumberFormat="1" applyBorder="1"/>
    <xf numFmtId="0" fontId="5" fillId="0" borderId="1" xfId="0" applyFont="1" applyFill="1" applyBorder="1"/>
    <xf numFmtId="0" fontId="5" fillId="0" borderId="1" xfId="0" applyFont="1" applyBorder="1" applyAlignment="1">
      <alignment horizontal="center"/>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0" fillId="0" borderId="0" xfId="0" applyAlignment="1">
      <alignment vertical="center"/>
    </xf>
    <xf numFmtId="0" fontId="5" fillId="2" borderId="1" xfId="0" applyFont="1" applyFill="1" applyBorder="1" applyAlignment="1">
      <alignment horizontal="center"/>
    </xf>
    <xf numFmtId="10" fontId="4" fillId="0" borderId="0" xfId="4" applyNumberFormat="1" applyFont="1"/>
    <xf numFmtId="0" fontId="0" fillId="2" borderId="1" xfId="0" applyFill="1" applyBorder="1"/>
    <xf numFmtId="0" fontId="0" fillId="2" borderId="1" xfId="0" applyFill="1" applyBorder="1" applyAlignment="1">
      <alignment horizontal="right"/>
    </xf>
    <xf numFmtId="0" fontId="5" fillId="0" borderId="4" xfId="0" applyFont="1" applyBorder="1" applyAlignment="1">
      <alignment horizontal="center" wrapText="1"/>
    </xf>
    <xf numFmtId="0" fontId="5" fillId="0" borderId="5" xfId="0" applyFont="1" applyBorder="1" applyAlignment="1">
      <alignment horizontal="center" wrapText="1"/>
    </xf>
    <xf numFmtId="10" fontId="5" fillId="0" borderId="6" xfId="4" applyNumberFormat="1" applyFont="1" applyBorder="1" applyAlignment="1">
      <alignment horizontal="center" wrapText="1"/>
    </xf>
    <xf numFmtId="0" fontId="5" fillId="0" borderId="0" xfId="0" applyFont="1" applyAlignment="1">
      <alignment horizontal="center" wrapText="1"/>
    </xf>
    <xf numFmtId="166" fontId="0" fillId="0" borderId="1" xfId="0" applyNumberFormat="1" applyBorder="1"/>
    <xf numFmtId="4" fontId="0" fillId="0" borderId="1" xfId="0" applyNumberFormat="1" applyBorder="1"/>
    <xf numFmtId="10" fontId="0" fillId="0" borderId="1" xfId="4" applyNumberFormat="1" applyFont="1" applyBorder="1"/>
    <xf numFmtId="4" fontId="5" fillId="3" borderId="1" xfId="0" applyNumberFormat="1" applyFont="1" applyFill="1" applyBorder="1" applyAlignment="1">
      <alignment horizontal="center"/>
    </xf>
    <xf numFmtId="4" fontId="5" fillId="3" borderId="1" xfId="0" applyNumberFormat="1" applyFont="1" applyFill="1" applyBorder="1"/>
    <xf numFmtId="4" fontId="0" fillId="3" borderId="1" xfId="0" applyNumberFormat="1" applyFill="1" applyBorder="1"/>
    <xf numFmtId="10" fontId="5" fillId="3" borderId="1" xfId="4" applyNumberFormat="1" applyFont="1" applyFill="1" applyBorder="1"/>
    <xf numFmtId="166" fontId="4" fillId="0" borderId="1" xfId="0" applyNumberFormat="1" applyFont="1" applyBorder="1"/>
    <xf numFmtId="4" fontId="5" fillId="4" borderId="1" xfId="0" applyNumberFormat="1" applyFont="1" applyFill="1" applyBorder="1" applyAlignment="1">
      <alignment horizontal="center"/>
    </xf>
    <xf numFmtId="4" fontId="5" fillId="4" borderId="1" xfId="0" applyNumberFormat="1" applyFont="1" applyFill="1" applyBorder="1"/>
    <xf numFmtId="4" fontId="0" fillId="4" borderId="1" xfId="0" applyNumberFormat="1" applyFill="1" applyBorder="1"/>
    <xf numFmtId="10" fontId="4" fillId="4" borderId="1" xfId="4" applyNumberFormat="1" applyFont="1" applyFill="1" applyBorder="1"/>
    <xf numFmtId="10" fontId="5" fillId="4" borderId="1" xfId="4" applyNumberFormat="1" applyFont="1" applyFill="1" applyBorder="1"/>
    <xf numFmtId="167" fontId="0" fillId="0" borderId="1" xfId="0" applyNumberFormat="1" applyBorder="1"/>
    <xf numFmtId="4" fontId="5" fillId="0" borderId="1" xfId="0" applyNumberFormat="1" applyFont="1" applyBorder="1"/>
    <xf numFmtId="10" fontId="5" fillId="0" borderId="1" xfId="4" applyNumberFormat="1" applyFont="1" applyBorder="1"/>
    <xf numFmtId="0" fontId="5" fillId="3" borderId="7" xfId="0" applyFont="1" applyFill="1" applyBorder="1"/>
    <xf numFmtId="4" fontId="5" fillId="3" borderId="8" xfId="0" applyNumberFormat="1" applyFont="1" applyFill="1" applyBorder="1" applyAlignment="1">
      <alignment horizontal="center"/>
    </xf>
    <xf numFmtId="4" fontId="5" fillId="3" borderId="8" xfId="0" applyNumberFormat="1" applyFont="1" applyFill="1" applyBorder="1"/>
    <xf numFmtId="10" fontId="5" fillId="3" borderId="8" xfId="4" applyNumberFormat="1" applyFont="1" applyFill="1" applyBorder="1"/>
    <xf numFmtId="10" fontId="5" fillId="3" borderId="9" xfId="4" applyNumberFormat="1" applyFont="1" applyFill="1" applyBorder="1"/>
    <xf numFmtId="0" fontId="4" fillId="3" borderId="10" xfId="0" applyFont="1" applyFill="1" applyBorder="1"/>
    <xf numFmtId="4" fontId="0" fillId="3" borderId="1" xfId="0" applyNumberFormat="1" applyFill="1" applyBorder="1" applyAlignment="1">
      <alignment horizontal="center"/>
    </xf>
    <xf numFmtId="10" fontId="4" fillId="3" borderId="1" xfId="4" applyNumberFormat="1" applyFont="1" applyFill="1" applyBorder="1"/>
    <xf numFmtId="10" fontId="4" fillId="3" borderId="11" xfId="4" applyNumberFormat="1" applyFont="1" applyFill="1" applyBorder="1"/>
    <xf numFmtId="0" fontId="5" fillId="3" borderId="10" xfId="0" applyFont="1" applyFill="1" applyBorder="1"/>
    <xf numFmtId="10" fontId="5" fillId="3" borderId="11" xfId="4" applyNumberFormat="1" applyFont="1" applyFill="1" applyBorder="1"/>
    <xf numFmtId="0" fontId="5" fillId="3" borderId="12" xfId="0" applyFont="1" applyFill="1" applyBorder="1"/>
    <xf numFmtId="4" fontId="5" fillId="3" borderId="13" xfId="0" applyNumberFormat="1" applyFont="1" applyFill="1" applyBorder="1" applyAlignment="1">
      <alignment horizontal="center"/>
    </xf>
    <xf numFmtId="4" fontId="5" fillId="3" borderId="13" xfId="0" applyNumberFormat="1" applyFont="1" applyFill="1" applyBorder="1"/>
    <xf numFmtId="10" fontId="5" fillId="3" borderId="13" xfId="4" applyNumberFormat="1" applyFont="1" applyFill="1" applyBorder="1"/>
    <xf numFmtId="10" fontId="5" fillId="3" borderId="14" xfId="4" applyNumberFormat="1" applyFont="1" applyFill="1" applyBorder="1"/>
    <xf numFmtId="0" fontId="5" fillId="4" borderId="7" xfId="0" applyFont="1" applyFill="1" applyBorder="1"/>
    <xf numFmtId="4" fontId="5" fillId="4" borderId="8" xfId="0" applyNumberFormat="1" applyFont="1" applyFill="1" applyBorder="1" applyAlignment="1">
      <alignment horizontal="center"/>
    </xf>
    <xf numFmtId="4" fontId="5" fillId="4" borderId="8" xfId="0" applyNumberFormat="1" applyFont="1" applyFill="1" applyBorder="1"/>
    <xf numFmtId="10" fontId="5" fillId="4" borderId="8" xfId="4" applyNumberFormat="1" applyFont="1" applyFill="1" applyBorder="1"/>
    <xf numFmtId="10" fontId="5" fillId="4" borderId="9" xfId="4" applyNumberFormat="1" applyFont="1" applyFill="1" applyBorder="1"/>
    <xf numFmtId="0" fontId="4" fillId="4" borderId="10" xfId="0" applyFont="1" applyFill="1" applyBorder="1"/>
    <xf numFmtId="4" fontId="0" fillId="4" borderId="1" xfId="0" applyNumberFormat="1" applyFill="1" applyBorder="1" applyAlignment="1">
      <alignment horizontal="center"/>
    </xf>
    <xf numFmtId="10" fontId="4" fillId="4" borderId="11" xfId="4" applyNumberFormat="1" applyFont="1" applyFill="1" applyBorder="1"/>
    <xf numFmtId="0" fontId="5" fillId="4" borderId="10" xfId="0" applyFont="1" applyFill="1" applyBorder="1"/>
    <xf numFmtId="10" fontId="5" fillId="4" borderId="11" xfId="4" applyNumberFormat="1" applyFont="1" applyFill="1" applyBorder="1"/>
    <xf numFmtId="0" fontId="5" fillId="4" borderId="12" xfId="0" applyFont="1" applyFill="1" applyBorder="1"/>
    <xf numFmtId="4" fontId="5" fillId="4" borderId="13" xfId="0" applyNumberFormat="1" applyFont="1" applyFill="1" applyBorder="1" applyAlignment="1">
      <alignment horizontal="center"/>
    </xf>
    <xf numFmtId="4" fontId="5" fillId="4" borderId="13" xfId="0" applyNumberFormat="1" applyFont="1" applyFill="1" applyBorder="1"/>
    <xf numFmtId="10" fontId="5" fillId="4" borderId="13" xfId="4" applyNumberFormat="1" applyFont="1" applyFill="1" applyBorder="1"/>
    <xf numFmtId="10" fontId="5" fillId="4" borderId="14" xfId="4" applyNumberFormat="1" applyFont="1" applyFill="1" applyBorder="1"/>
    <xf numFmtId="165" fontId="0" fillId="0" borderId="0" xfId="0" applyNumberFormat="1"/>
    <xf numFmtId="10" fontId="0" fillId="0" borderId="0" xfId="4" applyNumberFormat="1" applyFont="1"/>
    <xf numFmtId="6" fontId="0" fillId="0" borderId="0" xfId="0" applyNumberFormat="1"/>
    <xf numFmtId="164" fontId="0" fillId="0" borderId="0" xfId="1" applyNumberFormat="1" applyFont="1"/>
    <xf numFmtId="168" fontId="0" fillId="0" borderId="0" xfId="0" applyNumberFormat="1"/>
    <xf numFmtId="3" fontId="0" fillId="0" borderId="1" xfId="0" applyNumberFormat="1" applyBorder="1" applyAlignment="1">
      <alignment horizontal="center"/>
    </xf>
    <xf numFmtId="3" fontId="5" fillId="0" borderId="1" xfId="0" applyNumberFormat="1" applyFont="1" applyBorder="1" applyAlignment="1">
      <alignment horizontal="center"/>
    </xf>
    <xf numFmtId="3" fontId="4" fillId="0" borderId="1" xfId="0" applyNumberFormat="1" applyFont="1" applyBorder="1" applyAlignment="1">
      <alignment horizontal="center"/>
    </xf>
    <xf numFmtId="3" fontId="0" fillId="3" borderId="1" xfId="0" applyNumberFormat="1" applyFill="1" applyBorder="1" applyAlignment="1">
      <alignment horizontal="center"/>
    </xf>
    <xf numFmtId="3" fontId="0" fillId="4" borderId="1" xfId="0" applyNumberFormat="1" applyFill="1" applyBorder="1" applyAlignment="1">
      <alignment horizontal="center"/>
    </xf>
    <xf numFmtId="0" fontId="0" fillId="5" borderId="1" xfId="0" applyFill="1" applyBorder="1"/>
    <xf numFmtId="3" fontId="0" fillId="2" borderId="1" xfId="0" applyNumberFormat="1" applyFill="1" applyBorder="1"/>
    <xf numFmtId="166" fontId="0" fillId="2" borderId="1" xfId="0" applyNumberFormat="1" applyFill="1" applyBorder="1"/>
    <xf numFmtId="0" fontId="4" fillId="2" borderId="1" xfId="0" applyFont="1" applyFill="1" applyBorder="1"/>
    <xf numFmtId="9" fontId="4" fillId="2" borderId="1" xfId="4" applyFont="1" applyFill="1" applyBorder="1"/>
    <xf numFmtId="3" fontId="5" fillId="0" borderId="9" xfId="0" applyNumberFormat="1" applyFont="1" applyBorder="1" applyAlignment="1">
      <alignment horizontal="center"/>
    </xf>
    <xf numFmtId="3" fontId="5" fillId="0" borderId="11" xfId="0" applyNumberFormat="1" applyFont="1" applyBorder="1" applyAlignment="1">
      <alignment horizontal="center"/>
    </xf>
    <xf numFmtId="3" fontId="5" fillId="0" borderId="14" xfId="0" applyNumberFormat="1" applyFont="1" applyBorder="1" applyAlignment="1">
      <alignment horizontal="center"/>
    </xf>
    <xf numFmtId="0" fontId="5" fillId="6" borderId="4" xfId="0" applyFont="1" applyFill="1" applyBorder="1" applyAlignment="1">
      <alignment horizontal="center" vertical="center" wrapText="1"/>
    </xf>
    <xf numFmtId="0" fontId="5" fillId="7" borderId="17" xfId="0" applyFont="1" applyFill="1" applyBorder="1" applyAlignment="1">
      <alignment horizontal="center" vertical="center" wrapText="1"/>
    </xf>
    <xf numFmtId="0" fontId="5" fillId="7" borderId="18" xfId="0" applyFont="1" applyFill="1" applyBorder="1" applyAlignment="1">
      <alignment horizontal="center" vertical="center" wrapText="1"/>
    </xf>
    <xf numFmtId="0" fontId="5" fillId="0" borderId="16" xfId="0" applyFont="1" applyBorder="1" applyAlignment="1">
      <alignment horizontal="center" vertical="center" wrapText="1"/>
    </xf>
    <xf numFmtId="0" fontId="5" fillId="0" borderId="30" xfId="0" applyFont="1" applyBorder="1" applyAlignment="1">
      <alignment horizontal="center"/>
    </xf>
    <xf numFmtId="0" fontId="5" fillId="0" borderId="15" xfId="0" applyFont="1" applyBorder="1" applyAlignment="1">
      <alignment horizontal="center"/>
    </xf>
    <xf numFmtId="0" fontId="5" fillId="0" borderId="31" xfId="0" applyFont="1" applyBorder="1" applyAlignment="1">
      <alignment horizontal="center"/>
    </xf>
    <xf numFmtId="3" fontId="5" fillId="0" borderId="10" xfId="0" applyNumberFormat="1" applyFont="1" applyBorder="1" applyAlignment="1">
      <alignment horizontal="center"/>
    </xf>
    <xf numFmtId="3" fontId="5" fillId="0" borderId="12" xfId="0" applyNumberFormat="1" applyFont="1" applyBorder="1" applyAlignment="1">
      <alignment horizontal="center"/>
    </xf>
    <xf numFmtId="0" fontId="5" fillId="0" borderId="23" xfId="0" applyFont="1" applyBorder="1" applyAlignment="1">
      <alignment horizontal="center" vertical="center" wrapText="1"/>
    </xf>
    <xf numFmtId="0" fontId="5" fillId="0" borderId="32" xfId="0" applyFont="1" applyBorder="1" applyAlignment="1">
      <alignment horizontal="center" wrapText="1"/>
    </xf>
    <xf numFmtId="0" fontId="5" fillId="0" borderId="33" xfId="0" applyFont="1" applyBorder="1" applyAlignment="1">
      <alignment horizontal="center" vertical="center" wrapText="1"/>
    </xf>
    <xf numFmtId="3" fontId="5" fillId="0" borderId="7" xfId="0" applyNumberFormat="1" applyFont="1" applyBorder="1" applyAlignment="1">
      <alignment horizontal="center"/>
    </xf>
    <xf numFmtId="0" fontId="5" fillId="0" borderId="24" xfId="0" applyFont="1" applyBorder="1" applyAlignment="1">
      <alignment horizontal="center" vertical="center" wrapText="1"/>
    </xf>
    <xf numFmtId="165" fontId="0" fillId="0" borderId="1" xfId="0" applyNumberFormat="1" applyBorder="1"/>
    <xf numFmtId="0" fontId="0" fillId="0" borderId="7" xfId="0" applyBorder="1"/>
    <xf numFmtId="3" fontId="0" fillId="0" borderId="8" xfId="0" applyNumberFormat="1" applyBorder="1" applyAlignment="1">
      <alignment horizontal="center"/>
    </xf>
    <xf numFmtId="166" fontId="0" fillId="0" borderId="8" xfId="0" applyNumberFormat="1" applyBorder="1"/>
    <xf numFmtId="4" fontId="0" fillId="0" borderId="8" xfId="0" applyNumberFormat="1" applyBorder="1"/>
    <xf numFmtId="10" fontId="0" fillId="0" borderId="8" xfId="4" applyNumberFormat="1" applyFont="1" applyBorder="1"/>
    <xf numFmtId="10" fontId="4" fillId="0" borderId="9" xfId="4" applyNumberFormat="1" applyFont="1" applyBorder="1"/>
    <xf numFmtId="0" fontId="0" fillId="0" borderId="10" xfId="0" applyBorder="1"/>
    <xf numFmtId="10" fontId="4" fillId="0" borderId="11" xfId="4" applyNumberFormat="1" applyFont="1" applyBorder="1"/>
    <xf numFmtId="0" fontId="4" fillId="0" borderId="10" xfId="0" applyFont="1" applyBorder="1"/>
    <xf numFmtId="0" fontId="5" fillId="0" borderId="10" xfId="0" applyFont="1" applyBorder="1"/>
    <xf numFmtId="10" fontId="5" fillId="0" borderId="11" xfId="4" applyNumberFormat="1" applyFont="1" applyBorder="1"/>
    <xf numFmtId="0" fontId="5" fillId="0" borderId="12" xfId="0" applyFont="1" applyBorder="1"/>
    <xf numFmtId="3" fontId="4" fillId="0" borderId="13" xfId="0" applyNumberFormat="1" applyFont="1" applyBorder="1" applyAlignment="1">
      <alignment horizontal="center"/>
    </xf>
    <xf numFmtId="166" fontId="4" fillId="0" borderId="13" xfId="0" applyNumberFormat="1" applyFont="1" applyBorder="1"/>
    <xf numFmtId="4" fontId="5" fillId="0" borderId="13" xfId="0" applyNumberFormat="1" applyFont="1" applyBorder="1"/>
    <xf numFmtId="3" fontId="0" fillId="0" borderId="13" xfId="0" applyNumberFormat="1" applyBorder="1" applyAlignment="1">
      <alignment horizontal="center"/>
    </xf>
    <xf numFmtId="10" fontId="5" fillId="0" borderId="13" xfId="4" applyNumberFormat="1" applyFont="1" applyBorder="1"/>
    <xf numFmtId="10" fontId="5" fillId="0" borderId="14" xfId="4" applyNumberFormat="1" applyFont="1" applyBorder="1"/>
    <xf numFmtId="0" fontId="0" fillId="0" borderId="10" xfId="0" applyFont="1" applyBorder="1"/>
    <xf numFmtId="3" fontId="0" fillId="0" borderId="1" xfId="0" applyNumberFormat="1" applyFont="1" applyBorder="1" applyAlignment="1">
      <alignment horizontal="center"/>
    </xf>
    <xf numFmtId="4" fontId="0" fillId="0" borderId="1" xfId="0" applyNumberFormat="1" applyFont="1" applyBorder="1"/>
    <xf numFmtId="2" fontId="0" fillId="5" borderId="1" xfId="0" applyNumberFormat="1" applyFill="1" applyBorder="1"/>
    <xf numFmtId="0" fontId="5" fillId="0" borderId="6" xfId="0" applyFont="1" applyBorder="1" applyAlignment="1">
      <alignment horizontal="center" wrapText="1"/>
    </xf>
    <xf numFmtId="10" fontId="0" fillId="0" borderId="9" xfId="4" applyNumberFormat="1" applyFont="1" applyBorder="1"/>
    <xf numFmtId="10" fontId="0" fillId="0" borderId="11" xfId="4" applyNumberFormat="1" applyFont="1" applyBorder="1"/>
    <xf numFmtId="165" fontId="0" fillId="5" borderId="1" xfId="0" applyNumberFormat="1" applyFill="1" applyBorder="1"/>
    <xf numFmtId="169" fontId="0" fillId="0" borderId="1" xfId="0" applyNumberFormat="1" applyBorder="1"/>
    <xf numFmtId="169" fontId="0" fillId="5" borderId="1" xfId="0" applyNumberFormat="1" applyFill="1" applyBorder="1"/>
    <xf numFmtId="0" fontId="8" fillId="0" borderId="0" xfId="0" applyFont="1" applyBorder="1" applyAlignment="1"/>
    <xf numFmtId="4" fontId="0" fillId="0" borderId="0" xfId="0" applyNumberFormat="1"/>
    <xf numFmtId="0" fontId="0" fillId="0" borderId="0" xfId="0" applyAlignment="1">
      <alignment horizontal="right"/>
    </xf>
    <xf numFmtId="0" fontId="0" fillId="0" borderId="0" xfId="0" quotePrefix="1" applyAlignment="1">
      <alignment horizontal="right"/>
    </xf>
    <xf numFmtId="10" fontId="0" fillId="0" borderId="0" xfId="4" applyNumberFormat="1" applyFont="1" applyAlignment="1">
      <alignment horizontal="right"/>
    </xf>
    <xf numFmtId="0" fontId="0" fillId="8" borderId="1" xfId="0" applyFill="1" applyBorder="1"/>
    <xf numFmtId="2" fontId="0" fillId="2" borderId="1" xfId="0" applyNumberFormat="1" applyFill="1" applyBorder="1"/>
    <xf numFmtId="181" fontId="0" fillId="2" borderId="1" xfId="0" applyNumberFormat="1" applyFill="1" applyBorder="1"/>
    <xf numFmtId="0" fontId="5" fillId="6" borderId="6" xfId="0" applyFont="1" applyFill="1" applyBorder="1" applyAlignment="1">
      <alignment horizontal="center" vertical="center" wrapText="1"/>
    </xf>
    <xf numFmtId="7" fontId="0" fillId="0" borderId="27" xfId="0" applyNumberFormat="1" applyFont="1" applyBorder="1" applyAlignment="1">
      <alignment horizontal="center"/>
    </xf>
    <xf numFmtId="7" fontId="0" fillId="0" borderId="28" xfId="0" applyNumberFormat="1" applyFont="1" applyBorder="1" applyAlignment="1">
      <alignment horizontal="center"/>
    </xf>
    <xf numFmtId="7" fontId="0" fillId="0" borderId="29" xfId="0" applyNumberFormat="1" applyFont="1" applyBorder="1" applyAlignment="1">
      <alignment horizontal="center"/>
    </xf>
    <xf numFmtId="0" fontId="5" fillId="4" borderId="10" xfId="0" applyFont="1" applyFill="1" applyBorder="1" applyAlignment="1">
      <alignment horizontal="left"/>
    </xf>
    <xf numFmtId="0" fontId="5" fillId="7" borderId="1" xfId="0" applyFont="1" applyFill="1" applyBorder="1" applyAlignment="1">
      <alignment horizontal="center" vertical="center" wrapText="1"/>
    </xf>
    <xf numFmtId="0" fontId="5" fillId="5" borderId="1" xfId="0" applyFont="1" applyFill="1" applyBorder="1" applyAlignment="1">
      <alignment horizontal="center"/>
    </xf>
    <xf numFmtId="0" fontId="0" fillId="5" borderId="0" xfId="0" applyFill="1"/>
    <xf numFmtId="169" fontId="0" fillId="0" borderId="1" xfId="0" applyNumberFormat="1" applyFill="1" applyBorder="1"/>
    <xf numFmtId="3" fontId="0" fillId="8" borderId="1" xfId="0" applyNumberFormat="1" applyFill="1" applyBorder="1"/>
    <xf numFmtId="0" fontId="0" fillId="6" borderId="1" xfId="0" applyFill="1" applyBorder="1"/>
    <xf numFmtId="0" fontId="5" fillId="8" borderId="1" xfId="0" applyFont="1" applyFill="1" applyBorder="1" applyAlignment="1">
      <alignment horizontal="center" vertical="center" wrapText="1"/>
    </xf>
    <xf numFmtId="3" fontId="0" fillId="5" borderId="1" xfId="0" applyNumberFormat="1" applyFill="1" applyBorder="1"/>
    <xf numFmtId="0" fontId="0" fillId="3" borderId="10" xfId="0" applyFont="1" applyFill="1" applyBorder="1"/>
    <xf numFmtId="0" fontId="0" fillId="4" borderId="10" xfId="0" applyFont="1" applyFill="1" applyBorder="1"/>
    <xf numFmtId="0" fontId="0" fillId="13" borderId="1" xfId="0" applyFill="1" applyBorder="1"/>
    <xf numFmtId="165" fontId="0" fillId="0" borderId="1" xfId="0" applyNumberFormat="1" applyFill="1" applyBorder="1"/>
    <xf numFmtId="3" fontId="0" fillId="0" borderId="1" xfId="0" applyNumberFormat="1" applyFill="1" applyBorder="1"/>
    <xf numFmtId="0" fontId="0" fillId="5" borderId="1" xfId="0" applyFill="1" applyBorder="1" applyAlignment="1">
      <alignment horizontal="center"/>
    </xf>
    <xf numFmtId="165" fontId="0" fillId="0" borderId="1" xfId="0" applyNumberFormat="1" applyFill="1" applyBorder="1" applyAlignment="1">
      <alignment horizontal="center"/>
    </xf>
    <xf numFmtId="0" fontId="0" fillId="0" borderId="1" xfId="0" applyFill="1" applyBorder="1" applyAlignment="1">
      <alignment horizontal="center"/>
    </xf>
    <xf numFmtId="0" fontId="5" fillId="8" borderId="1" xfId="0" applyFont="1" applyFill="1" applyBorder="1"/>
    <xf numFmtId="169" fontId="0" fillId="8" borderId="1" xfId="0" applyNumberFormat="1" applyFill="1" applyBorder="1"/>
    <xf numFmtId="0" fontId="0" fillId="8" borderId="1" xfId="0" applyFill="1" applyBorder="1" applyAlignment="1">
      <alignment horizontal="center"/>
    </xf>
    <xf numFmtId="2" fontId="0" fillId="8" borderId="1" xfId="0" applyNumberFormat="1" applyFill="1" applyBorder="1"/>
    <xf numFmtId="165" fontId="0" fillId="8" borderId="1" xfId="0" applyNumberFormat="1" applyFill="1" applyBorder="1"/>
    <xf numFmtId="165" fontId="0" fillId="14" borderId="1" xfId="0" applyNumberFormat="1" applyFill="1" applyBorder="1"/>
    <xf numFmtId="164" fontId="0" fillId="2" borderId="1" xfId="1" applyNumberFormat="1" applyFont="1" applyFill="1" applyBorder="1"/>
    <xf numFmtId="4" fontId="0" fillId="0" borderId="1" xfId="0" applyNumberFormat="1" applyBorder="1" applyAlignment="1">
      <alignment horizontal="center"/>
    </xf>
    <xf numFmtId="4" fontId="5" fillId="0" borderId="1" xfId="0" applyNumberFormat="1" applyFont="1" applyBorder="1" applyAlignment="1">
      <alignment horizontal="center"/>
    </xf>
    <xf numFmtId="0" fontId="0" fillId="8" borderId="1" xfId="0" applyFill="1" applyBorder="1" applyAlignment="1">
      <alignment horizontal="right"/>
    </xf>
    <xf numFmtId="0" fontId="5" fillId="8" borderId="37" xfId="0" applyFont="1" applyFill="1" applyBorder="1" applyAlignment="1">
      <alignment horizontal="center" vertical="center" wrapText="1"/>
    </xf>
    <xf numFmtId="0" fontId="5" fillId="8" borderId="33" xfId="0" applyFont="1" applyFill="1" applyBorder="1" applyAlignment="1">
      <alignment horizontal="center" vertical="center" wrapText="1"/>
    </xf>
    <xf numFmtId="0" fontId="5" fillId="8" borderId="24" xfId="0" applyFont="1" applyFill="1" applyBorder="1" applyAlignment="1">
      <alignment horizontal="center" vertical="center" wrapText="1"/>
    </xf>
    <xf numFmtId="0" fontId="5" fillId="8" borderId="41" xfId="0" applyFont="1" applyFill="1" applyBorder="1" applyAlignment="1">
      <alignment horizontal="center" vertical="center" wrapText="1"/>
    </xf>
    <xf numFmtId="0" fontId="5" fillId="8" borderId="42" xfId="0" applyFont="1" applyFill="1" applyBorder="1" applyAlignment="1">
      <alignment horizontal="center" vertical="center" wrapText="1"/>
    </xf>
    <xf numFmtId="0" fontId="5" fillId="8" borderId="32" xfId="0" applyFont="1" applyFill="1" applyBorder="1" applyAlignment="1">
      <alignment horizontal="center" vertical="center" wrapText="1"/>
    </xf>
    <xf numFmtId="0" fontId="5" fillId="8" borderId="43" xfId="0" applyFont="1" applyFill="1" applyBorder="1" applyAlignment="1">
      <alignment horizontal="center" vertical="center" wrapText="1"/>
    </xf>
    <xf numFmtId="0" fontId="5" fillId="8" borderId="0" xfId="0" applyFont="1" applyFill="1" applyBorder="1" applyAlignment="1">
      <alignment horizontal="center"/>
    </xf>
    <xf numFmtId="3" fontId="5" fillId="8" borderId="40" xfId="0" applyNumberFormat="1" applyFont="1" applyFill="1" applyBorder="1" applyAlignment="1">
      <alignment horizontal="center"/>
    </xf>
    <xf numFmtId="7" fontId="0" fillId="8" borderId="27" xfId="0" applyNumberFormat="1" applyFont="1" applyFill="1" applyBorder="1" applyAlignment="1">
      <alignment horizontal="center"/>
    </xf>
    <xf numFmtId="0" fontId="5" fillId="8" borderId="44" xfId="0" applyFont="1" applyFill="1" applyBorder="1" applyAlignment="1">
      <alignment horizontal="center" vertical="center" wrapText="1"/>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51" xfId="0" applyFont="1" applyBorder="1" applyAlignment="1">
      <alignment horizontal="center" vertical="center" wrapText="1"/>
    </xf>
    <xf numFmtId="0" fontId="5" fillId="7" borderId="52" xfId="0" applyFont="1" applyFill="1" applyBorder="1" applyAlignment="1">
      <alignment horizontal="center" vertical="center" wrapText="1"/>
    </xf>
    <xf numFmtId="0" fontId="5" fillId="7" borderId="53" xfId="0" applyFont="1" applyFill="1" applyBorder="1" applyAlignment="1">
      <alignment horizontal="center" vertical="center" wrapText="1"/>
    </xf>
    <xf numFmtId="0" fontId="5" fillId="6" borderId="50" xfId="0" applyFont="1" applyFill="1" applyBorder="1" applyAlignment="1">
      <alignment horizontal="center" vertical="center" wrapText="1"/>
    </xf>
    <xf numFmtId="0" fontId="5" fillId="6" borderId="51" xfId="0" applyFont="1" applyFill="1" applyBorder="1" applyAlignment="1">
      <alignment horizontal="center" vertical="center" wrapText="1"/>
    </xf>
    <xf numFmtId="0" fontId="5" fillId="0" borderId="47" xfId="0" applyFont="1" applyBorder="1" applyAlignment="1">
      <alignment horizontal="center" vertical="center" wrapText="1"/>
    </xf>
    <xf numFmtId="0" fontId="5" fillId="8" borderId="54" xfId="0" applyFont="1" applyFill="1" applyBorder="1" applyAlignment="1">
      <alignment horizontal="center"/>
    </xf>
    <xf numFmtId="0" fontId="5" fillId="0" borderId="55" xfId="0" applyFont="1" applyBorder="1" applyAlignment="1">
      <alignment horizontal="center" vertical="center" wrapText="1"/>
    </xf>
    <xf numFmtId="0" fontId="0" fillId="14" borderId="1" xfId="0" applyFill="1" applyBorder="1"/>
    <xf numFmtId="0" fontId="0" fillId="2" borderId="2" xfId="0" applyFill="1" applyBorder="1"/>
    <xf numFmtId="0" fontId="5" fillId="2" borderId="56" xfId="0" applyFont="1" applyFill="1" applyBorder="1" applyAlignment="1">
      <alignment horizontal="center"/>
    </xf>
    <xf numFmtId="182" fontId="0" fillId="2" borderId="1" xfId="0" applyNumberFormat="1" applyFill="1" applyBorder="1" applyAlignment="1">
      <alignment horizontal="right"/>
    </xf>
    <xf numFmtId="1" fontId="0" fillId="2" borderId="1" xfId="0" applyNumberFormat="1" applyFill="1" applyBorder="1"/>
    <xf numFmtId="3" fontId="0" fillId="2" borderId="1" xfId="0" applyNumberFormat="1" applyFill="1" applyBorder="1" applyAlignment="1">
      <alignment horizontal="right"/>
    </xf>
    <xf numFmtId="182" fontId="0" fillId="0" borderId="1" xfId="0" applyNumberFormat="1" applyBorder="1" applyAlignment="1">
      <alignment horizontal="center"/>
    </xf>
    <xf numFmtId="0" fontId="0" fillId="15" borderId="1" xfId="0" applyFill="1" applyBorder="1"/>
    <xf numFmtId="3" fontId="0" fillId="15" borderId="1" xfId="0" applyNumberFormat="1" applyFill="1" applyBorder="1"/>
    <xf numFmtId="0" fontId="5" fillId="0" borderId="59" xfId="0" applyFont="1" applyBorder="1" applyAlignment="1">
      <alignment horizontal="center"/>
    </xf>
    <xf numFmtId="3" fontId="5" fillId="0" borderId="60" xfId="0" applyNumberFormat="1" applyFont="1" applyBorder="1" applyAlignment="1">
      <alignment horizontal="center"/>
    </xf>
    <xf numFmtId="3" fontId="5" fillId="0" borderId="61" xfId="0" applyNumberFormat="1" applyFont="1" applyBorder="1" applyAlignment="1">
      <alignment horizontal="center"/>
    </xf>
    <xf numFmtId="7" fontId="0" fillId="0" borderId="58" xfId="0" applyNumberFormat="1" applyFont="1" applyBorder="1" applyAlignment="1">
      <alignment horizontal="center"/>
    </xf>
    <xf numFmtId="165" fontId="5" fillId="0" borderId="1" xfId="0" applyNumberFormat="1" applyFont="1" applyBorder="1"/>
    <xf numFmtId="0" fontId="0" fillId="0" borderId="1" xfId="0" applyFill="1" applyBorder="1"/>
    <xf numFmtId="0" fontId="5" fillId="2" borderId="1" xfId="0" applyFont="1" applyFill="1" applyBorder="1" applyAlignment="1">
      <alignment horizontal="center" wrapText="1"/>
    </xf>
    <xf numFmtId="167" fontId="4" fillId="0" borderId="13" xfId="0" applyNumberFormat="1" applyFont="1" applyBorder="1"/>
    <xf numFmtId="0" fontId="2" fillId="0" borderId="0" xfId="46"/>
    <xf numFmtId="3" fontId="2" fillId="0" borderId="0" xfId="46" applyNumberFormat="1"/>
    <xf numFmtId="0" fontId="18" fillId="0" borderId="0" xfId="46" applyFont="1"/>
    <xf numFmtId="0" fontId="2" fillId="0" borderId="0" xfId="47"/>
    <xf numFmtId="0" fontId="2" fillId="0" borderId="63" xfId="47" applyBorder="1"/>
    <xf numFmtId="3" fontId="2" fillId="0" borderId="0" xfId="47" applyNumberFormat="1"/>
    <xf numFmtId="3" fontId="2" fillId="0" borderId="63" xfId="47" applyNumberFormat="1" applyBorder="1"/>
    <xf numFmtId="0" fontId="2" fillId="0" borderId="0" xfId="47" applyAlignment="1">
      <alignment horizontal="right"/>
    </xf>
    <xf numFmtId="0" fontId="18" fillId="0" borderId="0" xfId="47" applyFont="1" applyAlignment="1">
      <alignment horizontal="centerContinuous"/>
    </xf>
    <xf numFmtId="0" fontId="2" fillId="0" borderId="0" xfId="47" applyAlignment="1">
      <alignment horizontal="centerContinuous"/>
    </xf>
    <xf numFmtId="0" fontId="18" fillId="0" borderId="39" xfId="47" applyFont="1" applyBorder="1" applyAlignment="1">
      <alignment horizontal="centerContinuous"/>
    </xf>
    <xf numFmtId="0" fontId="2" fillId="0" borderId="39" xfId="47" applyBorder="1" applyAlignment="1">
      <alignment horizontal="centerContinuous"/>
    </xf>
    <xf numFmtId="0" fontId="2" fillId="0" borderId="63" xfId="47" applyBorder="1" applyAlignment="1">
      <alignment horizontal="right"/>
    </xf>
    <xf numFmtId="164" fontId="0" fillId="0" borderId="1" xfId="1" applyNumberFormat="1" applyFont="1" applyBorder="1"/>
    <xf numFmtId="3" fontId="2" fillId="0" borderId="1" xfId="46" applyNumberFormat="1" applyBorder="1"/>
    <xf numFmtId="43" fontId="0" fillId="0" borderId="1" xfId="0" applyNumberFormat="1" applyBorder="1"/>
    <xf numFmtId="0" fontId="19" fillId="16" borderId="1" xfId="0" applyFont="1" applyFill="1" applyBorder="1" applyAlignment="1">
      <alignment horizontal="center" vertical="center"/>
    </xf>
    <xf numFmtId="0" fontId="20" fillId="16" borderId="1" xfId="0" applyFont="1" applyFill="1" applyBorder="1" applyAlignment="1">
      <alignment horizontal="center" vertical="center"/>
    </xf>
    <xf numFmtId="167" fontId="0" fillId="2" borderId="1" xfId="0" applyNumberFormat="1" applyFill="1" applyBorder="1"/>
    <xf numFmtId="166" fontId="0" fillId="0" borderId="1" xfId="0" applyNumberFormat="1" applyFont="1" applyBorder="1"/>
    <xf numFmtId="164" fontId="2" fillId="0" borderId="1" xfId="1" applyNumberFormat="1" applyFont="1" applyBorder="1"/>
    <xf numFmtId="0" fontId="20" fillId="16" borderId="0" xfId="0" applyFont="1" applyFill="1" applyBorder="1" applyAlignment="1">
      <alignment horizontal="left" vertical="center"/>
    </xf>
    <xf numFmtId="0" fontId="5" fillId="0" borderId="64" xfId="0" applyFont="1" applyBorder="1" applyAlignment="1">
      <alignment horizontal="center" wrapText="1"/>
    </xf>
    <xf numFmtId="0" fontId="5" fillId="8" borderId="36" xfId="0" applyFont="1" applyFill="1" applyBorder="1" applyAlignment="1">
      <alignment horizontal="center" wrapText="1"/>
    </xf>
    <xf numFmtId="3" fontId="5" fillId="0" borderId="65" xfId="0" applyNumberFormat="1" applyFont="1" applyBorder="1" applyAlignment="1">
      <alignment horizontal="center"/>
    </xf>
    <xf numFmtId="3" fontId="5" fillId="0" borderId="66" xfId="0" applyNumberFormat="1" applyFont="1" applyBorder="1" applyAlignment="1">
      <alignment horizontal="center"/>
    </xf>
    <xf numFmtId="3" fontId="5" fillId="0" borderId="57" xfId="0" applyNumberFormat="1" applyFont="1" applyBorder="1" applyAlignment="1">
      <alignment horizontal="center"/>
    </xf>
    <xf numFmtId="3" fontId="5" fillId="8" borderId="38" xfId="0" applyNumberFormat="1" applyFont="1" applyFill="1" applyBorder="1" applyAlignment="1">
      <alignment horizontal="center"/>
    </xf>
    <xf numFmtId="3" fontId="5" fillId="0" borderId="67" xfId="0" applyNumberFormat="1" applyFont="1" applyBorder="1" applyAlignment="1">
      <alignment horizontal="center"/>
    </xf>
    <xf numFmtId="0" fontId="0" fillId="0" borderId="0" xfId="0" applyFont="1"/>
    <xf numFmtId="7" fontId="0" fillId="7" borderId="19" xfId="2" applyNumberFormat="1" applyFont="1" applyFill="1" applyBorder="1" applyAlignment="1">
      <alignment horizontal="center"/>
    </xf>
    <xf numFmtId="10" fontId="0" fillId="7" borderId="22" xfId="3" applyNumberFormat="1" applyFont="1" applyFill="1" applyBorder="1" applyAlignment="1">
      <alignment horizontal="center"/>
    </xf>
    <xf numFmtId="7" fontId="0" fillId="6" borderId="7" xfId="0" applyNumberFormat="1" applyFont="1" applyFill="1" applyBorder="1" applyAlignment="1">
      <alignment horizontal="center"/>
    </xf>
    <xf numFmtId="10" fontId="0" fillId="6" borderId="14" xfId="3" applyNumberFormat="1" applyFont="1" applyFill="1" applyBorder="1" applyAlignment="1">
      <alignment horizontal="center"/>
    </xf>
    <xf numFmtId="10" fontId="0" fillId="7" borderId="21" xfId="3" applyNumberFormat="1" applyFont="1" applyFill="1" applyBorder="1" applyAlignment="1">
      <alignment horizontal="center"/>
    </xf>
    <xf numFmtId="10" fontId="0" fillId="6" borderId="9" xfId="3" applyNumberFormat="1" applyFont="1" applyFill="1" applyBorder="1" applyAlignment="1">
      <alignment horizontal="center"/>
    </xf>
    <xf numFmtId="7" fontId="0" fillId="8" borderId="19" xfId="2" applyNumberFormat="1" applyFont="1" applyFill="1" applyBorder="1" applyAlignment="1">
      <alignment horizontal="center"/>
    </xf>
    <xf numFmtId="10" fontId="0" fillId="8" borderId="21" xfId="3" applyNumberFormat="1" applyFont="1" applyFill="1" applyBorder="1" applyAlignment="1">
      <alignment horizontal="center"/>
    </xf>
    <xf numFmtId="7" fontId="0" fillId="8" borderId="7" xfId="0" applyNumberFormat="1" applyFont="1" applyFill="1" applyBorder="1" applyAlignment="1">
      <alignment horizontal="center"/>
    </xf>
    <xf numFmtId="10" fontId="0" fillId="8" borderId="9" xfId="3" applyNumberFormat="1" applyFont="1" applyFill="1" applyBorder="1" applyAlignment="1">
      <alignment horizontal="center"/>
    </xf>
    <xf numFmtId="0" fontId="0" fillId="8" borderId="44" xfId="0" applyFont="1" applyFill="1" applyBorder="1" applyAlignment="1">
      <alignment horizontal="center" vertical="center" wrapText="1"/>
    </xf>
    <xf numFmtId="0" fontId="0" fillId="0" borderId="0" xfId="0" applyFont="1" applyBorder="1"/>
    <xf numFmtId="7" fontId="0" fillId="7" borderId="3" xfId="2" applyNumberFormat="1" applyFont="1" applyFill="1" applyBorder="1" applyAlignment="1">
      <alignment horizontal="center"/>
    </xf>
    <xf numFmtId="10" fontId="0" fillId="7" borderId="3" xfId="3" applyNumberFormat="1" applyFont="1" applyFill="1" applyBorder="1" applyAlignment="1">
      <alignment horizontal="center"/>
    </xf>
    <xf numFmtId="7" fontId="0" fillId="6" borderId="10" xfId="0" applyNumberFormat="1" applyFont="1" applyFill="1" applyBorder="1" applyAlignment="1">
      <alignment horizontal="center"/>
    </xf>
    <xf numFmtId="10" fontId="0" fillId="6" borderId="11" xfId="3" applyNumberFormat="1" applyFont="1" applyFill="1" applyBorder="1" applyAlignment="1">
      <alignment horizontal="center"/>
    </xf>
    <xf numFmtId="7" fontId="0" fillId="7" borderId="20" xfId="2" applyNumberFormat="1" applyFont="1" applyFill="1" applyBorder="1" applyAlignment="1">
      <alignment horizontal="center"/>
    </xf>
    <xf numFmtId="7" fontId="0" fillId="6" borderId="12" xfId="0" applyNumberFormat="1" applyFont="1" applyFill="1" applyBorder="1" applyAlignment="1">
      <alignment horizontal="center"/>
    </xf>
    <xf numFmtId="10" fontId="0" fillId="7" borderId="2" xfId="3" applyNumberFormat="1" applyFont="1" applyFill="1" applyBorder="1" applyAlignment="1">
      <alignment horizontal="center"/>
    </xf>
    <xf numFmtId="7" fontId="0" fillId="7" borderId="62" xfId="2" applyNumberFormat="1" applyFont="1" applyFill="1" applyBorder="1" applyAlignment="1">
      <alignment horizontal="center"/>
    </xf>
    <xf numFmtId="7" fontId="0" fillId="6" borderId="60" xfId="0" applyNumberFormat="1" applyFont="1" applyFill="1" applyBorder="1" applyAlignment="1">
      <alignment horizontal="center"/>
    </xf>
    <xf numFmtId="165" fontId="0" fillId="6" borderId="1" xfId="0" applyNumberFormat="1" applyFill="1" applyBorder="1"/>
    <xf numFmtId="0" fontId="0" fillId="6" borderId="1" xfId="0" applyFill="1" applyBorder="1" applyAlignment="1">
      <alignment horizontal="center"/>
    </xf>
    <xf numFmtId="2" fontId="0" fillId="6" borderId="1" xfId="0" applyNumberFormat="1" applyFill="1" applyBorder="1"/>
    <xf numFmtId="3" fontId="0" fillId="6" borderId="1" xfId="0" applyNumberFormat="1" applyFill="1" applyBorder="1"/>
    <xf numFmtId="0" fontId="0" fillId="6" borderId="1" xfId="0" applyFont="1" applyFill="1" applyBorder="1"/>
    <xf numFmtId="0" fontId="0" fillId="17" borderId="1" xfId="0" applyFill="1" applyBorder="1"/>
    <xf numFmtId="165" fontId="0" fillId="17" borderId="1" xfId="0" applyNumberFormat="1" applyFill="1" applyBorder="1"/>
    <xf numFmtId="0" fontId="0" fillId="17" borderId="1" xfId="0" applyFill="1" applyBorder="1" applyAlignment="1">
      <alignment horizontal="center"/>
    </xf>
    <xf numFmtId="2" fontId="0" fillId="17" borderId="1" xfId="0" applyNumberFormat="1" applyFill="1" applyBorder="1"/>
    <xf numFmtId="3" fontId="0" fillId="17" borderId="1" xfId="0" applyNumberFormat="1" applyFill="1" applyBorder="1"/>
    <xf numFmtId="2" fontId="0" fillId="0" borderId="1" xfId="0" applyNumberFormat="1" applyFill="1" applyBorder="1"/>
    <xf numFmtId="165" fontId="0" fillId="0" borderId="1" xfId="0" applyNumberFormat="1" applyFont="1" applyBorder="1"/>
    <xf numFmtId="3" fontId="5" fillId="0" borderId="9" xfId="0" applyNumberFormat="1" applyFont="1" applyFill="1" applyBorder="1" applyAlignment="1">
      <alignment horizontal="center"/>
    </xf>
    <xf numFmtId="3" fontId="5" fillId="0" borderId="11" xfId="0" applyNumberFormat="1" applyFont="1" applyFill="1" applyBorder="1" applyAlignment="1">
      <alignment horizontal="center"/>
    </xf>
    <xf numFmtId="3" fontId="5" fillId="0" borderId="14" xfId="0" applyNumberFormat="1" applyFont="1" applyFill="1" applyBorder="1" applyAlignment="1">
      <alignment horizontal="center"/>
    </xf>
    <xf numFmtId="4" fontId="4" fillId="0" borderId="1" xfId="0" applyNumberFormat="1" applyFont="1" applyBorder="1" applyAlignment="1">
      <alignment horizontal="center"/>
    </xf>
    <xf numFmtId="167" fontId="0" fillId="0" borderId="1" xfId="0" applyNumberFormat="1" applyFont="1" applyBorder="1"/>
    <xf numFmtId="0" fontId="5" fillId="0" borderId="26" xfId="0" applyFont="1" applyBorder="1" applyAlignment="1">
      <alignment horizontal="center" vertical="center"/>
    </xf>
    <xf numFmtId="0" fontId="5" fillId="0" borderId="24" xfId="0" applyFont="1" applyBorder="1" applyAlignment="1">
      <alignment horizontal="center" vertical="center"/>
    </xf>
    <xf numFmtId="0" fontId="0" fillId="0" borderId="24" xfId="0" applyFont="1" applyBorder="1" applyAlignment="1">
      <alignment horizontal="center" vertical="center"/>
    </xf>
    <xf numFmtId="0" fontId="0" fillId="0" borderId="26" xfId="0" applyFont="1" applyBorder="1" applyAlignment="1">
      <alignment horizontal="center" vertical="center"/>
    </xf>
    <xf numFmtId="164" fontId="18" fillId="0" borderId="1" xfId="1" applyNumberFormat="1" applyFont="1" applyBorder="1"/>
    <xf numFmtId="0" fontId="1" fillId="0" borderId="1" xfId="46" applyFont="1" applyBorder="1" applyAlignment="1">
      <alignment wrapText="1"/>
    </xf>
    <xf numFmtId="0" fontId="18" fillId="0" borderId="1" xfId="46" applyFont="1" applyBorder="1" applyAlignment="1">
      <alignment wrapText="1"/>
    </xf>
    <xf numFmtId="43" fontId="18" fillId="0" borderId="1" xfId="46" applyNumberFormat="1" applyFont="1" applyBorder="1"/>
    <xf numFmtId="10" fontId="0" fillId="0" borderId="1" xfId="3" applyNumberFormat="1" applyFont="1" applyBorder="1"/>
    <xf numFmtId="10" fontId="0" fillId="0" borderId="0" xfId="3" applyNumberFormat="1" applyFont="1"/>
    <xf numFmtId="0" fontId="0" fillId="0" borderId="1" xfId="0" applyBorder="1" applyAlignment="1">
      <alignment wrapText="1"/>
    </xf>
    <xf numFmtId="10" fontId="0" fillId="0" borderId="1" xfId="3" applyNumberFormat="1" applyFont="1" applyBorder="1" applyAlignment="1">
      <alignment wrapText="1"/>
    </xf>
    <xf numFmtId="43" fontId="0" fillId="0" borderId="1" xfId="1" applyNumberFormat="1" applyFont="1" applyBorder="1"/>
    <xf numFmtId="0" fontId="5" fillId="0" borderId="23" xfId="0" applyFont="1" applyBorder="1" applyAlignment="1">
      <alignment horizontal="center" vertical="center"/>
    </xf>
    <xf numFmtId="0" fontId="5" fillId="0" borderId="0" xfId="0" applyFont="1" applyBorder="1" applyAlignment="1">
      <alignment horizontal="center"/>
    </xf>
    <xf numFmtId="3" fontId="5" fillId="0" borderId="68" xfId="0" applyNumberFormat="1" applyFont="1" applyBorder="1" applyAlignment="1">
      <alignment horizontal="center"/>
    </xf>
    <xf numFmtId="3" fontId="5" fillId="0" borderId="69" xfId="0" applyNumberFormat="1" applyFont="1" applyBorder="1" applyAlignment="1">
      <alignment horizontal="center"/>
    </xf>
    <xf numFmtId="7" fontId="0" fillId="0" borderId="70" xfId="0" applyNumberFormat="1" applyFont="1" applyBorder="1" applyAlignment="1">
      <alignment horizontal="center"/>
    </xf>
    <xf numFmtId="7" fontId="0" fillId="7" borderId="71" xfId="2" applyNumberFormat="1" applyFont="1" applyFill="1" applyBorder="1" applyAlignment="1">
      <alignment horizontal="center"/>
    </xf>
    <xf numFmtId="10" fontId="0" fillId="7" borderId="72" xfId="3" applyNumberFormat="1" applyFont="1" applyFill="1" applyBorder="1" applyAlignment="1">
      <alignment horizontal="center"/>
    </xf>
    <xf numFmtId="7" fontId="0" fillId="6" borderId="73" xfId="0" applyNumberFormat="1" applyFont="1" applyFill="1" applyBorder="1" applyAlignment="1">
      <alignment horizontal="center"/>
    </xf>
    <xf numFmtId="10" fontId="0" fillId="6" borderId="69" xfId="3" applyNumberFormat="1" applyFont="1" applyFill="1" applyBorder="1" applyAlignment="1">
      <alignment horizontal="center"/>
    </xf>
    <xf numFmtId="0" fontId="5" fillId="0" borderId="16" xfId="0" applyFont="1" applyBorder="1" applyAlignment="1">
      <alignment horizontal="center"/>
    </xf>
    <xf numFmtId="3" fontId="5" fillId="0" borderId="34" xfId="0" applyNumberFormat="1" applyFont="1" applyBorder="1" applyAlignment="1">
      <alignment horizontal="center"/>
    </xf>
    <xf numFmtId="182" fontId="5" fillId="0" borderId="6" xfId="0" applyNumberFormat="1" applyFont="1" applyBorder="1" applyAlignment="1">
      <alignment horizontal="center"/>
    </xf>
    <xf numFmtId="7" fontId="0" fillId="0" borderId="23" xfId="0" applyNumberFormat="1" applyFont="1" applyBorder="1" applyAlignment="1">
      <alignment horizontal="center"/>
    </xf>
    <xf numFmtId="7" fontId="0" fillId="7" borderId="17" xfId="2" applyNumberFormat="1" applyFont="1" applyFill="1" applyBorder="1" applyAlignment="1">
      <alignment horizontal="center"/>
    </xf>
    <xf numFmtId="10" fontId="0" fillId="7" borderId="18" xfId="3" applyNumberFormat="1" applyFont="1" applyFill="1" applyBorder="1" applyAlignment="1">
      <alignment horizontal="center"/>
    </xf>
    <xf numFmtId="7" fontId="0" fillId="6" borderId="4" xfId="0" applyNumberFormat="1" applyFont="1" applyFill="1" applyBorder="1" applyAlignment="1">
      <alignment horizontal="center"/>
    </xf>
    <xf numFmtId="10" fontId="0" fillId="6" borderId="6" xfId="3" applyNumberFormat="1" applyFont="1" applyFill="1" applyBorder="1" applyAlignment="1">
      <alignment horizontal="center"/>
    </xf>
    <xf numFmtId="0" fontId="0" fillId="0" borderId="23" xfId="0" applyFont="1" applyBorder="1" applyAlignment="1">
      <alignment horizontal="center" vertical="center"/>
    </xf>
    <xf numFmtId="0" fontId="5" fillId="8" borderId="74" xfId="0" applyFont="1" applyFill="1" applyBorder="1" applyAlignment="1">
      <alignment horizontal="center"/>
    </xf>
    <xf numFmtId="7" fontId="0" fillId="8" borderId="70" xfId="0" applyNumberFormat="1" applyFont="1" applyFill="1" applyBorder="1" applyAlignment="1">
      <alignment horizontal="center"/>
    </xf>
    <xf numFmtId="7" fontId="0" fillId="8" borderId="71" xfId="2" applyNumberFormat="1" applyFont="1" applyFill="1" applyBorder="1" applyAlignment="1">
      <alignment horizontal="center"/>
    </xf>
    <xf numFmtId="10" fontId="0" fillId="8" borderId="72" xfId="3" applyNumberFormat="1" applyFont="1" applyFill="1" applyBorder="1" applyAlignment="1">
      <alignment horizontal="center"/>
    </xf>
    <xf numFmtId="7" fontId="0" fillId="8" borderId="73" xfId="0" applyNumberFormat="1" applyFont="1" applyFill="1" applyBorder="1" applyAlignment="1">
      <alignment horizontal="center"/>
    </xf>
    <xf numFmtId="10" fontId="0" fillId="8" borderId="69" xfId="3" applyNumberFormat="1" applyFont="1" applyFill="1" applyBorder="1" applyAlignment="1">
      <alignment horizontal="center"/>
    </xf>
    <xf numFmtId="0" fontId="0" fillId="8" borderId="45" xfId="0" applyFont="1" applyFill="1" applyBorder="1" applyAlignment="1">
      <alignment horizontal="center" vertical="center" wrapText="1"/>
    </xf>
    <xf numFmtId="0" fontId="5" fillId="0" borderId="37" xfId="0" applyFont="1" applyBorder="1" applyAlignment="1">
      <alignment horizontal="center"/>
    </xf>
    <xf numFmtId="3" fontId="5" fillId="0" borderId="36" xfId="0" applyNumberFormat="1" applyFont="1" applyBorder="1" applyAlignment="1">
      <alignment horizontal="center"/>
    </xf>
    <xf numFmtId="3" fontId="5" fillId="0" borderId="33" xfId="0" applyNumberFormat="1" applyFont="1" applyBorder="1" applyAlignment="1">
      <alignment horizontal="center"/>
    </xf>
    <xf numFmtId="7" fontId="0" fillId="0" borderId="24" xfId="0" applyNumberFormat="1" applyFont="1" applyBorder="1" applyAlignment="1">
      <alignment horizontal="center"/>
    </xf>
    <xf numFmtId="7" fontId="0" fillId="7" borderId="41" xfId="2" applyNumberFormat="1" applyFont="1" applyFill="1" applyBorder="1" applyAlignment="1">
      <alignment horizontal="center"/>
    </xf>
    <xf numFmtId="10" fontId="0" fillId="7" borderId="75" xfId="3" applyNumberFormat="1" applyFont="1" applyFill="1" applyBorder="1" applyAlignment="1">
      <alignment horizontal="center"/>
    </xf>
    <xf numFmtId="7" fontId="0" fillId="6" borderId="32" xfId="0" applyNumberFormat="1" applyFont="1" applyFill="1" applyBorder="1" applyAlignment="1">
      <alignment horizontal="center"/>
    </xf>
    <xf numFmtId="10" fontId="0" fillId="6" borderId="33" xfId="3" applyNumberFormat="1" applyFont="1" applyFill="1" applyBorder="1" applyAlignment="1">
      <alignment horizontal="center"/>
    </xf>
    <xf numFmtId="0" fontId="5" fillId="0" borderId="39" xfId="0" applyFont="1" applyBorder="1" applyAlignment="1">
      <alignment horizontal="center"/>
    </xf>
    <xf numFmtId="3" fontId="5" fillId="0" borderId="76" xfId="0" applyNumberFormat="1" applyFont="1" applyBorder="1" applyAlignment="1">
      <alignment horizontal="center"/>
    </xf>
    <xf numFmtId="3" fontId="5" fillId="0" borderId="43" xfId="0" applyNumberFormat="1" applyFont="1" applyBorder="1" applyAlignment="1">
      <alignment horizontal="center"/>
    </xf>
    <xf numFmtId="7" fontId="0" fillId="0" borderId="26" xfId="0" applyNumberFormat="1" applyFont="1" applyBorder="1" applyAlignment="1">
      <alignment horizontal="center"/>
    </xf>
    <xf numFmtId="7" fontId="0" fillId="7" borderId="77" xfId="2" applyNumberFormat="1" applyFont="1" applyFill="1" applyBorder="1" applyAlignment="1">
      <alignment horizontal="center"/>
    </xf>
    <xf numFmtId="10" fontId="0" fillId="7" borderId="42" xfId="3" applyNumberFormat="1" applyFont="1" applyFill="1" applyBorder="1" applyAlignment="1">
      <alignment horizontal="center"/>
    </xf>
    <xf numFmtId="7" fontId="0" fillId="6" borderId="78" xfId="0" applyNumberFormat="1" applyFont="1" applyFill="1" applyBorder="1" applyAlignment="1">
      <alignment horizontal="center"/>
    </xf>
    <xf numFmtId="10" fontId="0" fillId="6" borderId="43" xfId="3" applyNumberFormat="1" applyFont="1" applyFill="1" applyBorder="1" applyAlignment="1">
      <alignment horizontal="center"/>
    </xf>
    <xf numFmtId="43" fontId="18" fillId="0" borderId="1" xfId="1" applyNumberFormat="1" applyFont="1" applyBorder="1"/>
    <xf numFmtId="182" fontId="5" fillId="0" borderId="33" xfId="0" applyNumberFormat="1" applyFont="1" applyBorder="1" applyAlignment="1">
      <alignment horizontal="center"/>
    </xf>
    <xf numFmtId="0" fontId="0" fillId="0" borderId="38" xfId="0" applyBorder="1"/>
    <xf numFmtId="0" fontId="0" fillId="0" borderId="24"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26" xfId="0" applyFont="1" applyBorder="1" applyAlignment="1">
      <alignment horizontal="center" vertical="center" wrapText="1"/>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4" xfId="0" applyFont="1" applyBorder="1" applyAlignment="1">
      <alignment horizontal="center" vertical="center"/>
    </xf>
    <xf numFmtId="0" fontId="0" fillId="0" borderId="24" xfId="0" applyFont="1" applyBorder="1" applyAlignment="1">
      <alignment horizontal="center" vertical="center"/>
    </xf>
    <xf numFmtId="0" fontId="0" fillId="0" borderId="25" xfId="0" applyFont="1" applyBorder="1" applyAlignment="1">
      <alignment horizontal="center" vertical="center"/>
    </xf>
    <xf numFmtId="0" fontId="0" fillId="0" borderId="26"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58" xfId="0" applyFont="1" applyBorder="1" applyAlignment="1">
      <alignment horizontal="center" vertical="center"/>
    </xf>
    <xf numFmtId="0" fontId="5" fillId="0" borderId="29" xfId="0" applyFont="1" applyBorder="1" applyAlignment="1">
      <alignment horizontal="center" vertical="center"/>
    </xf>
    <xf numFmtId="0" fontId="0" fillId="0" borderId="44" xfId="0" applyFont="1" applyBorder="1" applyAlignment="1">
      <alignment horizontal="center" vertical="center" wrapText="1"/>
    </xf>
    <xf numFmtId="0" fontId="0" fillId="0" borderId="45" xfId="0" applyFont="1" applyBorder="1" applyAlignment="1">
      <alignment horizontal="center" vertical="center" wrapText="1"/>
    </xf>
    <xf numFmtId="0" fontId="0" fillId="0" borderId="46" xfId="0" applyFont="1" applyBorder="1" applyAlignment="1">
      <alignment horizontal="center" vertical="center" wrapText="1"/>
    </xf>
    <xf numFmtId="0" fontId="5" fillId="0" borderId="0" xfId="0" applyFont="1" applyBorder="1" applyAlignment="1">
      <alignment horizontal="center" vertical="center"/>
    </xf>
    <xf numFmtId="0" fontId="8" fillId="0" borderId="34" xfId="0" applyFont="1" applyBorder="1" applyAlignment="1">
      <alignment horizontal="center"/>
    </xf>
    <xf numFmtId="0" fontId="8" fillId="0" borderId="16" xfId="0" applyFont="1" applyBorder="1" applyAlignment="1">
      <alignment horizontal="center"/>
    </xf>
    <xf numFmtId="0" fontId="8" fillId="0" borderId="35" xfId="0" applyFont="1" applyBorder="1" applyAlignment="1">
      <alignment horizontal="center"/>
    </xf>
  </cellXfs>
  <cellStyles count="48">
    <cellStyle name="$" xfId="7"/>
    <cellStyle name="$_CCA-Request_H11bps" xfId="8"/>
    <cellStyle name="$_CCA-Request_H11bps July 9" xfId="9"/>
    <cellStyle name="$comma" xfId="10"/>
    <cellStyle name="_Comma" xfId="11"/>
    <cellStyle name="_Currency" xfId="12"/>
    <cellStyle name="_CurrencySpace" xfId="13"/>
    <cellStyle name="_Multiple" xfId="14"/>
    <cellStyle name="_MultipleSpace" xfId="15"/>
    <cellStyle name="_Percent" xfId="16"/>
    <cellStyle name="_PercentSpace" xfId="17"/>
    <cellStyle name="_PercentSpace_AR Analysis 061207" xfId="18"/>
    <cellStyle name="_PercentSpace_RMDx BP050513a 051212a" xfId="19"/>
    <cellStyle name="Comma" xfId="1" builtinId="3"/>
    <cellStyle name="comma zerodec" xfId="20"/>
    <cellStyle name="Currency" xfId="2" builtinId="4"/>
    <cellStyle name="Currency1" xfId="21"/>
    <cellStyle name="Dollar (zero dec)" xfId="22"/>
    <cellStyle name="Grey" xfId="23"/>
    <cellStyle name="Header1" xfId="24"/>
    <cellStyle name="Header2" xfId="25"/>
    <cellStyle name="Input [yellow]" xfId="26"/>
    <cellStyle name="multiple" xfId="27"/>
    <cellStyle name="Normal" xfId="0" builtinId="0"/>
    <cellStyle name="Normal - Style1" xfId="28"/>
    <cellStyle name="Normal 2" xfId="5"/>
    <cellStyle name="Normal 3" xfId="6"/>
    <cellStyle name="Normal 4" xfId="46"/>
    <cellStyle name="Normal 5" xfId="47"/>
    <cellStyle name="Number" xfId="29"/>
    <cellStyle name="OH01" xfId="30"/>
    <cellStyle name="OHnplode" xfId="31"/>
    <cellStyle name="Percent" xfId="3" builtinId="5"/>
    <cellStyle name="Percent [2]" xfId="32"/>
    <cellStyle name="Percent 2" xfId="4"/>
    <cellStyle name="PSChar" xfId="33"/>
    <cellStyle name="PSDate" xfId="34"/>
    <cellStyle name="PSDec" xfId="35"/>
    <cellStyle name="PSHeading" xfId="36"/>
    <cellStyle name="PSInt" xfId="37"/>
    <cellStyle name="PSSpacer" xfId="38"/>
    <cellStyle name="ShOut" xfId="39"/>
    <cellStyle name="Style 1" xfId="40"/>
    <cellStyle name="Style 2" xfId="41"/>
    <cellStyle name="Style 3" xfId="42"/>
    <cellStyle name="x" xfId="43"/>
    <cellStyle name="x_CCA-Request_H11bps" xfId="44"/>
    <cellStyle name="x_CCA-Request_H11bps July 9" xfId="45"/>
  </cellStyles>
  <dxfs count="0"/>
  <tableStyles count="0" defaultTableStyle="TableStyleMedium2" defaultPivotStyle="PivotStyleLight16"/>
  <colors>
    <mruColors>
      <color rgb="FFFFCCCC"/>
      <color rgb="FFCCFFCC"/>
      <color rgb="FFFFCCFF"/>
      <color rgb="FFFFFFFF"/>
      <color rgb="FFCCFFFF"/>
      <color rgb="FFCCCCFF"/>
      <color rgb="FFCCE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07" Type="http://schemas.openxmlformats.org/officeDocument/2006/relationships/theme" Target="theme/theme1.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externalLink" Target="externalLinks/externalLink9.xml"/><Relationship Id="rId110"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externalLink" Target="externalLinks/externalLink2.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externalLink" Target="externalLinks/externalLink7.xml"/><Relationship Id="rId105" Type="http://schemas.openxmlformats.org/officeDocument/2006/relationships/externalLink" Target="externalLinks/externalLink12.xml"/><Relationship Id="rId113"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externalLink" Target="externalLinks/externalLink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externalLink" Target="externalLinks/externalLink10.xml"/><Relationship Id="rId108"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externalLink" Target="externalLinks/externalLink3.xml"/><Relationship Id="rId11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externalLink" Target="externalLinks/externalLink13.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externalLink" Target="externalLinks/externalLink1.xml"/><Relationship Id="rId99" Type="http://schemas.openxmlformats.org/officeDocument/2006/relationships/externalLink" Target="externalLinks/externalLink6.xml"/><Relationship Id="rId101"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sharedStrings" Target="sharedStrings.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externalLink" Target="externalLinks/externalLink4.xml"/><Relationship Id="rId104" Type="http://schemas.openxmlformats.org/officeDocument/2006/relationships/externalLink" Target="externalLinks/externalLink1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ist%20Pric/2018-2022%20DX%20Rates/2020/Bill%20Impacts_2020_v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ist%20Pric/2018-2022%20DX%20Rates/2018/Bill%20Impacts_Averages_v6.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ist%20Pric/2018-2022%20DX%20Rates/2021/Inputs/acquired%20ldc%20str%20sen%20usl%20norfolk%20WORKING.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ist%20Pric/2018-2022%20DX%20Rates/2021/Inputs/acquired%20ldc%20str%20sen%20usl%20haldimand.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Dist%20Pric/2018-2022%20DX%20Rates/2021/Inputs/acquired%20ldc%20str%20sen%20usl%20woodstoc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ist%20Pric/2018-2022%20DX%20Rates/2021/Rate%20Design_2021_v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ist%20Pric/2018-2022%20DX%20Rates/2021/RTSR%20Calculation_2021_v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ist%20Pric/2018-2022%20DX%20Rates/2018/RRRPCreditCalc_2018t202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ist%20Pric/2018-2022%20DX%20Rates/2021/ST_Rate_Model_2021_v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ist%20Pric/2018-2022%20DX%20Rates/2021/Inputs/Inputs2021_v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ADDS%20Apps/Woodstock%202016_Filing_Requirements_Appendix%202PA%205%20Years_201512xx.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ADDS%20Apps/2017%20Draft%20Rate%20Order/2017%20Draft%20Rates%20for%20Rate%20Schedules%20ACQUIREDS_Updated_Dec21%20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MADDS%20Apps/Haldimand_2016%20EDR_Total%20Bill%20Impacts_201509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for Bill Impacts"/>
      <sheetName val="Bill Impact Summary"/>
      <sheetName val="BI_UR_Low"/>
      <sheetName val="BI_UR_Typical"/>
      <sheetName val="BI_UR_Avg"/>
      <sheetName val="BI_UR_High"/>
      <sheetName val="BI_R1_Low"/>
      <sheetName val="BI_R1_Typical"/>
      <sheetName val="BI_R1_Avg"/>
      <sheetName val="BI_R1_High"/>
      <sheetName val="BI_R2_Low"/>
      <sheetName val="BI_R2_Typical"/>
      <sheetName val="BI_R2_Avg"/>
      <sheetName val="BI_R2_High"/>
      <sheetName val="BI_Seas_Low"/>
      <sheetName val="BI_Seas_Typical"/>
      <sheetName val="BI_Seas_Avg"/>
      <sheetName val="BI_Seas_High"/>
      <sheetName val="BI_UGe_Low"/>
      <sheetName val="BI_UGe_Typical"/>
      <sheetName val="BI_UGe_Avg"/>
      <sheetName val="BI_UGe_High"/>
      <sheetName val="BI_GSe_Low"/>
      <sheetName val="BI_GSe_Typical"/>
      <sheetName val="BI_GSe_Avg"/>
      <sheetName val="BI_GSe_High"/>
      <sheetName val="BI_UGd_Low"/>
      <sheetName val="BI_UGd_Avg"/>
      <sheetName val="BI_UGd_High"/>
      <sheetName val="BI_GSd_Low"/>
      <sheetName val="BI_GSd_Avg"/>
      <sheetName val="BI_GSd_High"/>
      <sheetName val="BI_DGen_Low"/>
      <sheetName val="BI_DGen_Avg"/>
      <sheetName val="BI_DGen_High"/>
      <sheetName val="BI_ST_Low"/>
      <sheetName val="BI_ST_Avg"/>
      <sheetName val="BI_ST_High"/>
      <sheetName val="BI_USL_Low"/>
      <sheetName val="BI_USL_Avg"/>
      <sheetName val="BI_USL_High"/>
      <sheetName val="BI_SenLgt_Low"/>
      <sheetName val="BI_SenLgt_Avg"/>
      <sheetName val="BI_SenLgt_High"/>
      <sheetName val="BI_StLgt_Low"/>
      <sheetName val="BI_StLgt_Avg"/>
      <sheetName val="BI_StLgt_High"/>
      <sheetName val="Bill Impact Summary (2)"/>
      <sheetName val="DNP_Bill Impact Summary_FIONA"/>
      <sheetName val="DNP_Data_LoadFrcst"/>
      <sheetName val="DNP_Bill Impact SummaryLF"/>
      <sheetName val="DNP_BI_UR_AvgLF"/>
      <sheetName val="DNP_BI_R1_AvgLF"/>
      <sheetName val="DNP_BI_R2_AvgLF"/>
      <sheetName val="BI_Seas_Low (All Fixed)"/>
      <sheetName val="BI_Seas_Avg (All Fixed)"/>
      <sheetName val="DNP_BI_Seas_AvgLF"/>
      <sheetName val="BI_Seas_Low_AllFixed"/>
      <sheetName val="BI_Seas_Avg_AllFixed"/>
      <sheetName val="BI_Seas_High (All Fixed)"/>
      <sheetName val="BI_Seas_High_AllFixed"/>
      <sheetName val="DNP_BI_UGe_AvgLF"/>
      <sheetName val="DNP_BI_UGe_High OCEB CALC"/>
      <sheetName val="DNP_BI_GSe_AvgLF"/>
      <sheetName val="DNP_BI_GSe_High_OCEB CALC"/>
      <sheetName val="DNP_BI_UGd_AvgLF"/>
      <sheetName val="DNP_BI_GSd_AvgLF"/>
      <sheetName val="DNP_BI_DGen_AvgLF"/>
      <sheetName val="DNP_BI_ST_AvgLF"/>
      <sheetName val="DNP_BI_USL_AvgLF"/>
      <sheetName val="DNP_BI_SenLgt_AvgLF"/>
      <sheetName val="DNP_BI_StLgt_AvgLF"/>
      <sheetName val="Bill Impacts_2020_v6"/>
    </sheetNames>
    <sheetDataSet>
      <sheetData sheetId="0">
        <row r="3">
          <cell r="A3" t="str">
            <v>UR</v>
          </cell>
          <cell r="B3">
            <v>1.0569999999999999</v>
          </cell>
          <cell r="C3">
            <v>750</v>
          </cell>
          <cell r="D3">
            <v>600</v>
          </cell>
          <cell r="E3">
            <v>0</v>
          </cell>
          <cell r="F3" t="str">
            <v>kWh</v>
          </cell>
          <cell r="G3">
            <v>31.3</v>
          </cell>
          <cell r="H3">
            <v>0</v>
          </cell>
          <cell r="I3">
            <v>0.79</v>
          </cell>
          <cell r="J3">
            <v>4.7000000000000002E-3</v>
          </cell>
          <cell r="K3">
            <v>0</v>
          </cell>
          <cell r="L3">
            <v>0</v>
          </cell>
          <cell r="M3">
            <v>0.01</v>
          </cell>
          <cell r="N3">
            <v>2.0000000000000001E-4</v>
          </cell>
          <cell r="O3">
            <v>7.8279999999999999E-3</v>
          </cell>
          <cell r="P3">
            <v>6.4380000000000001E-3</v>
          </cell>
          <cell r="Q3">
            <v>35.880000000000003</v>
          </cell>
          <cell r="R3">
            <v>0.79</v>
          </cell>
          <cell r="S3">
            <v>0</v>
          </cell>
          <cell r="T3">
            <v>0</v>
          </cell>
          <cell r="U3">
            <v>0</v>
          </cell>
          <cell r="V3">
            <v>0.01</v>
          </cell>
          <cell r="W3">
            <v>2.0000000000000001E-4</v>
          </cell>
          <cell r="X3">
            <v>7.8279999999999999E-3</v>
          </cell>
          <cell r="Y3">
            <v>6.4380000000000001E-3</v>
          </cell>
        </row>
        <row r="4">
          <cell r="A4" t="str">
            <v>R1</v>
          </cell>
          <cell r="B4">
            <v>1.0760000000000001</v>
          </cell>
          <cell r="C4">
            <v>750</v>
          </cell>
          <cell r="D4">
            <v>600</v>
          </cell>
          <cell r="E4">
            <v>0</v>
          </cell>
          <cell r="F4" t="str">
            <v>kWh</v>
          </cell>
          <cell r="G4">
            <v>42.25</v>
          </cell>
          <cell r="H4">
            <v>0</v>
          </cell>
          <cell r="I4">
            <v>0.79</v>
          </cell>
          <cell r="J4">
            <v>1.9400000000000001E-2</v>
          </cell>
          <cell r="K4">
            <v>0</v>
          </cell>
          <cell r="L4">
            <v>0</v>
          </cell>
          <cell r="M4">
            <v>0</v>
          </cell>
          <cell r="N4">
            <v>2.0000000000000001E-4</v>
          </cell>
          <cell r="O4">
            <v>7.2069999999999999E-3</v>
          </cell>
          <cell r="P4">
            <v>6.0319999999999992E-3</v>
          </cell>
          <cell r="Q4">
            <v>47.11</v>
          </cell>
          <cell r="R4">
            <v>0.79</v>
          </cell>
          <cell r="S4">
            <v>1.6E-2</v>
          </cell>
          <cell r="T4">
            <v>0</v>
          </cell>
          <cell r="U4">
            <v>0</v>
          </cell>
          <cell r="V4">
            <v>0</v>
          </cell>
          <cell r="W4">
            <v>2.0000000000000001E-4</v>
          </cell>
          <cell r="X4">
            <v>7.2069999999999999E-3</v>
          </cell>
          <cell r="Y4">
            <v>6.0319999999999992E-3</v>
          </cell>
        </row>
        <row r="5">
          <cell r="A5" t="str">
            <v>R2</v>
          </cell>
          <cell r="B5">
            <v>1.105</v>
          </cell>
          <cell r="C5">
            <v>750</v>
          </cell>
          <cell r="D5">
            <v>600</v>
          </cell>
          <cell r="E5">
            <v>0</v>
          </cell>
          <cell r="F5" t="str">
            <v>kWh</v>
          </cell>
          <cell r="G5">
            <v>34.219678307903934</v>
          </cell>
          <cell r="H5">
            <v>0</v>
          </cell>
          <cell r="I5">
            <v>0.79</v>
          </cell>
          <cell r="J5">
            <v>3.2199999999999999E-2</v>
          </cell>
          <cell r="K5">
            <v>0</v>
          </cell>
          <cell r="L5">
            <v>0</v>
          </cell>
          <cell r="M5">
            <v>-0.02</v>
          </cell>
          <cell r="N5">
            <v>2.0000000000000001E-4</v>
          </cell>
          <cell r="O5">
            <v>6.7400000000000003E-3</v>
          </cell>
          <cell r="P5">
            <v>5.6299999999999996E-3</v>
          </cell>
          <cell r="Q5">
            <v>44.23967830790393</v>
          </cell>
          <cell r="R5">
            <v>0.79</v>
          </cell>
          <cell r="S5">
            <v>2.6800000000000001E-2</v>
          </cell>
          <cell r="T5">
            <v>0</v>
          </cell>
          <cell r="U5">
            <v>0</v>
          </cell>
          <cell r="V5">
            <v>-0.02</v>
          </cell>
          <cell r="W5">
            <v>2.0000000000000001E-4</v>
          </cell>
          <cell r="X5">
            <v>6.7400000000000003E-3</v>
          </cell>
          <cell r="Y5">
            <v>5.6299999999999996E-3</v>
          </cell>
        </row>
        <row r="6">
          <cell r="A6" t="str">
            <v>Seasonal</v>
          </cell>
          <cell r="B6">
            <v>1.1040000000000001</v>
          </cell>
          <cell r="C6">
            <v>500</v>
          </cell>
          <cell r="D6">
            <v>600</v>
          </cell>
          <cell r="E6">
            <v>0</v>
          </cell>
          <cell r="F6" t="str">
            <v>kWh</v>
          </cell>
          <cell r="G6">
            <v>45.14</v>
          </cell>
          <cell r="H6">
            <v>0</v>
          </cell>
          <cell r="I6">
            <v>0.79</v>
          </cell>
          <cell r="J6">
            <v>5.2999999999999999E-2</v>
          </cell>
          <cell r="K6">
            <v>0</v>
          </cell>
          <cell r="L6">
            <v>0</v>
          </cell>
          <cell r="M6">
            <v>0</v>
          </cell>
          <cell r="N6">
            <v>2.0000000000000001E-4</v>
          </cell>
          <cell r="O6">
            <v>5.6559999999999996E-3</v>
          </cell>
          <cell r="P6">
            <v>4.8209999999999998E-3</v>
          </cell>
          <cell r="Q6">
            <v>50.12</v>
          </cell>
          <cell r="R6">
            <v>0.79</v>
          </cell>
          <cell r="S6">
            <v>4.3900000000000002E-2</v>
          </cell>
          <cell r="T6">
            <v>0</v>
          </cell>
          <cell r="U6">
            <v>0</v>
          </cell>
          <cell r="V6">
            <v>0</v>
          </cell>
          <cell r="W6">
            <v>2.0000000000000001E-4</v>
          </cell>
          <cell r="X6">
            <v>5.6559999999999996E-3</v>
          </cell>
          <cell r="Y6">
            <v>4.8209999999999998E-3</v>
          </cell>
        </row>
        <row r="7">
          <cell r="A7" t="str">
            <v>GSe</v>
          </cell>
          <cell r="B7">
            <v>1.0960000000000001</v>
          </cell>
          <cell r="C7">
            <v>2000</v>
          </cell>
          <cell r="D7">
            <v>750</v>
          </cell>
          <cell r="E7">
            <v>0</v>
          </cell>
          <cell r="F7" t="str">
            <v>kWh</v>
          </cell>
          <cell r="G7">
            <v>30.26</v>
          </cell>
          <cell r="H7">
            <v>0</v>
          </cell>
          <cell r="I7">
            <v>0.79</v>
          </cell>
          <cell r="J7">
            <v>6.1400000000000003E-2</v>
          </cell>
          <cell r="K7">
            <v>0</v>
          </cell>
          <cell r="L7">
            <v>0</v>
          </cell>
          <cell r="M7">
            <v>0</v>
          </cell>
          <cell r="N7">
            <v>2.0000000000000001E-4</v>
          </cell>
          <cell r="O7">
            <v>5.6930000000000001E-3</v>
          </cell>
          <cell r="P7">
            <v>4.4740000000000005E-3</v>
          </cell>
          <cell r="Q7">
            <v>30.91</v>
          </cell>
          <cell r="R7">
            <v>0.79</v>
          </cell>
          <cell r="S7">
            <v>6.3399999999999998E-2</v>
          </cell>
          <cell r="T7">
            <v>1.9E-3</v>
          </cell>
          <cell r="U7">
            <v>1.9E-3</v>
          </cell>
          <cell r="V7">
            <v>0</v>
          </cell>
          <cell r="W7">
            <v>2.0000000000000001E-4</v>
          </cell>
          <cell r="X7">
            <v>5.6930000000000001E-3</v>
          </cell>
          <cell r="Y7">
            <v>4.4740000000000005E-3</v>
          </cell>
        </row>
        <row r="8">
          <cell r="A8" t="str">
            <v>UGe</v>
          </cell>
          <cell r="B8">
            <v>1.0669999999999999</v>
          </cell>
          <cell r="C8">
            <v>2000</v>
          </cell>
          <cell r="D8">
            <v>750</v>
          </cell>
          <cell r="E8">
            <v>0</v>
          </cell>
          <cell r="F8" t="str">
            <v>kWh</v>
          </cell>
          <cell r="G8">
            <v>24.52</v>
          </cell>
          <cell r="H8">
            <v>0</v>
          </cell>
          <cell r="I8">
            <v>0.79</v>
          </cell>
          <cell r="J8">
            <v>2.9000000000000001E-2</v>
          </cell>
          <cell r="K8">
            <v>0</v>
          </cell>
          <cell r="L8">
            <v>0</v>
          </cell>
          <cell r="M8">
            <v>0.01</v>
          </cell>
          <cell r="N8">
            <v>2.0000000000000001E-4</v>
          </cell>
          <cell r="O8">
            <v>6.1060000000000003E-3</v>
          </cell>
          <cell r="P8">
            <v>4.6519999999999999E-3</v>
          </cell>
          <cell r="Q8">
            <v>25.11</v>
          </cell>
          <cell r="R8">
            <v>0.79</v>
          </cell>
          <cell r="S8">
            <v>0.03</v>
          </cell>
          <cell r="T8">
            <v>1.9E-3</v>
          </cell>
          <cell r="U8">
            <v>1.9E-3</v>
          </cell>
          <cell r="V8">
            <v>0.01</v>
          </cell>
          <cell r="W8">
            <v>2.0000000000000001E-4</v>
          </cell>
          <cell r="X8">
            <v>6.1060000000000003E-3</v>
          </cell>
          <cell r="Y8">
            <v>4.6519999999999999E-3</v>
          </cell>
        </row>
        <row r="9">
          <cell r="A9" t="str">
            <v>St Lgt</v>
          </cell>
          <cell r="B9">
            <v>1.0920000000000001</v>
          </cell>
          <cell r="C9">
            <v>1440</v>
          </cell>
          <cell r="D9">
            <v>750</v>
          </cell>
          <cell r="E9">
            <v>0</v>
          </cell>
          <cell r="F9" t="str">
            <v>kWh</v>
          </cell>
          <cell r="G9">
            <v>4.21</v>
          </cell>
          <cell r="H9">
            <v>0</v>
          </cell>
          <cell r="I9">
            <v>0</v>
          </cell>
          <cell r="J9">
            <v>0.1013</v>
          </cell>
          <cell r="K9">
            <v>0</v>
          </cell>
          <cell r="L9">
            <v>0</v>
          </cell>
          <cell r="M9">
            <v>0</v>
          </cell>
          <cell r="N9">
            <v>2.0000000000000001E-4</v>
          </cell>
          <cell r="O9">
            <v>4.6979999999999999E-3</v>
          </cell>
          <cell r="P9">
            <v>4.2899999999999995E-3</v>
          </cell>
          <cell r="Q9">
            <v>4.33</v>
          </cell>
          <cell r="R9">
            <v>0</v>
          </cell>
          <cell r="S9">
            <v>0.10440000000000001</v>
          </cell>
          <cell r="T9">
            <v>0</v>
          </cell>
          <cell r="U9">
            <v>0</v>
          </cell>
          <cell r="V9">
            <v>0</v>
          </cell>
          <cell r="W9">
            <v>2.0000000000000001E-4</v>
          </cell>
          <cell r="X9">
            <v>4.6979999999999999E-3</v>
          </cell>
          <cell r="Y9">
            <v>4.2899999999999995E-3</v>
          </cell>
        </row>
        <row r="10">
          <cell r="A10" t="str">
            <v>Sen Lgt</v>
          </cell>
          <cell r="B10">
            <v>1.0920000000000001</v>
          </cell>
          <cell r="C10">
            <v>62</v>
          </cell>
          <cell r="D10">
            <v>750</v>
          </cell>
          <cell r="E10">
            <v>0</v>
          </cell>
          <cell r="F10" t="str">
            <v>kWh</v>
          </cell>
          <cell r="G10">
            <v>3.26</v>
          </cell>
          <cell r="H10">
            <v>0</v>
          </cell>
          <cell r="I10">
            <v>0</v>
          </cell>
          <cell r="J10">
            <v>0.1239</v>
          </cell>
          <cell r="K10">
            <v>0</v>
          </cell>
          <cell r="L10">
            <v>0</v>
          </cell>
          <cell r="M10">
            <v>0</v>
          </cell>
          <cell r="N10">
            <v>1E-4</v>
          </cell>
          <cell r="O10">
            <v>4.6979999999999999E-3</v>
          </cell>
          <cell r="P10">
            <v>4.2899999999999995E-3</v>
          </cell>
          <cell r="Q10">
            <v>3.45</v>
          </cell>
          <cell r="R10">
            <v>0</v>
          </cell>
          <cell r="S10">
            <v>0.13120000000000001</v>
          </cell>
          <cell r="T10">
            <v>0</v>
          </cell>
          <cell r="U10">
            <v>0</v>
          </cell>
          <cell r="V10">
            <v>0</v>
          </cell>
          <cell r="W10">
            <v>1E-4</v>
          </cell>
          <cell r="X10">
            <v>4.6979999999999999E-3</v>
          </cell>
          <cell r="Y10">
            <v>4.2899999999999995E-3</v>
          </cell>
        </row>
        <row r="11">
          <cell r="A11" t="str">
            <v>USL</v>
          </cell>
          <cell r="B11">
            <v>1.0920000000000001</v>
          </cell>
          <cell r="C11">
            <v>500</v>
          </cell>
          <cell r="D11">
            <v>750</v>
          </cell>
          <cell r="E11">
            <v>0</v>
          </cell>
          <cell r="F11" t="str">
            <v>kWh</v>
          </cell>
          <cell r="G11">
            <v>35.76</v>
          </cell>
          <cell r="H11">
            <v>0</v>
          </cell>
          <cell r="I11">
            <v>0</v>
          </cell>
          <cell r="J11">
            <v>2.93E-2</v>
          </cell>
          <cell r="K11">
            <v>0</v>
          </cell>
          <cell r="L11">
            <v>0</v>
          </cell>
          <cell r="M11">
            <v>-0.01</v>
          </cell>
          <cell r="N11">
            <v>2.0000000000000001E-4</v>
          </cell>
          <cell r="O11">
            <v>4.7699999999999999E-3</v>
          </cell>
          <cell r="P11">
            <v>3.7950000000000002E-3</v>
          </cell>
          <cell r="Q11">
            <v>36.880000000000003</v>
          </cell>
          <cell r="R11">
            <v>0</v>
          </cell>
          <cell r="S11">
            <v>0.03</v>
          </cell>
          <cell r="T11">
            <v>0</v>
          </cell>
          <cell r="U11">
            <v>0</v>
          </cell>
          <cell r="V11">
            <v>-0.01</v>
          </cell>
          <cell r="W11">
            <v>2.0000000000000001E-4</v>
          </cell>
          <cell r="X11">
            <v>4.7699999999999999E-3</v>
          </cell>
          <cell r="Y11">
            <v>3.7950000000000002E-3</v>
          </cell>
        </row>
        <row r="12">
          <cell r="A12" t="str">
            <v>GSd</v>
          </cell>
          <cell r="B12">
            <v>1.0609999999999999</v>
          </cell>
          <cell r="C12">
            <v>36000</v>
          </cell>
          <cell r="D12">
            <v>0</v>
          </cell>
          <cell r="E12">
            <v>117</v>
          </cell>
          <cell r="F12" t="str">
            <v>kW</v>
          </cell>
          <cell r="G12">
            <v>104.42</v>
          </cell>
          <cell r="H12">
            <v>0</v>
          </cell>
          <cell r="I12">
            <v>0</v>
          </cell>
          <cell r="J12">
            <v>17.353200000000001</v>
          </cell>
          <cell r="K12">
            <v>0</v>
          </cell>
          <cell r="L12">
            <v>0</v>
          </cell>
          <cell r="M12">
            <v>-0.02</v>
          </cell>
          <cell r="N12">
            <v>4.7E-2</v>
          </cell>
          <cell r="O12">
            <v>1.6718177000000001</v>
          </cell>
          <cell r="P12">
            <v>1.2769135</v>
          </cell>
          <cell r="Q12">
            <v>106.28</v>
          </cell>
          <cell r="R12">
            <v>0</v>
          </cell>
          <cell r="S12">
            <v>17.8734</v>
          </cell>
          <cell r="T12">
            <v>1.9E-3</v>
          </cell>
          <cell r="U12">
            <v>1.9E-3</v>
          </cell>
          <cell r="V12">
            <v>-0.02</v>
          </cell>
          <cell r="W12">
            <v>4.7E-2</v>
          </cell>
          <cell r="X12">
            <v>1.6718177000000001</v>
          </cell>
          <cell r="Y12">
            <v>1.2769135</v>
          </cell>
        </row>
        <row r="13">
          <cell r="A13" t="str">
            <v>UGd</v>
          </cell>
          <cell r="B13">
            <v>1.05</v>
          </cell>
          <cell r="C13">
            <v>36000</v>
          </cell>
          <cell r="D13">
            <v>0</v>
          </cell>
          <cell r="E13">
            <v>117</v>
          </cell>
          <cell r="F13" t="str">
            <v>kW</v>
          </cell>
          <cell r="G13">
            <v>102.94</v>
          </cell>
          <cell r="H13">
            <v>0</v>
          </cell>
          <cell r="I13">
            <v>0</v>
          </cell>
          <cell r="J13">
            <v>9.9375</v>
          </cell>
          <cell r="K13">
            <v>0</v>
          </cell>
          <cell r="L13">
            <v>0</v>
          </cell>
          <cell r="M13">
            <v>0.01</v>
          </cell>
          <cell r="N13">
            <v>6.4600000000000005E-2</v>
          </cell>
          <cell r="O13">
            <v>2.2310400000000001</v>
          </cell>
          <cell r="P13">
            <v>1.7046749999999999</v>
          </cell>
          <cell r="Q13">
            <v>105.1</v>
          </cell>
          <cell r="R13">
            <v>0</v>
          </cell>
          <cell r="S13">
            <v>10.236800000000001</v>
          </cell>
          <cell r="T13">
            <v>1.9E-3</v>
          </cell>
          <cell r="U13">
            <v>1.9E-3</v>
          </cell>
          <cell r="V13">
            <v>0.01</v>
          </cell>
          <cell r="W13">
            <v>6.4600000000000005E-2</v>
          </cell>
          <cell r="X13">
            <v>2.2310400000000001</v>
          </cell>
          <cell r="Y13">
            <v>1.7046749999999999</v>
          </cell>
        </row>
        <row r="14">
          <cell r="A14" t="str">
            <v>Dgen</v>
          </cell>
          <cell r="B14">
            <v>1.0609999999999999</v>
          </cell>
          <cell r="C14">
            <v>2000</v>
          </cell>
          <cell r="D14">
            <v>0</v>
          </cell>
          <cell r="E14">
            <v>15</v>
          </cell>
          <cell r="F14" t="str">
            <v>kW</v>
          </cell>
          <cell r="G14">
            <v>198.03</v>
          </cell>
          <cell r="H14">
            <v>0</v>
          </cell>
          <cell r="I14">
            <v>0</v>
          </cell>
          <cell r="J14">
            <v>9.5955999999999992</v>
          </cell>
          <cell r="K14">
            <v>0</v>
          </cell>
          <cell r="L14">
            <v>0</v>
          </cell>
          <cell r="M14">
            <v>0.01</v>
          </cell>
          <cell r="N14">
            <v>1.72E-2</v>
          </cell>
          <cell r="O14">
            <v>0.63108279999999994</v>
          </cell>
          <cell r="P14">
            <v>0.54747599999999996</v>
          </cell>
          <cell r="Q14">
            <v>198.03</v>
          </cell>
          <cell r="R14">
            <v>0</v>
          </cell>
          <cell r="S14">
            <v>10.379</v>
          </cell>
          <cell r="T14">
            <v>1.9E-3</v>
          </cell>
          <cell r="U14">
            <v>1.9E-3</v>
          </cell>
          <cell r="V14">
            <v>0.01</v>
          </cell>
          <cell r="W14">
            <v>1.72E-2</v>
          </cell>
          <cell r="X14">
            <v>0.63108279999999994</v>
          </cell>
          <cell r="Y14">
            <v>0.54747599999999996</v>
          </cell>
        </row>
        <row r="15">
          <cell r="A15" t="str">
            <v>ST</v>
          </cell>
          <cell r="B15">
            <v>1.034</v>
          </cell>
          <cell r="C15">
            <v>36000</v>
          </cell>
          <cell r="D15">
            <v>0</v>
          </cell>
          <cell r="E15">
            <v>117</v>
          </cell>
          <cell r="F15" t="str">
            <v>kW</v>
          </cell>
          <cell r="G15">
            <v>1226.6300000000001</v>
          </cell>
          <cell r="H15">
            <v>0</v>
          </cell>
          <cell r="I15">
            <v>0</v>
          </cell>
          <cell r="J15">
            <v>1.3683020513538697</v>
          </cell>
          <cell r="K15">
            <v>0</v>
          </cell>
          <cell r="L15">
            <v>0</v>
          </cell>
          <cell r="M15">
            <v>3.83</v>
          </cell>
          <cell r="N15">
            <v>0.27289999999999998</v>
          </cell>
          <cell r="O15">
            <v>3.4866480000000002</v>
          </cell>
          <cell r="P15">
            <v>2.6021643999999999</v>
          </cell>
          <cell r="Q15">
            <v>1256.8800000000001</v>
          </cell>
          <cell r="R15">
            <v>0</v>
          </cell>
          <cell r="S15">
            <v>1.4140356552332787</v>
          </cell>
          <cell r="T15">
            <v>1.9E-3</v>
          </cell>
          <cell r="U15">
            <v>1.9E-3</v>
          </cell>
          <cell r="V15">
            <v>3.83</v>
          </cell>
          <cell r="W15">
            <v>0.27289999999999998</v>
          </cell>
          <cell r="X15">
            <v>3.4866480000000002</v>
          </cell>
          <cell r="Y15">
            <v>2.6021643999999999</v>
          </cell>
        </row>
        <row r="16">
          <cell r="G16">
            <v>0</v>
          </cell>
          <cell r="H16">
            <v>0</v>
          </cell>
          <cell r="I16">
            <v>0</v>
          </cell>
          <cell r="J16">
            <v>0</v>
          </cell>
          <cell r="K16">
            <v>0</v>
          </cell>
          <cell r="L16">
            <v>0</v>
          </cell>
          <cell r="M16">
            <v>0</v>
          </cell>
          <cell r="N16">
            <v>0</v>
          </cell>
          <cell r="O16" t="str">
            <v>RTSR-N</v>
          </cell>
          <cell r="P16" t="str">
            <v>RTSR-C</v>
          </cell>
          <cell r="T16">
            <v>0</v>
          </cell>
          <cell r="U16">
            <v>0</v>
          </cell>
          <cell r="V16">
            <v>0</v>
          </cell>
          <cell r="W16">
            <v>0</v>
          </cell>
          <cell r="X16">
            <v>0</v>
          </cell>
        </row>
      </sheetData>
      <sheetData sheetId="1">
        <row r="2">
          <cell r="F2">
            <v>2.9349999999999952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9">
          <cell r="A9" t="str">
            <v>UR</v>
          </cell>
          <cell r="B9">
            <v>0</v>
          </cell>
          <cell r="C9">
            <v>225944.18649169474</v>
          </cell>
          <cell r="D9">
            <v>2047.2628889178184</v>
          </cell>
          <cell r="E9">
            <v>0</v>
          </cell>
          <cell r="F9">
            <v>1.0569999999999999</v>
          </cell>
          <cell r="G9">
            <v>170605240.74315152</v>
          </cell>
          <cell r="H9">
            <v>755</v>
          </cell>
          <cell r="I9">
            <v>0</v>
          </cell>
        </row>
        <row r="10">
          <cell r="A10" t="str">
            <v>R1</v>
          </cell>
          <cell r="B10">
            <v>0</v>
          </cell>
          <cell r="C10">
            <v>446101.51280686347</v>
          </cell>
          <cell r="D10">
            <v>4924.0683025766612</v>
          </cell>
          <cell r="E10">
            <v>0</v>
          </cell>
          <cell r="F10">
            <v>1.0760000000000001</v>
          </cell>
          <cell r="G10">
            <v>410339025.21472174</v>
          </cell>
          <cell r="H10">
            <v>920</v>
          </cell>
          <cell r="I10">
            <v>0</v>
          </cell>
        </row>
        <row r="11">
          <cell r="A11" t="str">
            <v>R2</v>
          </cell>
          <cell r="B11">
            <v>0</v>
          </cell>
          <cell r="C11">
            <v>328410.3530898749</v>
          </cell>
          <cell r="D11">
            <v>4539.3673058441782</v>
          </cell>
          <cell r="E11">
            <v>0</v>
          </cell>
          <cell r="F11">
            <v>1.105</v>
          </cell>
          <cell r="G11">
            <v>378280608.8203482</v>
          </cell>
          <cell r="H11">
            <v>1152</v>
          </cell>
          <cell r="I11">
            <v>0</v>
          </cell>
        </row>
        <row r="12">
          <cell r="A12" t="str">
            <v>Seasonal</v>
          </cell>
          <cell r="B12">
            <v>0</v>
          </cell>
          <cell r="C12">
            <v>149484.64840405117</v>
          </cell>
          <cell r="D12">
            <v>631.92121602545365</v>
          </cell>
          <cell r="E12">
            <v>0</v>
          </cell>
          <cell r="F12">
            <v>1.1040000000000001</v>
          </cell>
          <cell r="G12">
            <v>52660101.335454471</v>
          </cell>
          <cell r="H12">
            <v>352</v>
          </cell>
          <cell r="I12">
            <v>0</v>
          </cell>
        </row>
        <row r="13">
          <cell r="A13" t="str">
            <v>GSe</v>
          </cell>
          <cell r="B13">
            <v>0</v>
          </cell>
          <cell r="C13">
            <v>88483.899806478017</v>
          </cell>
          <cell r="D13">
            <v>2104.034979835551</v>
          </cell>
          <cell r="E13">
            <v>0</v>
          </cell>
          <cell r="F13">
            <v>1.0960000000000001</v>
          </cell>
          <cell r="G13">
            <v>175336248.31962925</v>
          </cell>
          <cell r="H13">
            <v>1982</v>
          </cell>
          <cell r="I13">
            <v>0</v>
          </cell>
        </row>
        <row r="14">
          <cell r="A14" t="str">
            <v>GSd</v>
          </cell>
          <cell r="B14">
            <v>0</v>
          </cell>
          <cell r="C14">
            <v>5405.649614848262</v>
          </cell>
          <cell r="D14">
            <v>2341.9790377935678</v>
          </cell>
          <cell r="E14">
            <v>8025918.0344505152</v>
          </cell>
          <cell r="F14">
            <v>1.0669999999999999</v>
          </cell>
          <cell r="G14">
            <v>195164919.81613064</v>
          </cell>
          <cell r="H14">
            <v>36104</v>
          </cell>
          <cell r="I14">
            <v>124</v>
          </cell>
        </row>
        <row r="15">
          <cell r="A15" t="str">
            <v>UGe</v>
          </cell>
          <cell r="B15">
            <v>0</v>
          </cell>
          <cell r="C15">
            <v>18073.874182670519</v>
          </cell>
          <cell r="D15">
            <v>598.36676536535117</v>
          </cell>
          <cell r="E15">
            <v>0</v>
          </cell>
          <cell r="F15">
            <v>1.0920000000000001</v>
          </cell>
          <cell r="G15">
            <v>49863897.113779269</v>
          </cell>
          <cell r="H15">
            <v>2759</v>
          </cell>
          <cell r="I15">
            <v>0</v>
          </cell>
        </row>
        <row r="16">
          <cell r="A16" t="str">
            <v>UGd</v>
          </cell>
          <cell r="B16">
            <v>0</v>
          </cell>
          <cell r="C16">
            <v>1744.2364648136806</v>
          </cell>
          <cell r="D16">
            <v>1057.5260278163953</v>
          </cell>
          <cell r="E16">
            <v>2832322.4440301014</v>
          </cell>
          <cell r="F16">
            <v>1.0920000000000001</v>
          </cell>
          <cell r="G16">
            <v>88127168.984699607</v>
          </cell>
          <cell r="H16">
            <v>50525</v>
          </cell>
          <cell r="I16">
            <v>135</v>
          </cell>
        </row>
        <row r="17">
          <cell r="A17" t="str">
            <v>St Lgt</v>
          </cell>
          <cell r="B17">
            <v>0</v>
          </cell>
          <cell r="C17">
            <v>19544.852415994977</v>
          </cell>
          <cell r="D17">
            <v>121.36784768686539</v>
          </cell>
          <cell r="E17">
            <v>0</v>
          </cell>
          <cell r="F17">
            <v>1.0920000000000001</v>
          </cell>
          <cell r="G17">
            <v>10113987.307238782</v>
          </cell>
          <cell r="H17">
            <v>517</v>
          </cell>
          <cell r="I17">
            <v>0</v>
          </cell>
        </row>
        <row r="18">
          <cell r="A18" t="str">
            <v>Sen Lgt</v>
          </cell>
          <cell r="B18">
            <v>0</v>
          </cell>
          <cell r="C18">
            <v>23986.843457437422</v>
          </cell>
          <cell r="D18">
            <v>20.385578156035042</v>
          </cell>
          <cell r="E18">
            <v>0</v>
          </cell>
          <cell r="F18">
            <v>1.0609999999999999</v>
          </cell>
          <cell r="G18">
            <v>1698798.1796695869</v>
          </cell>
          <cell r="H18">
            <v>71</v>
          </cell>
          <cell r="I18">
            <v>0</v>
          </cell>
        </row>
        <row r="19">
          <cell r="A19" t="str">
            <v>USL</v>
          </cell>
          <cell r="B19">
            <v>0</v>
          </cell>
          <cell r="C19">
            <v>5597.258733734303</v>
          </cell>
          <cell r="D19">
            <v>24.437189604035659</v>
          </cell>
          <cell r="E19">
            <v>0</v>
          </cell>
          <cell r="F19">
            <v>1.05</v>
          </cell>
          <cell r="G19">
            <v>2036432.4670029718</v>
          </cell>
          <cell r="H19">
            <v>364</v>
          </cell>
          <cell r="I19">
            <v>0</v>
          </cell>
        </row>
        <row r="20">
          <cell r="A20" t="str">
            <v>DGen</v>
          </cell>
          <cell r="B20">
            <v>0</v>
          </cell>
          <cell r="C20">
            <v>1152.4825649576753</v>
          </cell>
          <cell r="D20">
            <v>18.36807032833428</v>
          </cell>
          <cell r="E20">
            <v>184739.19535572777</v>
          </cell>
          <cell r="F20">
            <v>1.0609999999999999</v>
          </cell>
          <cell r="G20">
            <v>1530672.5273611899</v>
          </cell>
          <cell r="H20">
            <v>1328</v>
          </cell>
          <cell r="I20">
            <v>13</v>
          </cell>
        </row>
        <row r="21">
          <cell r="A21" t="str">
            <v>ST</v>
          </cell>
          <cell r="B21">
            <v>0</v>
          </cell>
          <cell r="C21">
            <v>808.24672285681027</v>
          </cell>
          <cell r="D21">
            <v>15528.383150724745</v>
          </cell>
          <cell r="E21">
            <v>29977946.365926702</v>
          </cell>
          <cell r="F21">
            <v>1.034</v>
          </cell>
          <cell r="G21">
            <v>1294031929.227062</v>
          </cell>
          <cell r="H21">
            <v>1601036</v>
          </cell>
          <cell r="I21">
            <v>3091</v>
          </cell>
        </row>
        <row r="22">
          <cell r="A22" t="str">
            <v>AUR</v>
          </cell>
          <cell r="B22">
            <v>0</v>
          </cell>
          <cell r="C22">
            <v>15311.903572352236</v>
          </cell>
          <cell r="D22">
            <v>92.804244895154866</v>
          </cell>
          <cell r="E22">
            <v>0</v>
          </cell>
          <cell r="F22">
            <v>0</v>
          </cell>
          <cell r="G22">
            <v>7733687.0745962383</v>
          </cell>
          <cell r="H22">
            <v>505</v>
          </cell>
          <cell r="I22">
            <v>0</v>
          </cell>
        </row>
        <row r="23">
          <cell r="A23" t="str">
            <v>AUGe</v>
          </cell>
          <cell r="B23">
            <v>0</v>
          </cell>
          <cell r="C23">
            <v>1338.5189081990445</v>
          </cell>
          <cell r="D23">
            <v>43.284078687074945</v>
          </cell>
          <cell r="E23">
            <v>0</v>
          </cell>
          <cell r="F23">
            <v>0</v>
          </cell>
          <cell r="G23">
            <v>3607006.5572562455</v>
          </cell>
          <cell r="H23">
            <v>2695</v>
          </cell>
          <cell r="I23">
            <v>0</v>
          </cell>
        </row>
        <row r="24">
          <cell r="A24" t="str">
            <v>AUGd</v>
          </cell>
          <cell r="B24">
            <v>0</v>
          </cell>
          <cell r="C24">
            <v>193.59999999999997</v>
          </cell>
          <cell r="D24">
            <v>142.27159249812493</v>
          </cell>
          <cell r="E24">
            <v>410748.84242995875</v>
          </cell>
          <cell r="F24">
            <v>0</v>
          </cell>
          <cell r="G24">
            <v>11855966.041510411</v>
          </cell>
          <cell r="H24">
            <v>61239</v>
          </cell>
          <cell r="I24">
            <v>177</v>
          </cell>
        </row>
        <row r="25">
          <cell r="A25" t="str">
            <v>AR</v>
          </cell>
          <cell r="B25">
            <v>0</v>
          </cell>
          <cell r="C25">
            <v>37768.854836221115</v>
          </cell>
          <cell r="D25">
            <v>287.24041877598773</v>
          </cell>
          <cell r="E25">
            <v>0</v>
          </cell>
          <cell r="F25">
            <v>0</v>
          </cell>
          <cell r="G25">
            <v>23936701.564665645</v>
          </cell>
          <cell r="H25">
            <v>634</v>
          </cell>
          <cell r="I25">
            <v>0</v>
          </cell>
        </row>
        <row r="26">
          <cell r="A26" t="str">
            <v>AGSe</v>
          </cell>
          <cell r="B26">
            <v>0</v>
          </cell>
          <cell r="C26">
            <v>4338.8425960310306</v>
          </cell>
          <cell r="D26">
            <v>103.5130373005651</v>
          </cell>
          <cell r="E26">
            <v>0</v>
          </cell>
          <cell r="F26">
            <v>0</v>
          </cell>
          <cell r="G26">
            <v>8626086.4417137597</v>
          </cell>
          <cell r="H26">
            <v>1988</v>
          </cell>
          <cell r="I26">
            <v>0</v>
          </cell>
        </row>
        <row r="27">
          <cell r="A27" t="str">
            <v>AGSd</v>
          </cell>
          <cell r="B27">
            <v>0</v>
          </cell>
          <cell r="C27">
            <v>364.81491330236395</v>
          </cell>
          <cell r="D27">
            <v>235.94113023110026</v>
          </cell>
          <cell r="E27">
            <v>663644.2019348524</v>
          </cell>
          <cell r="F27">
            <v>0</v>
          </cell>
          <cell r="G27">
            <v>19661760.85259169</v>
          </cell>
          <cell r="H27">
            <v>53895</v>
          </cell>
          <cell r="I27">
            <v>152</v>
          </cell>
        </row>
      </sheetData>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6"/>
      <sheetName val="Sheet2"/>
      <sheetName val="Sheet3"/>
      <sheetName val="norfolk"/>
      <sheetName val="Sheet7"/>
      <sheetName val="SNLa-KW"/>
      <sheetName val="SNL_clean"/>
      <sheetName val="SNL_KWH"/>
      <sheetName val="STR"/>
      <sheetName val="USL"/>
      <sheetName val="average"/>
    </sheetNames>
    <sheetDataSet>
      <sheetData sheetId="0"/>
      <sheetData sheetId="1"/>
      <sheetData sheetId="2"/>
      <sheetData sheetId="3">
        <row r="9">
          <cell r="U9">
            <v>3.6042406640747894E-3</v>
          </cell>
          <cell r="V9">
            <v>126.02277222660564</v>
          </cell>
        </row>
      </sheetData>
      <sheetData sheetId="4"/>
      <sheetData sheetId="5"/>
      <sheetData sheetId="6"/>
      <sheetData sheetId="7"/>
      <sheetData sheetId="8">
        <row r="25">
          <cell r="U25">
            <v>3.0178033551474743E-3</v>
          </cell>
        </row>
      </sheetData>
      <sheetData sheetId="9"/>
      <sheetData sheetId="10">
        <row r="4">
          <cell r="B4">
            <v>945.37196740482466</v>
          </cell>
        </row>
        <row r="5">
          <cell r="B5">
            <v>1367.6845611291665</v>
          </cell>
          <cell r="C5">
            <v>4.1274030573589995</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ldimand"/>
      <sheetName val="str"/>
      <sheetName val="usl"/>
      <sheetName val="SNL"/>
      <sheetName val="Average"/>
    </sheetNames>
    <sheetDataSet>
      <sheetData sheetId="0"/>
      <sheetData sheetId="1">
        <row r="2">
          <cell r="F2">
            <v>723.46999999999991</v>
          </cell>
        </row>
      </sheetData>
      <sheetData sheetId="2"/>
      <sheetData sheetId="3"/>
      <sheetData sheetId="4">
        <row r="3">
          <cell r="J3">
            <v>550.73927083333308</v>
          </cell>
        </row>
        <row r="5">
          <cell r="J5">
            <v>105611.58783602084</v>
          </cell>
        </row>
        <row r="10">
          <cell r="L10">
            <v>2.5953010310481887E-3</v>
          </cell>
        </row>
        <row r="12">
          <cell r="J12">
            <v>274.09386280146123</v>
          </cell>
        </row>
        <row r="14">
          <cell r="J14">
            <v>131.07998865929491</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odstock"/>
      <sheetName val="str"/>
      <sheetName val="usl"/>
    </sheetNames>
    <sheetDataSet>
      <sheetData sheetId="0"/>
      <sheetData sheetId="1">
        <row r="2">
          <cell r="C2">
            <v>9360.8938710000002</v>
          </cell>
        </row>
        <row r="5">
          <cell r="F5">
            <v>2.7434625994740259E-3</v>
          </cell>
        </row>
        <row r="8">
          <cell r="F8">
            <v>76826.384713261112</v>
          </cell>
        </row>
      </sheetData>
      <sheetData sheetId="2">
        <row r="39">
          <cell r="F39">
            <v>1544.8923697916664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e Design"/>
      <sheetName val="Rate Design_2021_v6"/>
    </sheetNames>
    <sheetDataSet>
      <sheetData sheetId="0">
        <row r="8">
          <cell r="A8" t="str">
            <v>UR</v>
          </cell>
          <cell r="R8" t="str">
            <v>UR</v>
          </cell>
          <cell r="S8">
            <v>36.724047374568904</v>
          </cell>
          <cell r="T8">
            <v>103159889.2145153</v>
          </cell>
          <cell r="U8">
            <v>-7.4505805969238281E-9</v>
          </cell>
          <cell r="V8">
            <v>-3.5900029645684846E-16</v>
          </cell>
          <cell r="W8">
            <v>0</v>
          </cell>
        </row>
        <row r="9">
          <cell r="R9" t="str">
            <v>R1</v>
          </cell>
          <cell r="S9">
            <v>52.35650791521914</v>
          </cell>
          <cell r="T9">
            <v>287505157.18829328</v>
          </cell>
          <cell r="U9">
            <v>57620270.828499615</v>
          </cell>
          <cell r="V9">
            <v>1.1590855671086233</v>
          </cell>
          <cell r="W9">
            <v>0</v>
          </cell>
        </row>
        <row r="10">
          <cell r="R10" t="str">
            <v>R2</v>
          </cell>
          <cell r="S10">
            <v>118.90865105604108</v>
          </cell>
          <cell r="T10">
            <v>475833622.39551902</v>
          </cell>
          <cell r="U10">
            <v>88666293.266879261</v>
          </cell>
          <cell r="V10">
            <v>2.0033092083089081</v>
          </cell>
          <cell r="W10">
            <v>0</v>
          </cell>
        </row>
        <row r="11">
          <cell r="R11" t="str">
            <v>Seasonal</v>
          </cell>
          <cell r="S11">
            <v>55.398213241939864</v>
          </cell>
          <cell r="T11">
            <v>100012834.49609302</v>
          </cell>
          <cell r="U11">
            <v>19057981.711279228</v>
          </cell>
          <cell r="V11">
            <v>3.147514468717616</v>
          </cell>
          <cell r="W11">
            <v>0</v>
          </cell>
        </row>
        <row r="12">
          <cell r="R12" t="str">
            <v>GSe</v>
          </cell>
          <cell r="S12">
            <v>31.40815803023245</v>
          </cell>
          <cell r="T12">
            <v>33331144.727626607</v>
          </cell>
          <cell r="U12">
            <v>131583028.29793985</v>
          </cell>
          <cell r="V12">
            <v>6.5220656007166227</v>
          </cell>
          <cell r="W12">
            <v>0</v>
          </cell>
        </row>
        <row r="13">
          <cell r="R13" t="str">
            <v>GSd</v>
          </cell>
          <cell r="S13">
            <v>107.61615162054899</v>
          </cell>
          <cell r="T13">
            <v>7183786.4950070353</v>
          </cell>
          <cell r="U13">
            <v>144767228.96342421</v>
          </cell>
          <cell r="V13">
            <v>0</v>
          </cell>
          <cell r="W13">
            <v>18.352909920776362</v>
          </cell>
        </row>
        <row r="14">
          <cell r="R14" t="str">
            <v>UGe</v>
          </cell>
          <cell r="S14">
            <v>25.602338173431729</v>
          </cell>
          <cell r="T14">
            <v>5646751.2299922453</v>
          </cell>
          <cell r="U14">
            <v>18168222.974656366</v>
          </cell>
          <cell r="V14">
            <v>3.0845826361570809</v>
          </cell>
          <cell r="W14">
            <v>0</v>
          </cell>
        </row>
        <row r="15">
          <cell r="R15" t="str">
            <v>UGd</v>
          </cell>
          <cell r="S15">
            <v>106.69848097800896</v>
          </cell>
          <cell r="T15">
            <v>2269145.6239376515</v>
          </cell>
          <cell r="U15">
            <v>29140028.0518246</v>
          </cell>
          <cell r="V15">
            <v>0</v>
          </cell>
          <cell r="W15">
            <v>10.513261097468458</v>
          </cell>
        </row>
        <row r="16">
          <cell r="R16" t="str">
            <v>St Lgt</v>
          </cell>
          <cell r="S16">
            <v>4.772414447864346</v>
          </cell>
          <cell r="T16">
            <v>311809.45947460027</v>
          </cell>
          <cell r="U16">
            <v>14208254.272816228</v>
          </cell>
          <cell r="V16">
            <v>10.696761819158839</v>
          </cell>
          <cell r="W16">
            <v>0</v>
          </cell>
        </row>
        <row r="17">
          <cell r="R17" t="str">
            <v>Sen Lgt</v>
          </cell>
          <cell r="S17">
            <v>3.5969738326884646</v>
          </cell>
          <cell r="T17">
            <v>1023819.120730067</v>
          </cell>
          <cell r="U17">
            <v>2757055.1868327814</v>
          </cell>
          <cell r="V17">
            <v>13.384574643188454</v>
          </cell>
          <cell r="W17">
            <v>0</v>
          </cell>
        </row>
        <row r="18">
          <cell r="R18" t="str">
            <v>USL</v>
          </cell>
          <cell r="S18">
            <v>37.501917001609058</v>
          </cell>
          <cell r="T18">
            <v>2675152.0623396719</v>
          </cell>
          <cell r="U18">
            <v>795553.62978129042</v>
          </cell>
          <cell r="V18">
            <v>3.037210853826839</v>
          </cell>
          <cell r="W18">
            <v>0</v>
          </cell>
        </row>
        <row r="19">
          <cell r="R19" t="str">
            <v>Dgen</v>
          </cell>
          <cell r="S19">
            <v>198.03</v>
          </cell>
          <cell r="T19">
            <v>3582790.0971490769</v>
          </cell>
          <cell r="U19">
            <v>2271531.9498280524</v>
          </cell>
          <cell r="V19">
            <v>0</v>
          </cell>
          <cell r="W19">
            <v>11.108445292182996</v>
          </cell>
        </row>
        <row r="20">
          <cell r="R20" t="str">
            <v>ST</v>
          </cell>
          <cell r="S20">
            <v>1084.9015774760248</v>
          </cell>
          <cell r="T20">
            <v>10736031.117239103</v>
          </cell>
          <cell r="U20">
            <v>46644526.355459802</v>
          </cell>
          <cell r="V20">
            <v>0</v>
          </cell>
          <cell r="W20">
            <v>1.5834454529033892</v>
          </cell>
        </row>
        <row r="21">
          <cell r="R21" t="str">
            <v>AUR</v>
          </cell>
          <cell r="S21">
            <v>30.763830383080876</v>
          </cell>
          <cell r="T21">
            <v>5652633.6521032117</v>
          </cell>
          <cell r="U21">
            <v>0</v>
          </cell>
          <cell r="V21">
            <v>0</v>
          </cell>
          <cell r="W21">
            <v>0</v>
          </cell>
        </row>
        <row r="22">
          <cell r="R22" t="str">
            <v>AUGe</v>
          </cell>
          <cell r="S22">
            <v>30.242705199393782</v>
          </cell>
          <cell r="T22">
            <v>485765.19293373759</v>
          </cell>
          <cell r="U22">
            <v>753509.35520556883</v>
          </cell>
          <cell r="V22">
            <v>1.7408464684049618</v>
          </cell>
          <cell r="W22">
            <v>0</v>
          </cell>
        </row>
        <row r="23">
          <cell r="R23" t="str">
            <v>AUGd</v>
          </cell>
          <cell r="S23">
            <v>209.82959255849363</v>
          </cell>
          <cell r="T23">
            <v>487476.10943189228</v>
          </cell>
          <cell r="U23">
            <v>1587345.7123769417</v>
          </cell>
          <cell r="V23">
            <v>0</v>
          </cell>
          <cell r="W23">
            <v>3.8645165814377607</v>
          </cell>
        </row>
        <row r="24">
          <cell r="R24" t="str">
            <v>AR</v>
          </cell>
          <cell r="S24">
            <v>40.07601775344348</v>
          </cell>
          <cell r="T24">
            <v>18163503.563323524</v>
          </cell>
          <cell r="U24">
            <v>0</v>
          </cell>
          <cell r="V24">
            <v>0</v>
          </cell>
          <cell r="W24">
            <v>0</v>
          </cell>
        </row>
        <row r="25">
          <cell r="R25" t="str">
            <v>AGSe</v>
          </cell>
          <cell r="S25">
            <v>40.824394272299017</v>
          </cell>
          <cell r="T25">
            <v>2125567.4499097946</v>
          </cell>
          <cell r="U25">
            <v>1938220.4184137718</v>
          </cell>
          <cell r="V25">
            <v>1.8724408721443153</v>
          </cell>
          <cell r="W25">
            <v>0</v>
          </cell>
        </row>
        <row r="26">
          <cell r="R26" t="str">
            <v>AGSd</v>
          </cell>
          <cell r="S26">
            <v>208.51253145976548</v>
          </cell>
          <cell r="T26">
            <v>912821.77304340934</v>
          </cell>
          <cell r="U26">
            <v>3411493.4681990771</v>
          </cell>
          <cell r="V26">
            <v>0</v>
          </cell>
          <cell r="W26">
            <v>5.140545880236548</v>
          </cell>
        </row>
        <row r="31">
          <cell r="A31" t="str">
            <v>UR</v>
          </cell>
          <cell r="B31">
            <v>0</v>
          </cell>
          <cell r="C31">
            <v>738.81377091975048</v>
          </cell>
          <cell r="D31" t="str">
            <v>-</v>
          </cell>
        </row>
        <row r="32">
          <cell r="A32" t="str">
            <v>R1</v>
          </cell>
          <cell r="B32">
            <v>0</v>
          </cell>
          <cell r="C32">
            <v>905.28396938057483</v>
          </cell>
          <cell r="D32" t="str">
            <v>-</v>
          </cell>
        </row>
        <row r="33">
          <cell r="A33" t="str">
            <v>R2</v>
          </cell>
          <cell r="B33">
            <v>0</v>
          </cell>
          <cell r="C33">
            <v>1106.0350554064619</v>
          </cell>
          <cell r="D33" t="str">
            <v>-</v>
          </cell>
        </row>
        <row r="34">
          <cell r="A34" t="str">
            <v>Seasonal</v>
          </cell>
          <cell r="B34">
            <v>0</v>
          </cell>
          <cell r="C34">
            <v>335.38929173471632</v>
          </cell>
          <cell r="D34" t="str">
            <v>-</v>
          </cell>
        </row>
        <row r="35">
          <cell r="A35" t="str">
            <v>GSe</v>
          </cell>
          <cell r="B35">
            <v>0</v>
          </cell>
          <cell r="C35">
            <v>1901.108713957602</v>
          </cell>
          <cell r="D35" t="str">
            <v>-</v>
          </cell>
        </row>
        <row r="36">
          <cell r="A36" t="str">
            <v>GSd</v>
          </cell>
          <cell r="B36">
            <v>0</v>
          </cell>
          <cell r="C36">
            <v>34480.8253650935</v>
          </cell>
          <cell r="D36">
            <v>118.16513883111691</v>
          </cell>
        </row>
        <row r="37">
          <cell r="A37" t="str">
            <v>UGe</v>
          </cell>
          <cell r="B37">
            <v>0</v>
          </cell>
          <cell r="C37">
            <v>2670.5272652965609</v>
          </cell>
          <cell r="D37" t="str">
            <v>-</v>
          </cell>
        </row>
        <row r="38">
          <cell r="A38" t="str">
            <v>UGd</v>
          </cell>
          <cell r="B38">
            <v>0</v>
          </cell>
          <cell r="C38">
            <v>49083.715606726801</v>
          </cell>
          <cell r="D38">
            <v>130.33119698455178</v>
          </cell>
        </row>
        <row r="39">
          <cell r="A39" t="str">
            <v>St Lgt</v>
          </cell>
          <cell r="B39">
            <v>0</v>
          </cell>
          <cell r="C39">
            <v>2032.9994468166988</v>
          </cell>
          <cell r="D39" t="str">
            <v>-</v>
          </cell>
        </row>
        <row r="40">
          <cell r="A40" t="str">
            <v>Sen Lgt</v>
          </cell>
          <cell r="B40">
            <v>0</v>
          </cell>
          <cell r="C40">
            <v>72.369392594919944</v>
          </cell>
          <cell r="D40" t="str">
            <v>-</v>
          </cell>
        </row>
        <row r="41">
          <cell r="A41" t="str">
            <v>USL</v>
          </cell>
          <cell r="B41">
            <v>0</v>
          </cell>
          <cell r="C41">
            <v>367.19732880423561</v>
          </cell>
          <cell r="D41" t="str">
            <v>-</v>
          </cell>
        </row>
        <row r="42">
          <cell r="A42" t="str">
            <v>DGen</v>
          </cell>
          <cell r="B42">
            <v>0</v>
          </cell>
          <cell r="C42">
            <v>1123.7758047420991</v>
          </cell>
          <cell r="D42">
            <v>11.302517587165426</v>
          </cell>
        </row>
        <row r="43">
          <cell r="A43" t="str">
            <v>ST</v>
          </cell>
          <cell r="B43">
            <v>0</v>
          </cell>
          <cell r="C43">
            <v>1529138.1571713667</v>
          </cell>
          <cell r="D43">
            <v>2976.7623171858781</v>
          </cell>
        </row>
        <row r="44">
          <cell r="A44" t="str">
            <v>Acq_UR</v>
          </cell>
          <cell r="B44">
            <v>0</v>
          </cell>
          <cell r="C44">
            <v>505.07678800697795</v>
          </cell>
          <cell r="D44" t="str">
            <v>-</v>
          </cell>
        </row>
        <row r="45">
          <cell r="A45" t="str">
            <v>Acq_Uge</v>
          </cell>
          <cell r="B45">
            <v>0</v>
          </cell>
          <cell r="C45">
            <v>2694.7744519421203</v>
          </cell>
          <cell r="D45" t="str">
            <v>-</v>
          </cell>
        </row>
        <row r="46">
          <cell r="A46" t="str">
            <v>Acq_UGd</v>
          </cell>
          <cell r="B46">
            <v>0</v>
          </cell>
          <cell r="C46">
            <v>61239.494016066186</v>
          </cell>
          <cell r="D46">
            <v>176.80304856661451</v>
          </cell>
        </row>
        <row r="47">
          <cell r="A47" t="str">
            <v>Acq_Res</v>
          </cell>
          <cell r="B47">
            <v>0</v>
          </cell>
          <cell r="C47">
            <v>633.76826404887049</v>
          </cell>
          <cell r="D47" t="str">
            <v>-</v>
          </cell>
        </row>
        <row r="48">
          <cell r="A48" t="str">
            <v>Acq_GSE</v>
          </cell>
          <cell r="B48">
            <v>0</v>
          </cell>
          <cell r="C48">
            <v>1988.107715547113</v>
          </cell>
          <cell r="D48" t="str">
            <v>-</v>
          </cell>
        </row>
        <row r="49">
          <cell r="A49" t="str">
            <v>Acq_GSD</v>
          </cell>
          <cell r="B49">
            <v>0</v>
          </cell>
          <cell r="C49">
            <v>53895.167482629011</v>
          </cell>
          <cell r="D49">
            <v>151.593812308694</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x_peak"/>
      <sheetName val="tx_peak"/>
      <sheetName val="TotTXPk"/>
      <sheetName val="TotST"/>
      <sheetName val="Hourly load shapes by class"/>
      <sheetName val="st_cdet"/>
      <sheetName val="Line Loss Factors"/>
      <sheetName val="Summary"/>
      <sheetName val="Evidence-Table1"/>
      <sheetName val="Evidence-Table2"/>
      <sheetName val="YEAR OVER YEAR"/>
      <sheetName val="DRO Exhibit 3.4"/>
      <sheetName val="RTSR Calculation_2021_v6"/>
    </sheetNames>
    <sheetDataSet>
      <sheetData sheetId="0"/>
      <sheetData sheetId="1"/>
      <sheetData sheetId="2"/>
      <sheetData sheetId="3"/>
      <sheetData sheetId="4"/>
      <sheetData sheetId="5"/>
      <sheetData sheetId="6"/>
      <sheetData sheetId="7">
        <row r="18">
          <cell r="N18">
            <v>3.4203999999999999</v>
          </cell>
          <cell r="O18">
            <v>0.74860000000000004</v>
          </cell>
          <cell r="P18">
            <v>1.8156000000000001</v>
          </cell>
        </row>
        <row r="24">
          <cell r="B24" t="str">
            <v>Dgen</v>
          </cell>
          <cell r="C24">
            <v>21571753.001813445</v>
          </cell>
          <cell r="D24">
            <v>216960.63988932327</v>
          </cell>
          <cell r="E24">
            <v>0</v>
          </cell>
          <cell r="F24">
            <v>9.7862032903041872E-4</v>
          </cell>
          <cell r="G24">
            <v>1.0433415072145715E-3</v>
          </cell>
          <cell r="H24">
            <v>0</v>
          </cell>
          <cell r="I24">
            <v>130765.61336525108</v>
          </cell>
          <cell r="J24">
            <v>113345.83726706388</v>
          </cell>
          <cell r="K24">
            <v>0</v>
          </cell>
          <cell r="L24">
            <v>0</v>
          </cell>
          <cell r="M24">
            <v>0</v>
          </cell>
          <cell r="N24">
            <v>0</v>
          </cell>
          <cell r="O24">
            <v>0</v>
          </cell>
          <cell r="P24">
            <v>0.60270000000000001</v>
          </cell>
          <cell r="Q24">
            <v>0.52239999999999998</v>
          </cell>
        </row>
        <row r="25">
          <cell r="B25" t="str">
            <v>GSd</v>
          </cell>
          <cell r="C25">
            <v>2442131220.8262715</v>
          </cell>
          <cell r="D25">
            <v>8369137.6786148138</v>
          </cell>
          <cell r="E25">
            <v>0</v>
          </cell>
          <cell r="F25">
            <v>9.3903456581965819E-2</v>
          </cell>
          <cell r="G25">
            <v>9.379538689545136E-2</v>
          </cell>
          <cell r="H25">
            <v>0</v>
          </cell>
          <cell r="I25">
            <v>12547606.801939122</v>
          </cell>
          <cell r="J25">
            <v>10189680.546531454</v>
          </cell>
          <cell r="K25">
            <v>0</v>
          </cell>
          <cell r="L25">
            <v>0</v>
          </cell>
          <cell r="M25">
            <v>0</v>
          </cell>
          <cell r="N25">
            <v>0</v>
          </cell>
          <cell r="O25">
            <v>0</v>
          </cell>
          <cell r="P25">
            <v>1.4993000000000001</v>
          </cell>
          <cell r="Q25">
            <v>1.2175</v>
          </cell>
        </row>
        <row r="26">
          <cell r="B26" t="str">
            <v>GSe</v>
          </cell>
          <cell r="C26">
            <v>2211185962.2923179</v>
          </cell>
          <cell r="D26">
            <v>0</v>
          </cell>
          <cell r="E26">
            <v>0</v>
          </cell>
          <cell r="F26">
            <v>9.1147758549562738E-2</v>
          </cell>
          <cell r="G26">
            <v>9.1761192871509634E-2</v>
          </cell>
          <cell r="H26">
            <v>0</v>
          </cell>
          <cell r="I26">
            <v>12179383.771242809</v>
          </cell>
          <cell r="J26">
            <v>9968691.1358610373</v>
          </cell>
          <cell r="K26">
            <v>0</v>
          </cell>
          <cell r="L26">
            <v>0</v>
          </cell>
          <cell r="M26">
            <v>0</v>
          </cell>
          <cell r="N26">
            <v>0.55079999999999996</v>
          </cell>
          <cell r="O26">
            <v>0.45079999999999998</v>
          </cell>
          <cell r="P26">
            <v>0</v>
          </cell>
          <cell r="Q26">
            <v>0</v>
          </cell>
        </row>
        <row r="27">
          <cell r="B27" t="str">
            <v>R1</v>
          </cell>
          <cell r="C27">
            <v>5348993479.9313517</v>
          </cell>
          <cell r="D27">
            <v>0</v>
          </cell>
          <cell r="E27">
            <v>0</v>
          </cell>
          <cell r="F27">
            <v>0.28909531759989604</v>
          </cell>
          <cell r="G27">
            <v>0.28830928181207444</v>
          </cell>
          <cell r="H27">
            <v>0</v>
          </cell>
          <cell r="I27">
            <v>38629614.985034108</v>
          </cell>
          <cell r="J27">
            <v>31321151.044875301</v>
          </cell>
          <cell r="K27">
            <v>0</v>
          </cell>
          <cell r="L27">
            <v>0</v>
          </cell>
          <cell r="M27">
            <v>0</v>
          </cell>
          <cell r="N27">
            <v>0.72219999999999995</v>
          </cell>
          <cell r="O27">
            <v>0.58560000000000001</v>
          </cell>
          <cell r="P27">
            <v>0</v>
          </cell>
          <cell r="Q27">
            <v>0</v>
          </cell>
        </row>
        <row r="28">
          <cell r="B28" t="str">
            <v>R2</v>
          </cell>
          <cell r="C28">
            <v>4890720496.5432253</v>
          </cell>
          <cell r="D28">
            <v>0</v>
          </cell>
          <cell r="E28">
            <v>0</v>
          </cell>
          <cell r="F28">
            <v>0.24871198827273619</v>
          </cell>
          <cell r="G28">
            <v>0.24746513396020217</v>
          </cell>
          <cell r="H28">
            <v>0</v>
          </cell>
          <cell r="I28">
            <v>33233496.927248646</v>
          </cell>
          <cell r="J28">
            <v>26883951.811721325</v>
          </cell>
          <cell r="K28">
            <v>0</v>
          </cell>
          <cell r="L28">
            <v>0</v>
          </cell>
          <cell r="M28">
            <v>0</v>
          </cell>
          <cell r="N28">
            <v>0.67949999999999999</v>
          </cell>
          <cell r="O28">
            <v>0.54969999999999997</v>
          </cell>
          <cell r="P28">
            <v>0</v>
          </cell>
          <cell r="Q28">
            <v>0</v>
          </cell>
        </row>
        <row r="29">
          <cell r="B29" t="str">
            <v>Seasonal</v>
          </cell>
          <cell r="C29">
            <v>668464339.66750121</v>
          </cell>
          <cell r="D29">
            <v>0</v>
          </cell>
          <cell r="E29">
            <v>0</v>
          </cell>
          <cell r="F29">
            <v>2.8961132022982873E-2</v>
          </cell>
          <cell r="G29">
            <v>2.905535218675858E-2</v>
          </cell>
          <cell r="H29">
            <v>0</v>
          </cell>
          <cell r="I29">
            <v>3869856.4503452638</v>
          </cell>
          <cell r="J29">
            <v>3156495.9295923733</v>
          </cell>
          <cell r="K29">
            <v>0</v>
          </cell>
          <cell r="L29">
            <v>0</v>
          </cell>
          <cell r="M29">
            <v>0</v>
          </cell>
          <cell r="N29">
            <v>0.57889999999999997</v>
          </cell>
          <cell r="O29">
            <v>0.47220000000000001</v>
          </cell>
          <cell r="P29">
            <v>0</v>
          </cell>
          <cell r="Q29">
            <v>0</v>
          </cell>
        </row>
        <row r="30">
          <cell r="B30" t="str">
            <v>UGd</v>
          </cell>
          <cell r="C30">
            <v>1096051249.5345447</v>
          </cell>
          <cell r="D30">
            <v>2910327.1735335714</v>
          </cell>
          <cell r="E30">
            <v>0</v>
          </cell>
          <cell r="F30">
            <v>4.4282485793168611E-2</v>
          </cell>
          <cell r="G30">
            <v>4.4100988302116152E-2</v>
          </cell>
          <cell r="H30">
            <v>0</v>
          </cell>
          <cell r="I30">
            <v>5917132.7677393043</v>
          </cell>
          <cell r="J30">
            <v>4791013.6890397193</v>
          </cell>
          <cell r="K30">
            <v>0</v>
          </cell>
          <cell r="L30">
            <v>0</v>
          </cell>
          <cell r="M30">
            <v>0</v>
          </cell>
          <cell r="N30">
            <v>0</v>
          </cell>
          <cell r="O30">
            <v>0</v>
          </cell>
          <cell r="P30">
            <v>2.0331999999999999</v>
          </cell>
          <cell r="Q30">
            <v>1.6462000000000001</v>
          </cell>
        </row>
        <row r="31">
          <cell r="B31" t="str">
            <v>UGe</v>
          </cell>
          <cell r="C31">
            <v>628464080.90106177</v>
          </cell>
          <cell r="D31">
            <v>0</v>
          </cell>
          <cell r="E31">
            <v>0</v>
          </cell>
          <cell r="F31">
            <v>2.7310182917384154E-2</v>
          </cell>
          <cell r="G31">
            <v>2.711823225206568E-2</v>
          </cell>
          <cell r="H31">
            <v>0</v>
          </cell>
          <cell r="I31">
            <v>3649252.641059672</v>
          </cell>
          <cell r="J31">
            <v>2946052.388943193</v>
          </cell>
          <cell r="K31">
            <v>0</v>
          </cell>
          <cell r="L31">
            <v>0</v>
          </cell>
          <cell r="M31">
            <v>0</v>
          </cell>
          <cell r="N31">
            <v>0.58069999999999999</v>
          </cell>
          <cell r="O31">
            <v>0.46879999999999999</v>
          </cell>
          <cell r="P31">
            <v>0</v>
          </cell>
          <cell r="Q31">
            <v>0</v>
          </cell>
        </row>
        <row r="32">
          <cell r="B32" t="str">
            <v>UR</v>
          </cell>
          <cell r="C32">
            <v>2193664954.7850957</v>
          </cell>
          <cell r="D32">
            <v>0</v>
          </cell>
          <cell r="E32">
            <v>0</v>
          </cell>
          <cell r="F32">
            <v>0.12702099109321555</v>
          </cell>
          <cell r="G32">
            <v>0.12688761284148564</v>
          </cell>
          <cell r="H32">
            <v>0</v>
          </cell>
          <cell r="I32">
            <v>16972851.797410529</v>
          </cell>
          <cell r="J32">
            <v>13784731.669243775</v>
          </cell>
          <cell r="K32">
            <v>0</v>
          </cell>
          <cell r="L32">
            <v>0</v>
          </cell>
          <cell r="M32">
            <v>0</v>
          </cell>
          <cell r="N32">
            <v>0.77370000000000005</v>
          </cell>
          <cell r="O32">
            <v>0.62839999999999996</v>
          </cell>
          <cell r="P32">
            <v>0</v>
          </cell>
          <cell r="Q32">
            <v>0</v>
          </cell>
        </row>
        <row r="33">
          <cell r="B33" t="str">
            <v>STL</v>
          </cell>
          <cell r="C33">
            <v>145047762.38100258</v>
          </cell>
          <cell r="D33">
            <v>0</v>
          </cell>
          <cell r="E33">
            <v>0</v>
          </cell>
          <cell r="F33">
            <v>4.1640396489016351E-3</v>
          </cell>
          <cell r="G33">
            <v>4.8386297507617311E-3</v>
          </cell>
          <cell r="H33">
            <v>0</v>
          </cell>
          <cell r="I33">
            <v>556409.04098664178</v>
          </cell>
          <cell r="J33">
            <v>525655.82461066823</v>
          </cell>
          <cell r="M33">
            <v>0</v>
          </cell>
          <cell r="N33">
            <v>0.3836</v>
          </cell>
          <cell r="O33">
            <v>0.3624</v>
          </cell>
          <cell r="P33">
            <v>0</v>
          </cell>
          <cell r="Q33">
            <v>0</v>
          </cell>
        </row>
        <row r="34">
          <cell r="B34" t="str">
            <v>Sen LGT</v>
          </cell>
          <cell r="C34">
            <v>22493835.958795864</v>
          </cell>
          <cell r="D34">
            <v>0</v>
          </cell>
          <cell r="E34">
            <v>0</v>
          </cell>
          <cell r="F34">
            <v>6.4352512509107274E-4</v>
          </cell>
          <cell r="G34">
            <v>7.5145089945108769E-4</v>
          </cell>
          <cell r="H34">
            <v>0</v>
          </cell>
          <cell r="I34">
            <v>85989.382401097013</v>
          </cell>
          <cell r="J34">
            <v>81635.620527320876</v>
          </cell>
          <cell r="M34">
            <v>0</v>
          </cell>
          <cell r="N34">
            <v>0.38229999999999997</v>
          </cell>
          <cell r="O34">
            <v>0.3629</v>
          </cell>
          <cell r="P34">
            <v>0</v>
          </cell>
          <cell r="Q34">
            <v>0</v>
          </cell>
        </row>
        <row r="35">
          <cell r="B35" t="str">
            <v>USL</v>
          </cell>
          <cell r="C35">
            <v>28603366.889281474</v>
          </cell>
          <cell r="D35">
            <v>0</v>
          </cell>
          <cell r="E35">
            <v>0</v>
          </cell>
          <cell r="F35">
            <v>9.9817319407564985E-4</v>
          </cell>
          <cell r="G35">
            <v>9.9061657541342127E-4</v>
          </cell>
          <cell r="H35">
            <v>0</v>
          </cell>
          <cell r="I35">
            <v>133378.3144453736</v>
          </cell>
          <cell r="J35">
            <v>107617.94136862038</v>
          </cell>
          <cell r="K35">
            <v>0</v>
          </cell>
          <cell r="L35">
            <v>0</v>
          </cell>
          <cell r="M35">
            <v>0</v>
          </cell>
          <cell r="N35">
            <v>0.46629999999999999</v>
          </cell>
          <cell r="O35">
            <v>0.37619999999999998</v>
          </cell>
          <cell r="P35">
            <v>0</v>
          </cell>
          <cell r="Q35">
            <v>0</v>
          </cell>
        </row>
        <row r="36">
          <cell r="B36" t="str">
            <v>AR</v>
          </cell>
          <cell r="C36">
            <v>306393839.69230568</v>
          </cell>
          <cell r="D36">
            <v>0</v>
          </cell>
          <cell r="E36">
            <v>0</v>
          </cell>
          <cell r="F36">
            <v>1.6217267964024375E-2</v>
          </cell>
          <cell r="G36">
            <v>1.6995850486704007E-2</v>
          </cell>
          <cell r="H36">
            <v>0</v>
          </cell>
          <cell r="I36">
            <v>2166990.5371017149</v>
          </cell>
          <cell r="J36">
            <v>1846383.8447530675</v>
          </cell>
          <cell r="K36">
            <v>0</v>
          </cell>
          <cell r="L36">
            <v>0</v>
          </cell>
          <cell r="M36">
            <v>0</v>
          </cell>
          <cell r="N36">
            <v>0.70730000000000004</v>
          </cell>
          <cell r="O36">
            <v>0.60260000000000002</v>
          </cell>
          <cell r="P36">
            <v>0</v>
          </cell>
          <cell r="Q36">
            <v>0</v>
          </cell>
        </row>
        <row r="37">
          <cell r="B37" t="str">
            <v>AGSe</v>
          </cell>
          <cell r="C37">
            <v>110415369.43819664</v>
          </cell>
          <cell r="D37">
            <v>0</v>
          </cell>
          <cell r="E37">
            <v>0</v>
          </cell>
          <cell r="F37">
            <v>4.3566854431716E-3</v>
          </cell>
          <cell r="G37">
            <v>4.4345040104777573E-3</v>
          </cell>
          <cell r="H37">
            <v>0</v>
          </cell>
          <cell r="I37">
            <v>582150.83757787617</v>
          </cell>
          <cell r="J37">
            <v>481752.68256473535</v>
          </cell>
          <cell r="K37">
            <v>0</v>
          </cell>
          <cell r="L37">
            <v>0</v>
          </cell>
          <cell r="M37">
            <v>0</v>
          </cell>
          <cell r="N37">
            <v>0.5272</v>
          </cell>
          <cell r="O37">
            <v>0.43630000000000002</v>
          </cell>
          <cell r="P37">
            <v>0</v>
          </cell>
          <cell r="Q37">
            <v>0</v>
          </cell>
        </row>
        <row r="38">
          <cell r="B38" t="str">
            <v>AGSd</v>
          </cell>
          <cell r="C38">
            <v>249220085.79341075</v>
          </cell>
          <cell r="D38">
            <v>700994.62853510736</v>
          </cell>
          <cell r="E38">
            <v>0</v>
          </cell>
          <cell r="F38">
            <v>9.1797349434579716E-3</v>
          </cell>
          <cell r="G38">
            <v>9.2247061648397521E-3</v>
          </cell>
          <cell r="H38">
            <v>0</v>
          </cell>
          <cell r="I38">
            <v>1226618.3675144131</v>
          </cell>
          <cell r="J38">
            <v>1002147.4623278601</v>
          </cell>
          <cell r="K38">
            <v>0</v>
          </cell>
          <cell r="L38">
            <v>0</v>
          </cell>
          <cell r="M38">
            <v>0</v>
          </cell>
          <cell r="N38">
            <v>0</v>
          </cell>
          <cell r="O38">
            <v>0</v>
          </cell>
          <cell r="P38">
            <v>1.7498</v>
          </cell>
          <cell r="Q38">
            <v>1.4296</v>
          </cell>
        </row>
        <row r="39">
          <cell r="B39" t="str">
            <v>AUR</v>
          </cell>
          <cell r="C39">
            <v>98095516.039550081</v>
          </cell>
          <cell r="D39">
            <v>0</v>
          </cell>
          <cell r="E39">
            <v>0</v>
          </cell>
          <cell r="F39">
            <v>5.3919222337820627E-3</v>
          </cell>
          <cell r="G39">
            <v>5.5958889655995537E-3</v>
          </cell>
          <cell r="H39">
            <v>0</v>
          </cell>
          <cell r="I39">
            <v>720481.67936263059</v>
          </cell>
          <cell r="J39">
            <v>607922.44502256019</v>
          </cell>
          <cell r="K39">
            <v>0</v>
          </cell>
          <cell r="L39">
            <v>0</v>
          </cell>
          <cell r="M39">
            <v>0</v>
          </cell>
          <cell r="N39">
            <v>0.73450000000000004</v>
          </cell>
          <cell r="O39">
            <v>0.61970000000000003</v>
          </cell>
          <cell r="P39">
            <v>0</v>
          </cell>
          <cell r="Q39">
            <v>0</v>
          </cell>
        </row>
        <row r="40">
          <cell r="B40" t="str">
            <v>AUGe</v>
          </cell>
          <cell r="C40">
            <v>45751937.747050002</v>
          </cell>
          <cell r="D40">
            <v>0</v>
          </cell>
          <cell r="E40">
            <v>0</v>
          </cell>
          <cell r="F40">
            <v>1.9154857652768531E-3</v>
          </cell>
          <cell r="G40">
            <v>1.9366847975222405E-3</v>
          </cell>
          <cell r="H40">
            <v>0</v>
          </cell>
          <cell r="I40">
            <v>255951.83704900261</v>
          </cell>
          <cell r="J40">
            <v>210396.26850809011</v>
          </cell>
          <cell r="K40">
            <v>0</v>
          </cell>
          <cell r="L40">
            <v>0</v>
          </cell>
          <cell r="M40">
            <v>0</v>
          </cell>
          <cell r="N40">
            <v>0.55940000000000001</v>
          </cell>
          <cell r="O40">
            <v>0.45989999999999998</v>
          </cell>
          <cell r="P40">
            <v>0</v>
          </cell>
          <cell r="Q40">
            <v>0</v>
          </cell>
        </row>
        <row r="41">
          <cell r="B41" t="str">
            <v>AUGd</v>
          </cell>
          <cell r="C41">
            <v>148889412.53181222</v>
          </cell>
          <cell r="D41">
            <v>429854.9891351253</v>
          </cell>
          <cell r="E41">
            <v>0</v>
          </cell>
          <cell r="F41">
            <v>5.7212325222760103E-3</v>
          </cell>
          <cell r="G41">
            <v>5.6951457203521022E-3</v>
          </cell>
          <cell r="H41">
            <v>0</v>
          </cell>
          <cell r="I41">
            <v>764484.91594475182</v>
          </cell>
          <cell r="J41">
            <v>618705.43399984576</v>
          </cell>
          <cell r="K41">
            <v>0</v>
          </cell>
          <cell r="L41">
            <v>0</v>
          </cell>
          <cell r="M41">
            <v>0</v>
          </cell>
          <cell r="N41">
            <v>0</v>
          </cell>
          <cell r="O41">
            <v>0</v>
          </cell>
          <cell r="P41">
            <v>1.7785</v>
          </cell>
          <cell r="Q41">
            <v>1.4393</v>
          </cell>
        </row>
      </sheetData>
      <sheetData sheetId="8">
        <row r="6">
          <cell r="B6">
            <v>233443583.34156916</v>
          </cell>
        </row>
      </sheetData>
      <sheetData sheetId="9">
        <row r="4">
          <cell r="A4" t="str">
            <v>RATE CLASS</v>
          </cell>
        </row>
      </sheetData>
      <sheetData sheetId="10"/>
      <sheetData sheetId="11">
        <row r="22">
          <cell r="J22">
            <v>3.836E-3</v>
          </cell>
          <cell r="K22">
            <v>3.6240000000000001E-3</v>
          </cell>
        </row>
      </sheetData>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5">
          <cell r="B5">
            <v>250.60464000000002</v>
          </cell>
        </row>
        <row r="7">
          <cell r="E7">
            <v>63.590321692096069</v>
          </cell>
        </row>
      </sheetData>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_CA_Extract"/>
      <sheetName val="ActualInputs_ScaleUp"/>
      <sheetName val="Charge_dets_SUMMARY"/>
      <sheetName val="Fixed"/>
      <sheetName val="HVDS High"/>
      <sheetName val="LVDS Low"/>
      <sheetName val="Specific Line"/>
      <sheetName val="Rate Calc"/>
      <sheetName val="Exhibit G1-4-4"/>
      <sheetName val="Exhibit G-7-1"/>
      <sheetName val="Sheet1"/>
      <sheetName val="DRO_EXHIBIT3.1.1."/>
      <sheetName val="Sheet2"/>
      <sheetName val="ST_Rate_Model_2021_v6"/>
    </sheetNames>
    <sheetDataSet>
      <sheetData sheetId="0"/>
      <sheetData sheetId="1"/>
      <sheetData sheetId="2"/>
      <sheetData sheetId="3"/>
      <sheetData sheetId="4"/>
      <sheetData sheetId="5"/>
      <sheetData sheetId="6"/>
      <sheetData sheetId="7">
        <row r="14">
          <cell r="F14">
            <v>633.84056748338867</v>
          </cell>
        </row>
        <row r="16">
          <cell r="G16">
            <v>563.6</v>
          </cell>
          <cell r="H16">
            <v>705.6</v>
          </cell>
        </row>
        <row r="36">
          <cell r="D36">
            <v>1.4475424689830076</v>
          </cell>
        </row>
      </sheetData>
      <sheetData sheetId="8"/>
      <sheetData sheetId="9"/>
      <sheetData sheetId="10"/>
      <sheetData sheetId="11"/>
      <sheetData sheetId="12"/>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for 2018-2022 Filing"/>
      <sheetName val="Tracking"/>
      <sheetName val="Summary"/>
      <sheetName val="Bad Debt_HONI"/>
      <sheetName val="Bad Debt_Acq"/>
      <sheetName val="Late payment_Acq"/>
      <sheetName val="Current Rates"/>
      <sheetName val="Acq_Rates"/>
      <sheetName val="RevReq"/>
      <sheetName val="Connections"/>
      <sheetName val="Direct Allocations"/>
      <sheetName val="USoA"/>
      <sheetName val="USoA-Services Calc"/>
      <sheetName val="ConCap"/>
      <sheetName val="Demand "/>
      <sheetName val="Demand_RCD"/>
      <sheetName val="BO Assets"/>
      <sheetName val="Billing &amp; Collec Weights"/>
      <sheetName val="Services Weights"/>
      <sheetName val="Meter Reading Weights"/>
      <sheetName val="MeterCapital"/>
      <sheetName val="GArider"/>
    </sheetNames>
    <sheetDataSet>
      <sheetData sheetId="0"/>
      <sheetData sheetId="1"/>
      <sheetData sheetId="2"/>
      <sheetData sheetId="3"/>
      <sheetData sheetId="4"/>
      <sheetData sheetId="5"/>
      <sheetData sheetId="6"/>
      <sheetData sheetId="7">
        <row r="2">
          <cell r="A2" t="str">
            <v>AUR</v>
          </cell>
          <cell r="B2">
            <v>29.98</v>
          </cell>
          <cell r="C2">
            <v>0</v>
          </cell>
        </row>
        <row r="3">
          <cell r="A3" t="str">
            <v>AUGe</v>
          </cell>
          <cell r="B3">
            <v>25.19</v>
          </cell>
          <cell r="C3">
            <v>1.4500000000000001E-2</v>
          </cell>
          <cell r="G3">
            <v>36.78</v>
          </cell>
        </row>
        <row r="4">
          <cell r="A4" t="str">
            <v>AUGd</v>
          </cell>
          <cell r="B4">
            <v>139.96</v>
          </cell>
          <cell r="C4">
            <v>2.5777000000000001</v>
          </cell>
          <cell r="G4">
            <v>35.619999999999997</v>
          </cell>
        </row>
        <row r="5">
          <cell r="A5" t="str">
            <v>AR</v>
          </cell>
          <cell r="B5">
            <v>36.183594907627622</v>
          </cell>
          <cell r="C5">
            <v>0</v>
          </cell>
        </row>
        <row r="6">
          <cell r="A6" t="str">
            <v>AGSe</v>
          </cell>
          <cell r="B6">
            <v>37.64447069341503</v>
          </cell>
          <cell r="C6">
            <v>1.7265913381700172E-2</v>
          </cell>
        </row>
        <row r="7">
          <cell r="A7" t="str">
            <v>AGSd</v>
          </cell>
          <cell r="B7">
            <v>160.09995707874754</v>
          </cell>
          <cell r="C7">
            <v>3.9470106138249523</v>
          </cell>
        </row>
        <row r="11">
          <cell r="G11">
            <v>245.55</v>
          </cell>
        </row>
      </sheetData>
      <sheetData sheetId="8"/>
      <sheetData sheetId="9"/>
      <sheetData sheetId="10"/>
      <sheetData sheetId="11"/>
      <sheetData sheetId="12"/>
      <sheetData sheetId="13"/>
      <sheetData sheetId="14">
        <row r="49">
          <cell r="B49" t="str">
            <v>Updated Loss Factors</v>
          </cell>
        </row>
      </sheetData>
      <sheetData sheetId="15"/>
      <sheetData sheetId="16"/>
      <sheetData sheetId="17"/>
      <sheetData sheetId="18"/>
      <sheetData sheetId="19"/>
      <sheetData sheetId="20"/>
      <sheetData sheetId="2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APPENDIX B"/>
      <sheetName val="App.2-PA_Res_Rate_Design_16"/>
      <sheetName val="App.2-PA_Res_Rate_Design_17"/>
      <sheetName val="App.2-PA_Res_Rate_Design_18"/>
      <sheetName val="App.2-PA_Res_Rate_Design_19"/>
      <sheetName val="App.2PA_Res_Rate_Design_20"/>
      <sheetName val="2016 Bill Impact"/>
      <sheetName val="2017 Bill Impact"/>
      <sheetName val="2018 Bill Impact"/>
      <sheetName val="2019 Bill Impact"/>
      <sheetName val="2020 Bill Impact"/>
    </sheetNames>
    <sheetDataSet>
      <sheetData sheetId="0"/>
      <sheetData sheetId="1"/>
      <sheetData sheetId="2"/>
      <sheetData sheetId="3"/>
      <sheetData sheetId="4"/>
      <sheetData sheetId="5"/>
      <sheetData sheetId="6"/>
      <sheetData sheetId="7"/>
      <sheetData sheetId="8">
        <row r="10">
          <cell r="C10">
            <v>1.0430999999999999</v>
          </cell>
        </row>
      </sheetData>
      <sheetData sheetId="9"/>
      <sheetData sheetId="10"/>
      <sheetData sheetId="1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For Inergi_2017 Proposed NDPI"/>
      <sheetName val="For Inergi_2017 Proposed HCHI"/>
      <sheetName val="For Inergi_2017 Proposed WHSI"/>
      <sheetName val="2017 Draft Rates for Rate Sched"/>
    </sheetNames>
    <sheetDataSet>
      <sheetData sheetId="0"/>
      <sheetData sheetId="1">
        <row r="5">
          <cell r="H5">
            <v>8.9999999999999998E-4</v>
          </cell>
          <cell r="K5">
            <v>6.7999999999999996E-3</v>
          </cell>
          <cell r="L5">
            <v>3.5999999999999999E-3</v>
          </cell>
        </row>
        <row r="6">
          <cell r="C6">
            <v>49.98</v>
          </cell>
          <cell r="E6">
            <v>-0.74</v>
          </cell>
          <cell r="F6">
            <v>1.5599999999999999E-2</v>
          </cell>
          <cell r="G6">
            <v>-2.9999999999999997E-4</v>
          </cell>
          <cell r="H6">
            <v>8.0000000000000004E-4</v>
          </cell>
          <cell r="K6">
            <v>6.3E-3</v>
          </cell>
          <cell r="L6">
            <v>3.0999999999999999E-3</v>
          </cell>
        </row>
        <row r="7">
          <cell r="C7">
            <v>245.55</v>
          </cell>
          <cell r="E7">
            <v>-3.61</v>
          </cell>
          <cell r="F7">
            <v>3.9601999999999999</v>
          </cell>
          <cell r="G7">
            <v>-5.8299999999999998E-2</v>
          </cell>
          <cell r="H7">
            <v>0.30499999999999999</v>
          </cell>
          <cell r="K7">
            <v>2.5453999999999999</v>
          </cell>
          <cell r="L7">
            <v>1.2384999999999999</v>
          </cell>
        </row>
        <row r="8">
          <cell r="C8">
            <v>15.49</v>
          </cell>
          <cell r="E8">
            <v>-0.22</v>
          </cell>
          <cell r="F8">
            <v>8.6999999999999994E-3</v>
          </cell>
          <cell r="G8">
            <v>-1E-4</v>
          </cell>
          <cell r="H8">
            <v>8.0000000000000004E-4</v>
          </cell>
          <cell r="K8">
            <v>6.3E-3</v>
          </cell>
          <cell r="L8">
            <v>3.0999999999999999E-3</v>
          </cell>
        </row>
        <row r="9">
          <cell r="C9">
            <v>6.53</v>
          </cell>
          <cell r="E9">
            <v>-0.09</v>
          </cell>
          <cell r="F9">
            <v>19.433</v>
          </cell>
          <cell r="G9">
            <v>-0.28620000000000001</v>
          </cell>
          <cell r="H9">
            <v>0.2407</v>
          </cell>
          <cell r="K9">
            <v>1.9294</v>
          </cell>
          <cell r="L9">
            <v>0.97740000000000005</v>
          </cell>
        </row>
        <row r="10">
          <cell r="C10">
            <v>1.97</v>
          </cell>
          <cell r="E10">
            <v>-0.03</v>
          </cell>
          <cell r="F10">
            <v>7.4268999999999998</v>
          </cell>
          <cell r="G10">
            <v>-0.1094</v>
          </cell>
          <cell r="H10">
            <v>0.23580000000000001</v>
          </cell>
          <cell r="K10">
            <v>1.9197</v>
          </cell>
          <cell r="L10">
            <v>0.95750000000000002</v>
          </cell>
        </row>
      </sheetData>
      <sheetData sheetId="2">
        <row r="5">
          <cell r="H5">
            <v>4.0000000000000002E-4</v>
          </cell>
          <cell r="K5">
            <v>6.5444567943617011E-3</v>
          </cell>
          <cell r="L5">
            <v>5.4157299366720292E-3</v>
          </cell>
        </row>
        <row r="6">
          <cell r="C6">
            <v>26.94</v>
          </cell>
          <cell r="E6">
            <v>-0.27</v>
          </cell>
          <cell r="F6">
            <v>1.9E-2</v>
          </cell>
          <cell r="G6">
            <v>-2.0000000000000001E-4</v>
          </cell>
          <cell r="H6">
            <v>4.0000000000000002E-4</v>
          </cell>
          <cell r="K6">
            <v>5.8707628331982429E-3</v>
          </cell>
          <cell r="L6">
            <v>4.9991353519971207E-3</v>
          </cell>
        </row>
        <row r="7">
          <cell r="C7">
            <v>83.61</v>
          </cell>
          <cell r="E7">
            <v>-0.84</v>
          </cell>
          <cell r="F7">
            <v>3.9339</v>
          </cell>
          <cell r="G7">
            <v>-3.9300000000000002E-2</v>
          </cell>
          <cell r="H7">
            <v>0.155</v>
          </cell>
          <cell r="K7">
            <v>2.503832177640037</v>
          </cell>
          <cell r="L7">
            <v>2.1172379802527086</v>
          </cell>
        </row>
        <row r="8">
          <cell r="C8">
            <v>19.510000000000002</v>
          </cell>
          <cell r="E8">
            <v>-0.2</v>
          </cell>
          <cell r="F8">
            <v>2.5000000000000001E-3</v>
          </cell>
          <cell r="G8">
            <v>-3.0000000000000001E-5</v>
          </cell>
          <cell r="H8">
            <v>4.0000000000000002E-4</v>
          </cell>
          <cell r="K8">
            <v>5.8707754984320933E-3</v>
          </cell>
          <cell r="L8">
            <v>4.9991360917706956E-3</v>
          </cell>
        </row>
        <row r="9">
          <cell r="C9">
            <v>14.23</v>
          </cell>
          <cell r="E9">
            <v>-0.14000000000000001</v>
          </cell>
          <cell r="F9">
            <v>36.726100000000002</v>
          </cell>
          <cell r="G9">
            <v>-0.36730000000000002</v>
          </cell>
          <cell r="H9">
            <v>0.1099</v>
          </cell>
          <cell r="K9">
            <v>1.8176267636501726</v>
          </cell>
          <cell r="L9">
            <v>1.5528490729347468</v>
          </cell>
        </row>
        <row r="10">
          <cell r="C10">
            <v>5.7</v>
          </cell>
          <cell r="E10">
            <v>-0.06</v>
          </cell>
          <cell r="F10">
            <v>14.588200000000001</v>
          </cell>
          <cell r="G10">
            <v>-0.1459</v>
          </cell>
          <cell r="H10">
            <v>0.113</v>
          </cell>
          <cell r="K10">
            <v>1.8084840059864431</v>
          </cell>
          <cell r="L10">
            <v>1.5209878188292463</v>
          </cell>
        </row>
      </sheetData>
      <sheetData sheetId="3">
        <row r="5">
          <cell r="J5">
            <v>7.1999999999999998E-3</v>
          </cell>
          <cell r="K5">
            <v>5.5688910375990336E-3</v>
          </cell>
        </row>
        <row r="6">
          <cell r="C6">
            <v>25.19</v>
          </cell>
          <cell r="F6">
            <v>-0.25</v>
          </cell>
          <cell r="G6">
            <v>1.4500000000000001E-2</v>
          </cell>
          <cell r="H6">
            <v>-2.0000000000000001E-4</v>
          </cell>
          <cell r="J6">
            <v>6.4999999999999997E-3</v>
          </cell>
          <cell r="K6">
            <v>5.2595081845627977E-3</v>
          </cell>
        </row>
        <row r="7">
          <cell r="C7">
            <v>139.96</v>
          </cell>
          <cell r="F7">
            <v>-1.4</v>
          </cell>
          <cell r="G7">
            <v>2.5777000000000001</v>
          </cell>
          <cell r="H7">
            <v>-2.58E-2</v>
          </cell>
          <cell r="J7">
            <v>2.7930999999999999</v>
          </cell>
          <cell r="K7">
            <v>2.2465318947278483</v>
          </cell>
        </row>
        <row r="8">
          <cell r="C8">
            <v>518.85</v>
          </cell>
          <cell r="F8">
            <v>-5.19</v>
          </cell>
          <cell r="G8">
            <v>2.7397999999999998</v>
          </cell>
          <cell r="H8">
            <v>-2.7400000000000001E-2</v>
          </cell>
          <cell r="J8">
            <v>2.7930999999999999</v>
          </cell>
          <cell r="K8">
            <v>2.2465318991985725</v>
          </cell>
        </row>
        <row r="9">
          <cell r="C9">
            <v>10.53</v>
          </cell>
          <cell r="F9">
            <v>-0.11</v>
          </cell>
          <cell r="G9">
            <v>1.2200000000000001E-2</v>
          </cell>
          <cell r="H9">
            <v>-1E-4</v>
          </cell>
          <cell r="J9">
            <v>6.4999999999999997E-3</v>
          </cell>
          <cell r="K9">
            <v>5.2595002611578161E-3</v>
          </cell>
        </row>
        <row r="10">
          <cell r="C10">
            <v>3.09</v>
          </cell>
          <cell r="F10">
            <v>-0.03</v>
          </cell>
          <cell r="G10">
            <v>12.4552</v>
          </cell>
          <cell r="H10">
            <v>-0.1246</v>
          </cell>
          <cell r="J10">
            <v>2.0613999999999999</v>
          </cell>
          <cell r="K10">
            <v>1.6580852579052419</v>
          </cell>
        </row>
      </sheetData>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endix I_Bill Impacts"/>
      <sheetName val="Haldimand_2016 EDR_Total Bill I"/>
    </sheetNames>
    <sheetDataSet>
      <sheetData sheetId="0">
        <row r="182">
          <cell r="F182">
            <v>6.5500000000000003E-2</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Y49"/>
  <sheetViews>
    <sheetView tabSelected="1" zoomScaleNormal="100" workbookViewId="0">
      <pane xSplit="2" ySplit="2" topLeftCell="M3" activePane="bottomRight" state="frozen"/>
      <selection activeCell="C19" sqref="C19"/>
      <selection pane="topRight" activeCell="C19" sqref="C19"/>
      <selection pane="bottomLeft" activeCell="C19" sqref="C19"/>
      <selection pane="bottomRight" activeCell="C19" sqref="C19"/>
    </sheetView>
  </sheetViews>
  <sheetFormatPr defaultRowHeight="12.75" x14ac:dyDescent="0.2"/>
  <cols>
    <col min="1" max="1" width="18.42578125" bestFit="1" customWidth="1"/>
    <col min="2" max="3" width="14.7109375" customWidth="1"/>
    <col min="4" max="4" width="11.140625" customWidth="1"/>
    <col min="5" max="5" width="13" customWidth="1"/>
    <col min="6" max="6" width="12.140625" customWidth="1"/>
    <col min="7" max="7" width="13.5703125" style="144" customWidth="1"/>
    <col min="8" max="8" width="10" style="144" customWidth="1"/>
    <col min="9" max="9" width="10.7109375" style="144" customWidth="1"/>
    <col min="10" max="10" width="9.5703125" style="144" customWidth="1"/>
    <col min="11" max="11" width="10.42578125" style="144" customWidth="1"/>
    <col min="12" max="12" width="11" style="144" customWidth="1"/>
    <col min="13" max="13" width="11.42578125" style="144" customWidth="1"/>
    <col min="14" max="14" width="11.85546875" style="144" customWidth="1"/>
    <col min="15" max="15" width="9.85546875" style="144" customWidth="1"/>
    <col min="16" max="16" width="11.5703125" style="144" customWidth="1"/>
    <col min="17" max="18" width="10" customWidth="1"/>
    <col min="19" max="20" width="11" customWidth="1"/>
    <col min="21" max="21" width="13.85546875" customWidth="1"/>
    <col min="22" max="23" width="10.7109375" customWidth="1"/>
    <col min="24" max="24" width="9.5703125" customWidth="1"/>
    <col min="25" max="25" width="10.5703125" customWidth="1"/>
    <col min="26" max="26" width="11" customWidth="1"/>
    <col min="27" max="27" width="10.28515625" customWidth="1"/>
    <col min="28" max="28" width="10.7109375" customWidth="1"/>
  </cols>
  <sheetData>
    <row r="1" spans="1:25" x14ac:dyDescent="0.2">
      <c r="A1" s="9">
        <v>1</v>
      </c>
      <c r="B1" s="9">
        <v>2</v>
      </c>
      <c r="C1" s="9">
        <v>3</v>
      </c>
      <c r="D1" s="9">
        <v>4</v>
      </c>
      <c r="E1" s="9">
        <v>5</v>
      </c>
      <c r="F1" s="9">
        <v>6</v>
      </c>
      <c r="G1" s="143">
        <v>7</v>
      </c>
      <c r="H1" s="143">
        <v>8</v>
      </c>
      <c r="I1" s="143">
        <v>9</v>
      </c>
      <c r="J1" s="143">
        <v>10</v>
      </c>
      <c r="K1" s="143">
        <v>11</v>
      </c>
      <c r="L1" s="143">
        <v>12</v>
      </c>
      <c r="M1" s="143">
        <v>13</v>
      </c>
      <c r="N1" s="143">
        <v>14</v>
      </c>
      <c r="O1" s="143">
        <v>15</v>
      </c>
      <c r="P1" s="143">
        <v>16</v>
      </c>
      <c r="Q1" s="9">
        <v>17</v>
      </c>
      <c r="R1" s="9">
        <v>18</v>
      </c>
      <c r="S1" s="9">
        <v>19</v>
      </c>
      <c r="T1" s="9">
        <v>20</v>
      </c>
      <c r="U1" s="9">
        <v>21</v>
      </c>
      <c r="V1" s="9">
        <v>22</v>
      </c>
      <c r="W1" s="9">
        <v>23</v>
      </c>
      <c r="X1" s="9">
        <v>24</v>
      </c>
      <c r="Y1" s="9">
        <v>25</v>
      </c>
    </row>
    <row r="2" spans="1:25" s="12" customFormat="1" ht="89.25" x14ac:dyDescent="0.2">
      <c r="A2" s="10" t="s">
        <v>13</v>
      </c>
      <c r="B2" s="10" t="s">
        <v>14</v>
      </c>
      <c r="C2" s="10" t="s">
        <v>131</v>
      </c>
      <c r="D2" s="10" t="s">
        <v>15</v>
      </c>
      <c r="E2" s="10" t="s">
        <v>71</v>
      </c>
      <c r="F2" s="11" t="s">
        <v>17</v>
      </c>
      <c r="G2" s="11" t="s">
        <v>54</v>
      </c>
      <c r="H2" s="11" t="s">
        <v>187</v>
      </c>
      <c r="I2" s="11" t="s">
        <v>53</v>
      </c>
      <c r="J2" s="11" t="s">
        <v>52</v>
      </c>
      <c r="K2" s="11" t="s">
        <v>185</v>
      </c>
      <c r="L2" s="11" t="s">
        <v>186</v>
      </c>
      <c r="M2" s="11" t="s">
        <v>92</v>
      </c>
      <c r="N2" s="11" t="s">
        <v>93</v>
      </c>
      <c r="O2" s="11" t="s">
        <v>58</v>
      </c>
      <c r="P2" s="11" t="s">
        <v>59</v>
      </c>
      <c r="Q2" s="142" t="s">
        <v>55</v>
      </c>
      <c r="R2" s="11" t="s">
        <v>53</v>
      </c>
      <c r="S2" s="142" t="s">
        <v>57</v>
      </c>
      <c r="T2" s="11" t="s">
        <v>134</v>
      </c>
      <c r="U2" s="142" t="s">
        <v>135</v>
      </c>
      <c r="V2" s="142" t="s">
        <v>91</v>
      </c>
      <c r="W2" s="142" t="s">
        <v>87</v>
      </c>
      <c r="X2" s="142" t="s">
        <v>56</v>
      </c>
      <c r="Y2" s="142" t="s">
        <v>101</v>
      </c>
    </row>
    <row r="3" spans="1:25" x14ac:dyDescent="0.2">
      <c r="A3" s="6" t="s">
        <v>0</v>
      </c>
      <c r="B3" s="127">
        <v>1.0569999999999999</v>
      </c>
      <c r="C3" s="7">
        <v>750</v>
      </c>
      <c r="D3" s="7">
        <v>600</v>
      </c>
      <c r="E3" s="2"/>
      <c r="F3" s="4" t="s">
        <v>18</v>
      </c>
      <c r="G3" s="122">
        <f>VLOOKUP(A3,'[1]Data for Bill Impacts'!$A$3:$Y$16,17,0)</f>
        <v>35.880000000000003</v>
      </c>
      <c r="H3" s="78">
        <v>0</v>
      </c>
      <c r="I3" s="78">
        <v>0.79</v>
      </c>
      <c r="J3" s="126">
        <f>VLOOKUP(A3,'[1]Data for Bill Impacts'!$A$3:$Y$15,19,0)</f>
        <v>0</v>
      </c>
      <c r="K3" s="122"/>
      <c r="L3" s="126"/>
      <c r="M3" s="122">
        <f>VLOOKUP(A3,'[1]Data for Bill Impacts'!$A$3:$Y$16,22,0)</f>
        <v>0.01</v>
      </c>
      <c r="N3" s="126">
        <f>VLOOKUP(A3,'[1]Data for Bill Impacts'!$A$3:$Y$16,23,0)</f>
        <v>2.0000000000000001E-4</v>
      </c>
      <c r="O3" s="126">
        <f>VLOOKUP(A3,'[1]Data for Bill Impacts'!$A$3:$Y$16,24,0)</f>
        <v>7.8279999999999999E-3</v>
      </c>
      <c r="P3" s="126">
        <f>VLOOKUP(A3,'[1]Data for Bill Impacts'!$A$3:$Y$16,25,0)</f>
        <v>6.4380000000000001E-3</v>
      </c>
      <c r="Q3" s="3">
        <f>ROUND(VLOOKUP(A3,'[2]Rate Design'!$R$8:$W$20,2,0),2)</f>
        <v>36.72</v>
      </c>
      <c r="R3" s="2">
        <v>0.79</v>
      </c>
      <c r="S3" s="100">
        <f>ROUND(VLOOKUP(A3,'[2]Rate Design'!$R$8:$W$20,5,0)/100,4)</f>
        <v>0</v>
      </c>
      <c r="T3" s="126">
        <f>'[1]Data for Bill Impacts'!T3</f>
        <v>0</v>
      </c>
      <c r="U3" s="100">
        <f>T3</f>
        <v>0</v>
      </c>
      <c r="V3" s="100">
        <f>M3</f>
        <v>0.01</v>
      </c>
      <c r="W3" s="100">
        <f>N3</f>
        <v>2.0000000000000001E-4</v>
      </c>
      <c r="X3" s="100">
        <f>ROUND(IF($F3="kWh",VLOOKUP($A3,[3]Summary!$B$24:$Q$36,13,0)/100,VLOOKUP($A3,[3]Summary!$B$24:$Q$36,15,0)),4)</f>
        <v>7.7000000000000002E-3</v>
      </c>
      <c r="Y3" s="100">
        <f>ROUND(IF($F3="kWh",VLOOKUP($A3,[3]Summary!$B$24:$Q$36,14,0)/100,VLOOKUP($A3,[3]Summary!$B$24:$Q$36,16,0)),4)</f>
        <v>6.3E-3</v>
      </c>
    </row>
    <row r="4" spans="1:25" x14ac:dyDescent="0.2">
      <c r="A4" s="6" t="s">
        <v>1</v>
      </c>
      <c r="B4" s="127">
        <v>1.0760000000000001</v>
      </c>
      <c r="C4" s="7">
        <v>750</v>
      </c>
      <c r="D4" s="7">
        <v>600</v>
      </c>
      <c r="E4" s="2"/>
      <c r="F4" s="4" t="s">
        <v>18</v>
      </c>
      <c r="G4" s="122">
        <f>VLOOKUP(A4,'[1]Data for Bill Impacts'!$A$3:$Y$16,17,0)</f>
        <v>47.11</v>
      </c>
      <c r="H4" s="78">
        <v>0</v>
      </c>
      <c r="I4" s="78">
        <v>0.79</v>
      </c>
      <c r="J4" s="126">
        <f>VLOOKUP(A4,'[1]Data for Bill Impacts'!$A$3:$Y$15,19,0)</f>
        <v>1.6E-2</v>
      </c>
      <c r="K4" s="122"/>
      <c r="L4" s="126"/>
      <c r="M4" s="122">
        <f>VLOOKUP(A4,'[1]Data for Bill Impacts'!$A$3:$Y$16,22,0)</f>
        <v>0</v>
      </c>
      <c r="N4" s="126">
        <f>VLOOKUP(A4,'[1]Data for Bill Impacts'!$A$3:$Y$16,23,0)</f>
        <v>2.0000000000000001E-4</v>
      </c>
      <c r="O4" s="126">
        <f>VLOOKUP(A4,'[1]Data for Bill Impacts'!$A$3:$Y$16,24,0)</f>
        <v>7.2069999999999999E-3</v>
      </c>
      <c r="P4" s="126">
        <f>VLOOKUP(A4,'[1]Data for Bill Impacts'!$A$3:$Y$16,25,0)</f>
        <v>6.0319999999999992E-3</v>
      </c>
      <c r="Q4" s="3">
        <f>ROUND(VLOOKUP(A4,'[2]Rate Design'!$R$8:$W$20,2,0),2)</f>
        <v>52.36</v>
      </c>
      <c r="R4" s="2">
        <v>0.79</v>
      </c>
      <c r="S4" s="100">
        <f>ROUND(VLOOKUP(A4,'[2]Rate Design'!$R$8:$W$20,5,0)/100,4)</f>
        <v>1.1599999999999999E-2</v>
      </c>
      <c r="T4" s="126">
        <f>'[1]Data for Bill Impacts'!T4</f>
        <v>0</v>
      </c>
      <c r="U4" s="100">
        <f t="shared" ref="U4:U15" si="0">T4</f>
        <v>0</v>
      </c>
      <c r="V4" s="100">
        <f t="shared" ref="V4:V15" si="1">M4</f>
        <v>0</v>
      </c>
      <c r="W4" s="100">
        <f t="shared" ref="W4:W15" si="2">N4</f>
        <v>2.0000000000000001E-4</v>
      </c>
      <c r="X4" s="100">
        <f>ROUND(IF($F4="kWh",VLOOKUP($A4,[3]Summary!$B$24:$Q$36,13,0)/100,VLOOKUP($A4,[3]Summary!$B$24:$Q$36,15,0)),4)</f>
        <v>7.1999999999999998E-3</v>
      </c>
      <c r="Y4" s="100">
        <f>ROUND(IF($F4="kWh",VLOOKUP($A4,[3]Summary!$B$24:$Q$36,14,0)/100,VLOOKUP($A4,[3]Summary!$B$24:$Q$36,16,0)),4)</f>
        <v>5.8999999999999999E-3</v>
      </c>
    </row>
    <row r="5" spans="1:25" x14ac:dyDescent="0.2">
      <c r="A5" s="6" t="s">
        <v>2</v>
      </c>
      <c r="B5" s="127">
        <v>1.105</v>
      </c>
      <c r="C5" s="7">
        <v>750</v>
      </c>
      <c r="D5" s="7">
        <v>600</v>
      </c>
      <c r="E5" s="2"/>
      <c r="F5" s="4" t="s">
        <v>18</v>
      </c>
      <c r="G5" s="122">
        <f>VLOOKUP(A5,'[1]Data for Bill Impacts'!$A$3:$Y$16,17,0)</f>
        <v>44.23967830790393</v>
      </c>
      <c r="H5" s="78">
        <v>0</v>
      </c>
      <c r="I5" s="78">
        <v>0.79</v>
      </c>
      <c r="J5" s="126">
        <f>VLOOKUP(A5,'[1]Data for Bill Impacts'!$A$3:$Y$15,19,0)</f>
        <v>2.6800000000000001E-2</v>
      </c>
      <c r="K5" s="122"/>
      <c r="L5" s="126"/>
      <c r="M5" s="122">
        <f>VLOOKUP(A5,'[1]Data for Bill Impacts'!$A$3:$Y$16,22,0)</f>
        <v>-0.02</v>
      </c>
      <c r="N5" s="126">
        <f>VLOOKUP(A5,'[1]Data for Bill Impacts'!$A$3:$Y$16,23,0)</f>
        <v>2.0000000000000001E-4</v>
      </c>
      <c r="O5" s="126">
        <f>VLOOKUP(A5,'[1]Data for Bill Impacts'!$A$3:$Y$16,24,0)</f>
        <v>6.7400000000000003E-3</v>
      </c>
      <c r="P5" s="126">
        <f>VLOOKUP(A5,'[1]Data for Bill Impacts'!$A$3:$Y$16,25,0)</f>
        <v>5.6299999999999996E-3</v>
      </c>
      <c r="Q5" s="3">
        <f>ROUND(VLOOKUP(A5,'[2]Rate Design'!$R$8:$W$20,2,0),2)-[4]Sheet1!E7</f>
        <v>55.319678307903928</v>
      </c>
      <c r="R5" s="2">
        <v>0.79</v>
      </c>
      <c r="S5" s="100">
        <f>ROUND(VLOOKUP(A5,'[2]Rate Design'!$R$8:$W$20,5,0)/100,4)</f>
        <v>0.02</v>
      </c>
      <c r="T5" s="126">
        <f>'[1]Data for Bill Impacts'!T5</f>
        <v>0</v>
      </c>
      <c r="U5" s="100">
        <f t="shared" si="0"/>
        <v>0</v>
      </c>
      <c r="V5" s="100">
        <f t="shared" si="1"/>
        <v>-0.02</v>
      </c>
      <c r="W5" s="100">
        <f t="shared" si="2"/>
        <v>2.0000000000000001E-4</v>
      </c>
      <c r="X5" s="100">
        <f>ROUND(IF($F5="kWh",VLOOKUP($A5,[3]Summary!$B$24:$Q$36,13,0)/100,VLOOKUP($A5,[3]Summary!$B$24:$Q$36,15,0)),4)</f>
        <v>6.7999999999999996E-3</v>
      </c>
      <c r="Y5" s="100">
        <f>ROUND(IF($F5="kWh",VLOOKUP($A5,[3]Summary!$B$24:$Q$36,14,0)/100,VLOOKUP($A5,[3]Summary!$B$24:$Q$36,16,0)),4)</f>
        <v>5.4999999999999997E-3</v>
      </c>
    </row>
    <row r="6" spans="1:25" x14ac:dyDescent="0.2">
      <c r="A6" s="6" t="s">
        <v>3</v>
      </c>
      <c r="B6" s="127">
        <v>1.1040000000000001</v>
      </c>
      <c r="C6" s="7">
        <v>500</v>
      </c>
      <c r="D6" s="7">
        <v>600</v>
      </c>
      <c r="E6" s="2"/>
      <c r="F6" s="4" t="s">
        <v>18</v>
      </c>
      <c r="G6" s="122">
        <f>VLOOKUP(A6,'[1]Data for Bill Impacts'!$A$3:$Y$16,17,0)</f>
        <v>50.12</v>
      </c>
      <c r="H6" s="78">
        <v>0</v>
      </c>
      <c r="I6" s="78">
        <v>0.79</v>
      </c>
      <c r="J6" s="126">
        <f>VLOOKUP(A6,'[1]Data for Bill Impacts'!$A$3:$Y$15,19,0)</f>
        <v>4.3900000000000002E-2</v>
      </c>
      <c r="K6" s="122"/>
      <c r="L6" s="126"/>
      <c r="M6" s="122">
        <f>VLOOKUP(A6,'[1]Data for Bill Impacts'!$A$3:$Y$16,22,0)</f>
        <v>0</v>
      </c>
      <c r="N6" s="126">
        <f>VLOOKUP(A6,'[1]Data for Bill Impacts'!$A$3:$Y$16,23,0)</f>
        <v>2.0000000000000001E-4</v>
      </c>
      <c r="O6" s="126">
        <f>VLOOKUP(A6,'[1]Data for Bill Impacts'!$A$3:$Y$16,24,0)</f>
        <v>5.6559999999999996E-3</v>
      </c>
      <c r="P6" s="126">
        <f>VLOOKUP(A6,'[1]Data for Bill Impacts'!$A$3:$Y$16,25,0)</f>
        <v>4.8209999999999998E-3</v>
      </c>
      <c r="Q6" s="3">
        <f>ROUND(VLOOKUP(A6,'[2]Rate Design'!$R$8:$W$20,2,0),2)</f>
        <v>55.4</v>
      </c>
      <c r="R6" s="2">
        <v>0.79</v>
      </c>
      <c r="S6" s="100">
        <f>ROUND(VLOOKUP(A6,'[2]Rate Design'!$R$8:$W$20,5,0)/100,4)</f>
        <v>3.15E-2</v>
      </c>
      <c r="T6" s="126">
        <f>'[1]Data for Bill Impacts'!T6</f>
        <v>0</v>
      </c>
      <c r="U6" s="100">
        <f t="shared" si="0"/>
        <v>0</v>
      </c>
      <c r="V6" s="100">
        <f t="shared" si="1"/>
        <v>0</v>
      </c>
      <c r="W6" s="100">
        <f t="shared" si="2"/>
        <v>2.0000000000000001E-4</v>
      </c>
      <c r="X6" s="100">
        <f>ROUND(IF($F6="kWh",VLOOKUP($A6,[3]Summary!$B$24:$Q$36,13,0)/100,VLOOKUP($A6,[3]Summary!$B$24:$Q$36,15,0)),4)</f>
        <v>5.7999999999999996E-3</v>
      </c>
      <c r="Y6" s="100">
        <f>ROUND(IF($F6="kWh",VLOOKUP($A6,[3]Summary!$B$24:$Q$36,14,0)/100,VLOOKUP($A6,[3]Summary!$B$24:$Q$36,16,0)),4)</f>
        <v>4.7000000000000002E-3</v>
      </c>
    </row>
    <row r="7" spans="1:25" x14ac:dyDescent="0.2">
      <c r="A7" s="6" t="s">
        <v>4</v>
      </c>
      <c r="B7" s="127">
        <v>1.0960000000000001</v>
      </c>
      <c r="C7" s="7">
        <v>2000</v>
      </c>
      <c r="D7" s="7">
        <v>750</v>
      </c>
      <c r="E7" s="2"/>
      <c r="F7" s="4" t="s">
        <v>18</v>
      </c>
      <c r="G7" s="122">
        <f>VLOOKUP(A7,'[1]Data for Bill Impacts'!$A$3:$Y$16,17,0)</f>
        <v>30.91</v>
      </c>
      <c r="H7" s="78">
        <v>0</v>
      </c>
      <c r="I7" s="78">
        <v>0.79</v>
      </c>
      <c r="J7" s="126">
        <f>VLOOKUP(A7,'[1]Data for Bill Impacts'!$A$3:$Y$15,19,0)</f>
        <v>6.3399999999999998E-2</v>
      </c>
      <c r="K7" s="122"/>
      <c r="L7" s="126"/>
      <c r="M7" s="122">
        <f>VLOOKUP(A7,'[1]Data for Bill Impacts'!$A$3:$Y$16,22,0)</f>
        <v>0</v>
      </c>
      <c r="N7" s="126">
        <f>VLOOKUP(A7,'[1]Data for Bill Impacts'!$A$3:$Y$16,23,0)</f>
        <v>2.0000000000000001E-4</v>
      </c>
      <c r="O7" s="126">
        <f>VLOOKUP(A7,'[1]Data for Bill Impacts'!$A$3:$Y$16,24,0)</f>
        <v>5.6930000000000001E-3</v>
      </c>
      <c r="P7" s="126">
        <f>VLOOKUP(A7,'[1]Data for Bill Impacts'!$A$3:$Y$16,25,0)</f>
        <v>4.4740000000000005E-3</v>
      </c>
      <c r="Q7" s="3">
        <f>ROUND(VLOOKUP(A7,'[2]Rate Design'!$R$8:$W$20,2,0),2)</f>
        <v>31.41</v>
      </c>
      <c r="R7" s="2">
        <v>0.79</v>
      </c>
      <c r="S7" s="100">
        <f>ROUND(VLOOKUP(A7,'[2]Rate Design'!$R$8:$W$20,5,0)/100,4)</f>
        <v>6.5199999999999994E-2</v>
      </c>
      <c r="T7" s="126">
        <f>'[1]Data for Bill Impacts'!T7</f>
        <v>1.9E-3</v>
      </c>
      <c r="U7" s="100">
        <f t="shared" si="0"/>
        <v>1.9E-3</v>
      </c>
      <c r="V7" s="100">
        <f t="shared" si="1"/>
        <v>0</v>
      </c>
      <c r="W7" s="100">
        <f t="shared" si="2"/>
        <v>2.0000000000000001E-4</v>
      </c>
      <c r="X7" s="100">
        <f>ROUND(IF($F7="kWh",VLOOKUP($A7,[3]Summary!$B$24:$Q$36,13,0)/100,VLOOKUP($A7,[3]Summary!$B$24:$Q$36,15,0)),4)</f>
        <v>5.4999999999999997E-3</v>
      </c>
      <c r="Y7" s="100">
        <f>ROUND(IF($F7="kWh",VLOOKUP($A7,[3]Summary!$B$24:$Q$36,14,0)/100,VLOOKUP($A7,[3]Summary!$B$24:$Q$36,16,0)),4)</f>
        <v>4.4999999999999997E-3</v>
      </c>
    </row>
    <row r="8" spans="1:25" x14ac:dyDescent="0.2">
      <c r="A8" s="6" t="s">
        <v>6</v>
      </c>
      <c r="B8" s="127">
        <v>1.0669999999999999</v>
      </c>
      <c r="C8" s="7">
        <v>2000</v>
      </c>
      <c r="D8" s="7">
        <v>750</v>
      </c>
      <c r="E8" s="2"/>
      <c r="F8" s="4" t="s">
        <v>18</v>
      </c>
      <c r="G8" s="122">
        <f>VLOOKUP(A8,'[1]Data for Bill Impacts'!$A$3:$Y$16,17,0)</f>
        <v>25.11</v>
      </c>
      <c r="H8" s="78">
        <v>0</v>
      </c>
      <c r="I8" s="78">
        <v>0.79</v>
      </c>
      <c r="J8" s="126">
        <f>VLOOKUP(A8,'[1]Data for Bill Impacts'!$A$3:$Y$15,19,0)</f>
        <v>0.03</v>
      </c>
      <c r="K8" s="122"/>
      <c r="L8" s="126"/>
      <c r="M8" s="122">
        <f>VLOOKUP(A8,'[1]Data for Bill Impacts'!$A$3:$Y$16,22,0)</f>
        <v>0.01</v>
      </c>
      <c r="N8" s="126">
        <f>VLOOKUP(A8,'[1]Data for Bill Impacts'!$A$3:$Y$16,23,0)</f>
        <v>2.0000000000000001E-4</v>
      </c>
      <c r="O8" s="126">
        <f>VLOOKUP(A8,'[1]Data for Bill Impacts'!$A$3:$Y$16,24,0)</f>
        <v>6.1060000000000003E-3</v>
      </c>
      <c r="P8" s="126">
        <f>VLOOKUP(A8,'[1]Data for Bill Impacts'!$A$3:$Y$16,25,0)</f>
        <v>4.6519999999999999E-3</v>
      </c>
      <c r="Q8" s="3">
        <f>ROUND(VLOOKUP(A8,'[2]Rate Design'!$R$8:$W$20,2,0),2)</f>
        <v>25.6</v>
      </c>
      <c r="R8" s="2">
        <v>0.79</v>
      </c>
      <c r="S8" s="100">
        <f>ROUND(VLOOKUP(A8,'[2]Rate Design'!$R$8:$W$20,5,0)/100,4)</f>
        <v>3.0800000000000001E-2</v>
      </c>
      <c r="T8" s="126">
        <f>'[1]Data for Bill Impacts'!T8</f>
        <v>1.9E-3</v>
      </c>
      <c r="U8" s="100">
        <f t="shared" si="0"/>
        <v>1.9E-3</v>
      </c>
      <c r="V8" s="100">
        <f t="shared" si="1"/>
        <v>0.01</v>
      </c>
      <c r="W8" s="100">
        <f t="shared" si="2"/>
        <v>2.0000000000000001E-4</v>
      </c>
      <c r="X8" s="100">
        <f>ROUND(IF($F8="kWh",VLOOKUP($A8,[3]Summary!$B$24:$Q$36,13,0)/100,VLOOKUP($A8,[3]Summary!$B$24:$Q$36,15,0)),4)</f>
        <v>5.7999999999999996E-3</v>
      </c>
      <c r="Y8" s="100">
        <f>ROUND(IF($F8="kWh",VLOOKUP($A8,[3]Summary!$B$24:$Q$36,14,0)/100,VLOOKUP($A8,[3]Summary!$B$24:$Q$36,16,0)),4)</f>
        <v>4.7000000000000002E-3</v>
      </c>
    </row>
    <row r="9" spans="1:25" x14ac:dyDescent="0.2">
      <c r="A9" s="6" t="s">
        <v>8</v>
      </c>
      <c r="B9" s="127">
        <v>1.0920000000000001</v>
      </c>
      <c r="C9" s="7">
        <v>1440</v>
      </c>
      <c r="D9" s="7">
        <v>750</v>
      </c>
      <c r="E9" s="2"/>
      <c r="F9" s="4" t="s">
        <v>18</v>
      </c>
      <c r="G9" s="122">
        <f>VLOOKUP(A9,'[1]Data for Bill Impacts'!$A$3:$Y$16,17,0)</f>
        <v>4.33</v>
      </c>
      <c r="H9" s="78">
        <v>0</v>
      </c>
      <c r="I9" s="78">
        <v>0</v>
      </c>
      <c r="J9" s="126">
        <f>VLOOKUP(A9,'[1]Data for Bill Impacts'!$A$3:$Y$15,19,0)</f>
        <v>0.10440000000000001</v>
      </c>
      <c r="K9" s="122"/>
      <c r="L9" s="126"/>
      <c r="M9" s="122">
        <f>VLOOKUP(A9,'[1]Data for Bill Impacts'!$A$3:$Y$16,22,0)</f>
        <v>0</v>
      </c>
      <c r="N9" s="126">
        <f>VLOOKUP(A9,'[1]Data for Bill Impacts'!$A$3:$Y$16,23,0)</f>
        <v>2.0000000000000001E-4</v>
      </c>
      <c r="O9" s="126">
        <f>VLOOKUP(A9,'[1]Data for Bill Impacts'!$A$3:$Y$16,24,0)</f>
        <v>4.6979999999999999E-3</v>
      </c>
      <c r="P9" s="126">
        <f>VLOOKUP(A9,'[1]Data for Bill Impacts'!$A$3:$Y$16,25,0)</f>
        <v>4.2899999999999995E-3</v>
      </c>
      <c r="Q9" s="3">
        <f>ROUND(VLOOKUP(A9,'[2]Rate Design'!$R$8:$W$20,2,0),2)</f>
        <v>4.7699999999999996</v>
      </c>
      <c r="R9" s="2">
        <v>0</v>
      </c>
      <c r="S9" s="100">
        <f>ROUND(VLOOKUP(A9,'[2]Rate Design'!$R$8:$W$20,5,0)/100,4)</f>
        <v>0.107</v>
      </c>
      <c r="T9" s="126">
        <f>'[1]Data for Bill Impacts'!T9</f>
        <v>0</v>
      </c>
      <c r="U9" s="100">
        <f t="shared" si="0"/>
        <v>0</v>
      </c>
      <c r="V9" s="100">
        <f t="shared" si="1"/>
        <v>0</v>
      </c>
      <c r="W9" s="100">
        <f t="shared" si="2"/>
        <v>2.0000000000000001E-4</v>
      </c>
      <c r="X9" s="100">
        <f>'[3]DRO Exhibit 3.4'!$J$22</f>
        <v>3.836E-3</v>
      </c>
      <c r="Y9" s="100">
        <f>'[3]DRO Exhibit 3.4'!$K$22</f>
        <v>3.6240000000000001E-3</v>
      </c>
    </row>
    <row r="10" spans="1:25" x14ac:dyDescent="0.2">
      <c r="A10" s="6" t="s">
        <v>9</v>
      </c>
      <c r="B10" s="127">
        <v>1.0920000000000001</v>
      </c>
      <c r="C10" s="7">
        <v>62</v>
      </c>
      <c r="D10" s="7">
        <v>750</v>
      </c>
      <c r="E10" s="2"/>
      <c r="F10" s="4" t="s">
        <v>18</v>
      </c>
      <c r="G10" s="122">
        <f>VLOOKUP(A10,'[1]Data for Bill Impacts'!$A$3:$Y$16,17,0)</f>
        <v>3.45</v>
      </c>
      <c r="H10" s="78">
        <v>0</v>
      </c>
      <c r="I10" s="78">
        <v>0</v>
      </c>
      <c r="J10" s="126">
        <f>VLOOKUP(A10,'[1]Data for Bill Impacts'!$A$3:$Y$15,19,0)</f>
        <v>0.13120000000000001</v>
      </c>
      <c r="K10" s="122"/>
      <c r="L10" s="126"/>
      <c r="M10" s="122">
        <f>VLOOKUP(A10,'[1]Data for Bill Impacts'!$A$3:$Y$16,22,0)</f>
        <v>0</v>
      </c>
      <c r="N10" s="126">
        <f>VLOOKUP(A10,'[1]Data for Bill Impacts'!$A$3:$Y$16,23,0)</f>
        <v>1E-4</v>
      </c>
      <c r="O10" s="126">
        <f>VLOOKUP(A10,'[1]Data for Bill Impacts'!$A$3:$Y$16,24,0)</f>
        <v>4.6979999999999999E-3</v>
      </c>
      <c r="P10" s="126">
        <f>VLOOKUP(A10,'[1]Data for Bill Impacts'!$A$3:$Y$16,25,0)</f>
        <v>4.2899999999999995E-3</v>
      </c>
      <c r="Q10" s="3">
        <f>ROUND(VLOOKUP(A10,'[2]Rate Design'!$R$8:$W$20,2,0),2)</f>
        <v>3.6</v>
      </c>
      <c r="R10" s="2">
        <v>0</v>
      </c>
      <c r="S10" s="100">
        <f>ROUND(VLOOKUP(A10,'[2]Rate Design'!$R$8:$W$20,5,0)/100,4)</f>
        <v>0.1338</v>
      </c>
      <c r="T10" s="126">
        <f>'[1]Data for Bill Impacts'!T10</f>
        <v>0</v>
      </c>
      <c r="U10" s="100">
        <f t="shared" si="0"/>
        <v>0</v>
      </c>
      <c r="V10" s="100">
        <f t="shared" si="1"/>
        <v>0</v>
      </c>
      <c r="W10" s="100">
        <f t="shared" si="2"/>
        <v>1E-4</v>
      </c>
      <c r="X10" s="100">
        <f>X9</f>
        <v>3.836E-3</v>
      </c>
      <c r="Y10" s="100">
        <f>Y9</f>
        <v>3.6240000000000001E-3</v>
      </c>
    </row>
    <row r="11" spans="1:25" x14ac:dyDescent="0.2">
      <c r="A11" s="8" t="s">
        <v>12</v>
      </c>
      <c r="B11" s="127">
        <v>1.0920000000000001</v>
      </c>
      <c r="C11" s="7">
        <v>500</v>
      </c>
      <c r="D11" s="7">
        <v>750</v>
      </c>
      <c r="E11" s="2"/>
      <c r="F11" s="4" t="s">
        <v>18</v>
      </c>
      <c r="G11" s="122">
        <f>VLOOKUP(A11,'[1]Data for Bill Impacts'!$A$3:$Y$16,17,0)</f>
        <v>36.880000000000003</v>
      </c>
      <c r="H11" s="78">
        <v>0</v>
      </c>
      <c r="I11" s="78">
        <v>0</v>
      </c>
      <c r="J11" s="126">
        <f>VLOOKUP(A11,'[1]Data for Bill Impacts'!$A$3:$Y$15,19,0)</f>
        <v>0.03</v>
      </c>
      <c r="K11" s="122"/>
      <c r="L11" s="126"/>
      <c r="M11" s="122">
        <f>VLOOKUP(A11,'[1]Data for Bill Impacts'!$A$3:$Y$16,22,0)</f>
        <v>-0.01</v>
      </c>
      <c r="N11" s="126">
        <f>VLOOKUP(A11,'[1]Data for Bill Impacts'!$A$3:$Y$16,23,0)</f>
        <v>2.0000000000000001E-4</v>
      </c>
      <c r="O11" s="126">
        <f>VLOOKUP(A11,'[1]Data for Bill Impacts'!$A$3:$Y$16,24,0)</f>
        <v>4.7699999999999999E-3</v>
      </c>
      <c r="P11" s="126">
        <f>VLOOKUP(A11,'[1]Data for Bill Impacts'!$A$3:$Y$16,25,0)</f>
        <v>3.7950000000000002E-3</v>
      </c>
      <c r="Q11" s="3">
        <f>ROUND(VLOOKUP(A11,'[2]Rate Design'!$R$8:$W$20,2,0),2)</f>
        <v>37.5</v>
      </c>
      <c r="R11" s="2">
        <v>0</v>
      </c>
      <c r="S11" s="100">
        <f>ROUND(VLOOKUP(A11,'[2]Rate Design'!$R$8:$W$20,5,0)/100,4)</f>
        <v>3.04E-2</v>
      </c>
      <c r="T11" s="126">
        <f>'[1]Data for Bill Impacts'!T11</f>
        <v>0</v>
      </c>
      <c r="U11" s="100">
        <f t="shared" si="0"/>
        <v>0</v>
      </c>
      <c r="V11" s="100">
        <f t="shared" si="1"/>
        <v>-0.01</v>
      </c>
      <c r="W11" s="100">
        <f t="shared" si="2"/>
        <v>2.0000000000000001E-4</v>
      </c>
      <c r="X11" s="100">
        <f>ROUND(IF($F11="kWh",VLOOKUP($A11,[3]Summary!$B$24:$Q$36,13,0)/100,VLOOKUP($A11,[3]Summary!$B$24:$Q$36,15,0)),4)</f>
        <v>4.7000000000000002E-3</v>
      </c>
      <c r="Y11" s="100">
        <f>ROUND(IF($F11="kWh",VLOOKUP($A11,[3]Summary!$B$24:$Q$36,14,0)/100,VLOOKUP($A11,[3]Summary!$B$24:$Q$36,16,0)),4)</f>
        <v>3.8E-3</v>
      </c>
    </row>
    <row r="12" spans="1:25" x14ac:dyDescent="0.2">
      <c r="A12" s="6" t="s">
        <v>5</v>
      </c>
      <c r="B12" s="127">
        <v>1.0609999999999999</v>
      </c>
      <c r="C12" s="7">
        <v>36000</v>
      </c>
      <c r="D12" s="7">
        <v>0</v>
      </c>
      <c r="E12" s="2">
        <v>117</v>
      </c>
      <c r="F12" s="4" t="s">
        <v>19</v>
      </c>
      <c r="G12" s="122">
        <f>VLOOKUP(A12,'[1]Data for Bill Impacts'!$A$3:$Y$16,17,0)</f>
        <v>106.28</v>
      </c>
      <c r="H12" s="78">
        <v>0</v>
      </c>
      <c r="I12" s="78">
        <v>0</v>
      </c>
      <c r="J12" s="126">
        <f>VLOOKUP(A12,'[1]Data for Bill Impacts'!$A$3:$Y$15,19,0)</f>
        <v>17.8734</v>
      </c>
      <c r="K12" s="122"/>
      <c r="L12" s="126"/>
      <c r="M12" s="122">
        <f>VLOOKUP(A12,'[1]Data for Bill Impacts'!$A$3:$Y$16,22,0)</f>
        <v>-0.02</v>
      </c>
      <c r="N12" s="126">
        <f>VLOOKUP(A12,'[1]Data for Bill Impacts'!$A$3:$Y$16,23,0)</f>
        <v>4.7E-2</v>
      </c>
      <c r="O12" s="126">
        <f>VLOOKUP(A12,'[1]Data for Bill Impacts'!$A$3:$Y$16,24,0)</f>
        <v>1.6718177000000001</v>
      </c>
      <c r="P12" s="126">
        <f>VLOOKUP(A12,'[1]Data for Bill Impacts'!$A$3:$Y$16,25,0)</f>
        <v>1.2769135</v>
      </c>
      <c r="Q12" s="3">
        <f>ROUND(VLOOKUP(A12,'[2]Rate Design'!$R$8:$W$20,2,0),2)</f>
        <v>107.62</v>
      </c>
      <c r="R12" s="2">
        <v>0</v>
      </c>
      <c r="S12" s="100">
        <f>ROUND(VLOOKUP(A12,'[2]Rate Design'!$R$8:$W$20,6,0),4)</f>
        <v>18.352900000000002</v>
      </c>
      <c r="T12" s="126">
        <f>'[1]Data for Bill Impacts'!T12</f>
        <v>1.9E-3</v>
      </c>
      <c r="U12" s="100">
        <f t="shared" si="0"/>
        <v>1.9E-3</v>
      </c>
      <c r="V12" s="100">
        <f t="shared" si="1"/>
        <v>-0.02</v>
      </c>
      <c r="W12" s="100">
        <f t="shared" si="2"/>
        <v>4.7E-2</v>
      </c>
      <c r="X12" s="100">
        <f>ROUND(IF($F12="kWh",VLOOKUP($A12,[3]Summary!$B$24:$Q$36,13,0)/100,VLOOKUP($A12,[3]Summary!$B$24:$Q$36,15,0))*1.061,4)</f>
        <v>1.5908</v>
      </c>
      <c r="Y12" s="100">
        <f>ROUND(IF($F12="kWh",VLOOKUP($A12,[3]Summary!$B$24:$Q$36,14,0)/100,VLOOKUP($A12,[3]Summary!$B$24:$Q$36,16,0))*1.061,4)</f>
        <v>1.2918000000000001</v>
      </c>
    </row>
    <row r="13" spans="1:25" x14ac:dyDescent="0.2">
      <c r="A13" s="6" t="s">
        <v>7</v>
      </c>
      <c r="B13" s="127">
        <v>1.05</v>
      </c>
      <c r="C13" s="7">
        <v>36000</v>
      </c>
      <c r="D13" s="7">
        <v>0</v>
      </c>
      <c r="E13" s="2">
        <v>117</v>
      </c>
      <c r="F13" s="4" t="s">
        <v>19</v>
      </c>
      <c r="G13" s="122">
        <f>VLOOKUP(A13,'[1]Data for Bill Impacts'!$A$3:$Y$16,17,0)</f>
        <v>105.1</v>
      </c>
      <c r="H13" s="78">
        <v>0</v>
      </c>
      <c r="I13" s="78">
        <v>0</v>
      </c>
      <c r="J13" s="126">
        <f>VLOOKUP(A13,'[1]Data for Bill Impacts'!$A$3:$Y$15,19,0)</f>
        <v>10.236800000000001</v>
      </c>
      <c r="K13" s="122"/>
      <c r="L13" s="126"/>
      <c r="M13" s="122">
        <f>VLOOKUP(A13,'[1]Data for Bill Impacts'!$A$3:$Y$16,22,0)</f>
        <v>0.01</v>
      </c>
      <c r="N13" s="126">
        <f>VLOOKUP(A13,'[1]Data for Bill Impacts'!$A$3:$Y$16,23,0)</f>
        <v>6.4600000000000005E-2</v>
      </c>
      <c r="O13" s="126">
        <f>VLOOKUP(A13,'[1]Data for Bill Impacts'!$A$3:$Y$16,24,0)</f>
        <v>2.2310400000000001</v>
      </c>
      <c r="P13" s="126">
        <f>VLOOKUP(A13,'[1]Data for Bill Impacts'!$A$3:$Y$16,25,0)</f>
        <v>1.7046749999999999</v>
      </c>
      <c r="Q13" s="3">
        <f>ROUND(VLOOKUP(A13,'[2]Rate Design'!$R$8:$W$20,2,0),2)</f>
        <v>106.7</v>
      </c>
      <c r="R13" s="2">
        <v>0</v>
      </c>
      <c r="S13" s="100">
        <f>ROUND(VLOOKUP(A13,'[2]Rate Design'!$R$8:$W$20,6,0),4)</f>
        <v>10.513299999999999</v>
      </c>
      <c r="T13" s="126">
        <f>'[1]Data for Bill Impacts'!T13</f>
        <v>1.9E-3</v>
      </c>
      <c r="U13" s="100">
        <f t="shared" si="0"/>
        <v>1.9E-3</v>
      </c>
      <c r="V13" s="100">
        <f t="shared" si="1"/>
        <v>0.01</v>
      </c>
      <c r="W13" s="100">
        <f t="shared" si="2"/>
        <v>6.4600000000000005E-2</v>
      </c>
      <c r="X13" s="100">
        <f>ROUND(IF($F13="kWh",VLOOKUP($A13,[3]Summary!$B$24:$Q$36,13,0)/100,VLOOKUP($A13,[3]Summary!$B$24:$Q$36,15,0))*1.05,4)</f>
        <v>2.1349</v>
      </c>
      <c r="Y13" s="100">
        <f>ROUND(IF($F13="kWh",VLOOKUP($A13,[3]Summary!$B$24:$Q$36,14,0)/100,VLOOKUP($A13,[3]Summary!$B$24:$Q$36,16,0))*1.05,4)</f>
        <v>1.7284999999999999</v>
      </c>
    </row>
    <row r="14" spans="1:25" x14ac:dyDescent="0.2">
      <c r="A14" s="8" t="s">
        <v>10</v>
      </c>
      <c r="B14" s="127">
        <v>1.0609999999999999</v>
      </c>
      <c r="C14" s="7">
        <v>2000</v>
      </c>
      <c r="D14" s="7">
        <v>0</v>
      </c>
      <c r="E14" s="2">
        <v>15</v>
      </c>
      <c r="F14" s="4" t="s">
        <v>19</v>
      </c>
      <c r="G14" s="122">
        <f>VLOOKUP(A14,'[1]Data for Bill Impacts'!$A$3:$Y$16,17,0)</f>
        <v>198.03</v>
      </c>
      <c r="H14" s="78">
        <v>0</v>
      </c>
      <c r="I14" s="78">
        <v>0</v>
      </c>
      <c r="J14" s="126">
        <f>VLOOKUP(A14,'[1]Data for Bill Impacts'!$A$3:$Y$15,19,0)</f>
        <v>10.379</v>
      </c>
      <c r="K14" s="122"/>
      <c r="L14" s="126"/>
      <c r="M14" s="122">
        <f>VLOOKUP(A14,'[1]Data for Bill Impacts'!$A$3:$Y$16,22,0)</f>
        <v>0.01</v>
      </c>
      <c r="N14" s="126">
        <f>VLOOKUP(A14,'[1]Data for Bill Impacts'!$A$3:$Y$16,23,0)</f>
        <v>1.72E-2</v>
      </c>
      <c r="O14" s="126">
        <f>VLOOKUP(A14,'[1]Data for Bill Impacts'!$A$3:$Y$16,24,0)</f>
        <v>0.63108279999999994</v>
      </c>
      <c r="P14" s="126">
        <f>VLOOKUP(A14,'[1]Data for Bill Impacts'!$A$3:$Y$16,25,0)</f>
        <v>0.54747599999999996</v>
      </c>
      <c r="Q14" s="3">
        <f>ROUND(VLOOKUP(A14,'[2]Rate Design'!$R$8:$W$20,2,0),2)</f>
        <v>198.03</v>
      </c>
      <c r="R14" s="2">
        <v>0</v>
      </c>
      <c r="S14" s="100">
        <f>ROUND(VLOOKUP(A14,'[2]Rate Design'!$R$8:$W$20,6,0),4)</f>
        <v>11.1084</v>
      </c>
      <c r="T14" s="126">
        <f>'[1]Data for Bill Impacts'!T14</f>
        <v>1.9E-3</v>
      </c>
      <c r="U14" s="100">
        <f t="shared" si="0"/>
        <v>1.9E-3</v>
      </c>
      <c r="V14" s="100">
        <f t="shared" si="1"/>
        <v>0.01</v>
      </c>
      <c r="W14" s="100">
        <f t="shared" si="2"/>
        <v>1.72E-2</v>
      </c>
      <c r="X14" s="100">
        <f>ROUND(IF($F14="kWh",VLOOKUP($A14,[3]Summary!$B$24:$Q$36,13,0)/100,VLOOKUP($A14,[3]Summary!$B$24:$Q$36,15,0))*1.061,4)</f>
        <v>0.63949999999999996</v>
      </c>
      <c r="Y14" s="100">
        <f>ROUND(IF($F14="kWh",VLOOKUP($A14,[3]Summary!$B$24:$Q$36,14,0)/100,VLOOKUP($A14,[3]Summary!$B$24:$Q$36,16,0))*1.061,4)</f>
        <v>0.55430000000000001</v>
      </c>
    </row>
    <row r="15" spans="1:25" x14ac:dyDescent="0.2">
      <c r="A15" s="8" t="s">
        <v>11</v>
      </c>
      <c r="B15" s="127">
        <v>1.034</v>
      </c>
      <c r="C15" s="7">
        <v>36000</v>
      </c>
      <c r="D15" s="7">
        <v>0</v>
      </c>
      <c r="E15" s="2">
        <v>117</v>
      </c>
      <c r="F15" s="4" t="s">
        <v>19</v>
      </c>
      <c r="G15" s="122">
        <f>VLOOKUP(A15,'[1]Data for Bill Impacts'!$A$3:$Y$16,17,0)</f>
        <v>1256.8800000000001</v>
      </c>
      <c r="H15" s="78">
        <v>0</v>
      </c>
      <c r="I15" s="78">
        <v>0</v>
      </c>
      <c r="J15" s="126">
        <f>VLOOKUP(A15,'[1]Data for Bill Impacts'!$A$3:$Y$15,19,0)</f>
        <v>1.4140356552332787</v>
      </c>
      <c r="K15" s="122"/>
      <c r="L15" s="126"/>
      <c r="M15" s="122">
        <f>VLOOKUP(A15,'[1]Data for Bill Impacts'!$A$3:$Y$16,22,0)</f>
        <v>3.83</v>
      </c>
      <c r="N15" s="126">
        <f>VLOOKUP(A15,'[1]Data for Bill Impacts'!$A$3:$Y$16,23,0)</f>
        <v>0.27289999999999998</v>
      </c>
      <c r="O15" s="126">
        <f>VLOOKUP(A15,'[1]Data for Bill Impacts'!$A$3:$Y$16,24,0)</f>
        <v>3.4866480000000002</v>
      </c>
      <c r="P15" s="126">
        <f>VLOOKUP(A15,'[1]Data for Bill Impacts'!$A$3:$Y$16,25,0)</f>
        <v>2.6021643999999999</v>
      </c>
      <c r="Q15" s="3">
        <f>SUM('[5]Rate Calc'!$G$16:$H$16)</f>
        <v>1269.2</v>
      </c>
      <c r="R15" s="2">
        <v>0</v>
      </c>
      <c r="S15" s="100">
        <f>'[5]Rate Calc'!$D$36</f>
        <v>1.4475424689830076</v>
      </c>
      <c r="T15" s="126">
        <f>'[1]Data for Bill Impacts'!T15</f>
        <v>1.9E-3</v>
      </c>
      <c r="U15" s="100">
        <f t="shared" si="0"/>
        <v>1.9E-3</v>
      </c>
      <c r="V15" s="100">
        <f t="shared" si="1"/>
        <v>3.83</v>
      </c>
      <c r="W15" s="100">
        <f t="shared" si="2"/>
        <v>0.27289999999999998</v>
      </c>
      <c r="X15" s="153">
        <f>ROUND([3]Summary!$N$18*1.034,4)</f>
        <v>3.5367000000000002</v>
      </c>
      <c r="Y15" s="153">
        <f>ROUND(([3]Summary!$O$18+[3]Summary!$P$18)*1.034,4)</f>
        <v>2.6514000000000002</v>
      </c>
    </row>
    <row r="16" spans="1:25" x14ac:dyDescent="0.2">
      <c r="A16" s="158" t="s">
        <v>195</v>
      </c>
      <c r="B16" s="159">
        <v>1.0569999999999999</v>
      </c>
      <c r="C16" s="134">
        <v>750</v>
      </c>
      <c r="D16" s="134">
        <v>600</v>
      </c>
      <c r="E16" s="134"/>
      <c r="F16" s="160" t="s">
        <v>18</v>
      </c>
      <c r="G16" s="161">
        <f>VLOOKUP(A16,[6]Acq_Rates!$A$2:$C$7,2,FALSE)</f>
        <v>29.98</v>
      </c>
      <c r="H16" s="134">
        <v>0</v>
      </c>
      <c r="I16" s="134">
        <v>0.79</v>
      </c>
      <c r="J16" s="134">
        <f>VLOOKUP(A16,[6]Acq_Rates!$A$2:$C$7,3,FALSE)</f>
        <v>0</v>
      </c>
      <c r="K16" s="134"/>
      <c r="L16" s="196"/>
      <c r="M16" s="134"/>
      <c r="N16" s="134"/>
      <c r="O16" s="162">
        <f t="shared" ref="O16:P18" si="3">O22</f>
        <v>7.1999999999999998E-3</v>
      </c>
      <c r="P16" s="162">
        <f t="shared" si="3"/>
        <v>5.5688910375990336E-3</v>
      </c>
      <c r="Q16" s="161">
        <f>ROUND(VLOOKUP(A16,'[2]Rate Design'!$R$8:$W$26,2,FALSE),2)</f>
        <v>30.76</v>
      </c>
      <c r="R16" s="134">
        <v>0.79</v>
      </c>
      <c r="S16" s="134">
        <f>ROUND(VLOOKUP(A16,'[2]Rate Design'!$R$8:$W$26,5,FALSE),2)</f>
        <v>0</v>
      </c>
      <c r="T16" s="197"/>
      <c r="U16" s="100"/>
      <c r="V16" s="100"/>
      <c r="W16" s="100"/>
      <c r="X16" s="153">
        <f>ROUND(IF($F16="kWh",VLOOKUP($A16,[3]Summary!$B$24:$Q$41,13,0)/100,VLOOKUP($A16,[3]Summary!$B$24:$Q$41,15,0)),4)</f>
        <v>7.3000000000000001E-3</v>
      </c>
      <c r="Y16" s="153">
        <f>ROUND(IF($F16="kWh",VLOOKUP($A16,[3]Summary!$B$24:$Q$41,14,0)/100,VLOOKUP($A16,[3]Summary!$B$24:$Q$41,16,0)),4)</f>
        <v>6.1999999999999998E-3</v>
      </c>
    </row>
    <row r="17" spans="1:25" x14ac:dyDescent="0.2">
      <c r="A17" s="158" t="s">
        <v>196</v>
      </c>
      <c r="B17" s="159">
        <v>1.0569999999999999</v>
      </c>
      <c r="C17" s="134">
        <v>2000</v>
      </c>
      <c r="D17" s="134">
        <v>750</v>
      </c>
      <c r="E17" s="134"/>
      <c r="F17" s="160" t="s">
        <v>18</v>
      </c>
      <c r="G17" s="161">
        <f>VLOOKUP(A17,[6]Acq_Rates!$A$2:$C$7,2,FALSE)</f>
        <v>25.19</v>
      </c>
      <c r="H17" s="134">
        <v>0</v>
      </c>
      <c r="I17" s="134">
        <v>0.79</v>
      </c>
      <c r="J17" s="134">
        <f>VLOOKUP(A17,[6]Acq_Rates!$A$2:$C$7,3,FALSE)</f>
        <v>1.4500000000000001E-2</v>
      </c>
      <c r="K17" s="134"/>
      <c r="L17" s="196"/>
      <c r="M17" s="134"/>
      <c r="N17" s="134"/>
      <c r="O17" s="162">
        <f t="shared" si="3"/>
        <v>6.4999999999999997E-3</v>
      </c>
      <c r="P17" s="162">
        <f t="shared" si="3"/>
        <v>5.2595081845627977E-3</v>
      </c>
      <c r="Q17" s="161">
        <f>ROUND(VLOOKUP(A17,'[2]Rate Design'!$R$8:$W$26,2,FALSE),2)</f>
        <v>30.24</v>
      </c>
      <c r="R17" s="134">
        <v>0.79</v>
      </c>
      <c r="S17" s="134">
        <f>ROUND(VLOOKUP(A17,'[2]Rate Design'!$R$8:$W$26,5,FALSE),2)/100</f>
        <v>1.7399999999999999E-2</v>
      </c>
      <c r="T17" s="197"/>
      <c r="U17" s="100"/>
      <c r="V17" s="100"/>
      <c r="W17" s="100"/>
      <c r="X17" s="153">
        <f>ROUND(IF($F17="kWh",VLOOKUP($A17,[3]Summary!$B$24:$Q$41,13,0)/100,VLOOKUP($A17,[3]Summary!$B$24:$Q$41,15,0)),4)</f>
        <v>5.5999999999999999E-3</v>
      </c>
      <c r="Y17" s="153">
        <f>ROUND(IF($F17="kWh",VLOOKUP($A17,[3]Summary!$B$24:$Q$41,14,0)/100,VLOOKUP($A17,[3]Summary!$B$24:$Q$41,16,0)),4)</f>
        <v>4.5999999999999999E-3</v>
      </c>
    </row>
    <row r="18" spans="1:25" x14ac:dyDescent="0.2">
      <c r="A18" s="158" t="s">
        <v>197</v>
      </c>
      <c r="B18" s="159">
        <v>1.0465</v>
      </c>
      <c r="C18" s="146">
        <v>36000</v>
      </c>
      <c r="D18" s="134">
        <v>0</v>
      </c>
      <c r="E18" s="134">
        <v>117</v>
      </c>
      <c r="F18" s="160" t="s">
        <v>19</v>
      </c>
      <c r="G18" s="161">
        <f>VLOOKUP(A18,[6]Acq_Rates!$A$2:$C$7,2,FALSE)</f>
        <v>139.96</v>
      </c>
      <c r="H18" s="134">
        <v>0</v>
      </c>
      <c r="I18" s="134">
        <v>0</v>
      </c>
      <c r="J18" s="134">
        <f>VLOOKUP(A18,[6]Acq_Rates!$A$2:$C$7,3,FALSE)</f>
        <v>2.5777000000000001</v>
      </c>
      <c r="K18" s="134"/>
      <c r="L18" s="196"/>
      <c r="M18" s="134"/>
      <c r="N18" s="134"/>
      <c r="O18" s="162">
        <f t="shared" si="3"/>
        <v>2.7930999999999999</v>
      </c>
      <c r="P18" s="162">
        <f t="shared" si="3"/>
        <v>2.2465318947278483</v>
      </c>
      <c r="Q18" s="161">
        <f>ROUND(VLOOKUP(A18,'[2]Rate Design'!$R$8:$W$26,2,FALSE),2)</f>
        <v>209.83</v>
      </c>
      <c r="R18" s="134">
        <v>0</v>
      </c>
      <c r="S18" s="134">
        <f>ROUND(VLOOKUP(A18,'[2]Rate Design'!$R$8:$W$26,6,FALSE),2)</f>
        <v>3.86</v>
      </c>
      <c r="T18" s="197"/>
      <c r="U18" s="100"/>
      <c r="V18" s="100"/>
      <c r="W18" s="100"/>
      <c r="X18" s="153">
        <f>ROUND(IF($F18="kWh",VLOOKUP($A18,[3]Summary!$B$24:$Q$41,13,0)/100,VLOOKUP($A18,[3]Summary!$B$24:$Q$41,15,0))*B18,4)</f>
        <v>1.8612</v>
      </c>
      <c r="Y18" s="153">
        <f>ROUND(IF($F18="kWh",VLOOKUP($A18,[3]Summary!$B$24:$Q$41,14,0)/100,VLOOKUP($A18,[3]Summary!$B$24:$Q$41,16,0))*B18,4)</f>
        <v>1.5062</v>
      </c>
    </row>
    <row r="19" spans="1:25" x14ac:dyDescent="0.2">
      <c r="A19" s="158" t="s">
        <v>180</v>
      </c>
      <c r="B19" s="159">
        <v>1.0667</v>
      </c>
      <c r="C19" s="146">
        <v>750</v>
      </c>
      <c r="D19" s="134">
        <v>600</v>
      </c>
      <c r="E19" s="134"/>
      <c r="F19" s="160" t="s">
        <v>18</v>
      </c>
      <c r="G19" s="161">
        <f>VLOOKUP(A19,[6]Acq_Rates!$A$2:$C$7,2,FALSE)</f>
        <v>36.183594907627622</v>
      </c>
      <c r="H19" s="134">
        <v>0</v>
      </c>
      <c r="I19" s="134">
        <v>0.79</v>
      </c>
      <c r="J19" s="134">
        <f>VLOOKUP(A19,[6]Acq_Rates!$A$2:$C$7,3,FALSE)</f>
        <v>0</v>
      </c>
      <c r="K19" s="134"/>
      <c r="L19" s="196"/>
      <c r="M19" s="189"/>
      <c r="N19" s="189"/>
      <c r="O19" s="163">
        <f t="shared" ref="O19:P21" si="4">O28</f>
        <v>6.5444567943617011E-3</v>
      </c>
      <c r="P19" s="163">
        <f t="shared" si="4"/>
        <v>5.4157299366720292E-3</v>
      </c>
      <c r="Q19" s="161">
        <f>ROUND(VLOOKUP(A19,'[2]Rate Design'!$R$8:$W$26,2,FALSE),2)</f>
        <v>40.08</v>
      </c>
      <c r="R19" s="134">
        <v>0.79</v>
      </c>
      <c r="S19" s="134">
        <f>ROUND(VLOOKUP(A19,'[2]Rate Design'!$R$8:$W$26,5,FALSE),2)</f>
        <v>0</v>
      </c>
      <c r="T19" s="197"/>
      <c r="U19" s="100"/>
      <c r="V19" s="100"/>
      <c r="W19" s="100"/>
      <c r="X19" s="153">
        <f>ROUND(IF($F19="kWh",VLOOKUP($A19,[3]Summary!$B$24:$Q$41,13,0)/100,VLOOKUP($A19,[3]Summary!$B$24:$Q$41,15,0)),4)</f>
        <v>7.1000000000000004E-3</v>
      </c>
      <c r="Y19" s="153">
        <f>ROUND(IF($F19="kWh",VLOOKUP($A19,[3]Summary!$B$24:$Q$41,14,0)/100,VLOOKUP($A19,[3]Summary!$B$24:$Q$41,16,0)),4)</f>
        <v>6.0000000000000001E-3</v>
      </c>
    </row>
    <row r="20" spans="1:25" x14ac:dyDescent="0.2">
      <c r="A20" s="158" t="s">
        <v>181</v>
      </c>
      <c r="B20" s="159">
        <v>1.0667</v>
      </c>
      <c r="C20" s="146">
        <v>2000</v>
      </c>
      <c r="D20" s="134">
        <v>750</v>
      </c>
      <c r="E20" s="134"/>
      <c r="F20" s="160" t="s">
        <v>18</v>
      </c>
      <c r="G20" s="161">
        <f>VLOOKUP(A20,[6]Acq_Rates!$A$2:$C$7,2,FALSE)</f>
        <v>37.64447069341503</v>
      </c>
      <c r="H20" s="134">
        <v>0</v>
      </c>
      <c r="I20" s="134">
        <v>0</v>
      </c>
      <c r="J20" s="134">
        <f>VLOOKUP(A20,[6]Acq_Rates!$A$2:$C$7,3,FALSE)</f>
        <v>1.7265913381700172E-2</v>
      </c>
      <c r="K20" s="134"/>
      <c r="L20" s="196"/>
      <c r="M20" s="189"/>
      <c r="N20" s="189"/>
      <c r="O20" s="163">
        <f t="shared" si="4"/>
        <v>5.8707628331982429E-3</v>
      </c>
      <c r="P20" s="163">
        <f t="shared" si="4"/>
        <v>4.9991353519971207E-3</v>
      </c>
      <c r="Q20" s="161">
        <f>ROUND(VLOOKUP(A20,'[2]Rate Design'!$R$8:$W$26,2,FALSE),2)</f>
        <v>40.82</v>
      </c>
      <c r="R20" s="134">
        <v>0.79</v>
      </c>
      <c r="S20" s="134">
        <f>ROUND(VLOOKUP(A20,'[2]Rate Design'!$R$8:$W$26,5,FALSE),2)/100</f>
        <v>1.8700000000000001E-2</v>
      </c>
      <c r="T20" s="197"/>
      <c r="U20" s="100"/>
      <c r="V20" s="100"/>
      <c r="W20" s="100"/>
      <c r="X20" s="153">
        <f>ROUND(IF($F20="kWh",VLOOKUP($A20,[3]Summary!$B$24:$Q$41,13,0)/100,VLOOKUP($A20,[3]Summary!$B$24:$Q$41,15,0)),4)</f>
        <v>5.3E-3</v>
      </c>
      <c r="Y20" s="153">
        <f>ROUND(IF($F20="kWh",VLOOKUP($A20,[3]Summary!$B$24:$Q$41,14,0)/100,VLOOKUP($A20,[3]Summary!$B$24:$Q$41,16,0)),4)</f>
        <v>4.4000000000000003E-3</v>
      </c>
    </row>
    <row r="21" spans="1:25" x14ac:dyDescent="0.2">
      <c r="A21" s="158" t="s">
        <v>182</v>
      </c>
      <c r="B21" s="159">
        <v>1.0563</v>
      </c>
      <c r="C21" s="146">
        <v>36000</v>
      </c>
      <c r="D21" s="134">
        <v>0</v>
      </c>
      <c r="E21" s="134">
        <v>117</v>
      </c>
      <c r="F21" s="160" t="s">
        <v>19</v>
      </c>
      <c r="G21" s="161">
        <f>[6]Acq_Rates!$G$11</f>
        <v>245.55</v>
      </c>
      <c r="H21" s="134">
        <v>0</v>
      </c>
      <c r="I21" s="134">
        <v>0</v>
      </c>
      <c r="J21" s="134">
        <f>VLOOKUP(A21,[6]Acq_Rates!$A$2:$C$7,3,FALSE)</f>
        <v>3.9470106138249523</v>
      </c>
      <c r="K21" s="134"/>
      <c r="L21" s="196"/>
      <c r="M21" s="189"/>
      <c r="N21" s="189"/>
      <c r="O21" s="163">
        <f t="shared" si="4"/>
        <v>2.503832177640037</v>
      </c>
      <c r="P21" s="163">
        <f t="shared" si="4"/>
        <v>2.1172379802527086</v>
      </c>
      <c r="Q21" s="161">
        <f>ROUND(VLOOKUP(A21,'[2]Rate Design'!$R$8:$W$26,2,FALSE),2)</f>
        <v>208.51</v>
      </c>
      <c r="R21" s="134">
        <v>0</v>
      </c>
      <c r="S21" s="134">
        <f>ROUND(VLOOKUP(A21,'[2]Rate Design'!$R$8:$W$26,6,FALSE),2)</f>
        <v>5.14</v>
      </c>
      <c r="T21" s="197"/>
      <c r="U21" s="100"/>
      <c r="V21" s="100"/>
      <c r="W21" s="100"/>
      <c r="X21" s="153">
        <f>ROUND(IF($F21="kWh",VLOOKUP($A21,[3]Summary!$B$24:$Q$41,13,0)/100,VLOOKUP($A21,[3]Summary!$B$24:$Q$41,15,0))*B21,4)</f>
        <v>1.8483000000000001</v>
      </c>
      <c r="Y21" s="153">
        <f>ROUND(IF($F21="kWh",VLOOKUP($A21,[3]Summary!$B$24:$Q$41,14,0)/100,VLOOKUP($A21,[3]Summary!$B$24:$Q$41,16,0))*B21,4)</f>
        <v>1.5101</v>
      </c>
    </row>
    <row r="22" spans="1:25" x14ac:dyDescent="0.2">
      <c r="A22" s="152" t="s">
        <v>113</v>
      </c>
      <c r="B22" s="153">
        <f>'[7]2017 Bill Impact'!$C$10</f>
        <v>1.0430999999999999</v>
      </c>
      <c r="C22" s="154">
        <v>750</v>
      </c>
      <c r="D22" s="2"/>
      <c r="E22" s="2"/>
      <c r="F22" s="157" t="s">
        <v>18</v>
      </c>
      <c r="G22" s="3">
        <f>[6]Acq_Rates!$B$2</f>
        <v>29.98</v>
      </c>
      <c r="H22" s="78">
        <v>0</v>
      </c>
      <c r="I22" s="78">
        <v>0.79</v>
      </c>
      <c r="J22" s="3">
        <f>[6]Acq_Rates!$C$2</f>
        <v>0</v>
      </c>
      <c r="K22" s="267">
        <v>-0.3</v>
      </c>
      <c r="L22" s="203">
        <v>0</v>
      </c>
      <c r="M22" s="2"/>
      <c r="N22" s="2"/>
      <c r="O22" s="100">
        <f>'[8]For Inergi_2017 Proposed WHSI'!J5</f>
        <v>7.1999999999999998E-3</v>
      </c>
      <c r="P22" s="100">
        <f>'[8]For Inergi_2017 Proposed WHSI'!K5</f>
        <v>5.5688910375990336E-3</v>
      </c>
      <c r="Q22" s="2"/>
      <c r="R22" s="2"/>
      <c r="S22" s="100"/>
      <c r="T22" s="7"/>
      <c r="U22" s="7"/>
      <c r="V22" s="7"/>
      <c r="W22" s="7"/>
      <c r="X22" s="154"/>
      <c r="Y22" s="203"/>
    </row>
    <row r="23" spans="1:25" x14ac:dyDescent="0.2">
      <c r="A23" s="152" t="s">
        <v>114</v>
      </c>
      <c r="B23" s="153">
        <v>1.0430999999999999</v>
      </c>
      <c r="C23" s="154">
        <v>2000</v>
      </c>
      <c r="D23" s="7">
        <v>750</v>
      </c>
      <c r="E23" s="2"/>
      <c r="F23" s="4" t="s">
        <v>18</v>
      </c>
      <c r="G23" s="3">
        <f>'[8]For Inergi_2017 Proposed WHSI'!C6</f>
        <v>25.19</v>
      </c>
      <c r="H23" s="78">
        <v>0</v>
      </c>
      <c r="I23" s="78">
        <v>0.79</v>
      </c>
      <c r="J23" s="156">
        <f>'[8]For Inergi_2017 Proposed WHSI'!G6</f>
        <v>1.4500000000000001E-2</v>
      </c>
      <c r="K23" s="3">
        <f>'[8]For Inergi_2017 Proposed WHSI'!$F6</f>
        <v>-0.25</v>
      </c>
      <c r="L23" s="2">
        <f>'[8]For Inergi_2017 Proposed WHSI'!$H6</f>
        <v>-2.0000000000000001E-4</v>
      </c>
      <c r="M23" s="2"/>
      <c r="N23" s="2"/>
      <c r="O23" s="100">
        <f>'[8]For Inergi_2017 Proposed WHSI'!J6</f>
        <v>6.4999999999999997E-3</v>
      </c>
      <c r="P23" s="100">
        <f>'[8]For Inergi_2017 Proposed WHSI'!K6</f>
        <v>5.2595081845627977E-3</v>
      </c>
      <c r="Q23" s="2"/>
      <c r="R23" s="2"/>
      <c r="S23" s="2"/>
      <c r="T23" s="7"/>
      <c r="U23" s="7"/>
      <c r="V23" s="7"/>
      <c r="W23" s="7"/>
      <c r="X23" s="7"/>
      <c r="Y23" s="2"/>
    </row>
    <row r="24" spans="1:25" x14ac:dyDescent="0.2">
      <c r="A24" s="152" t="s">
        <v>115</v>
      </c>
      <c r="B24" s="153">
        <v>1.0430999999999999</v>
      </c>
      <c r="C24" s="154">
        <v>219000</v>
      </c>
      <c r="D24" s="154">
        <v>0</v>
      </c>
      <c r="E24" s="154">
        <v>500</v>
      </c>
      <c r="F24" s="4" t="s">
        <v>19</v>
      </c>
      <c r="G24" s="3">
        <f>'[8]For Inergi_2017 Proposed WHSI'!C7</f>
        <v>139.96</v>
      </c>
      <c r="H24" s="78">
        <v>0</v>
      </c>
      <c r="I24" s="78">
        <v>0</v>
      </c>
      <c r="J24" s="156">
        <f>'[8]For Inergi_2017 Proposed WHSI'!G7</f>
        <v>2.5777000000000001</v>
      </c>
      <c r="K24" s="3">
        <f>'[8]For Inergi_2017 Proposed WHSI'!$F7</f>
        <v>-1.4</v>
      </c>
      <c r="L24" s="2">
        <f>'[8]For Inergi_2017 Proposed WHSI'!$H7</f>
        <v>-2.58E-2</v>
      </c>
      <c r="M24" s="2"/>
      <c r="N24" s="2"/>
      <c r="O24" s="100">
        <f>'[8]For Inergi_2017 Proposed WHSI'!J7</f>
        <v>2.7930999999999999</v>
      </c>
      <c r="P24" s="100">
        <f>'[8]For Inergi_2017 Proposed WHSI'!K7</f>
        <v>2.2465318947278483</v>
      </c>
      <c r="Q24" s="2"/>
      <c r="R24" s="2"/>
      <c r="S24" s="2"/>
      <c r="T24" s="7"/>
      <c r="U24" s="7"/>
      <c r="V24" s="7"/>
      <c r="W24" s="7"/>
      <c r="X24" s="7"/>
      <c r="Y24" s="2"/>
    </row>
    <row r="25" spans="1:25" x14ac:dyDescent="0.2">
      <c r="A25" s="152" t="s">
        <v>118</v>
      </c>
      <c r="B25" s="153">
        <v>1.0430999999999999</v>
      </c>
      <c r="C25" s="154">
        <v>1095000</v>
      </c>
      <c r="D25" s="149">
        <v>0</v>
      </c>
      <c r="E25" s="78">
        <v>2500</v>
      </c>
      <c r="F25" s="155" t="s">
        <v>19</v>
      </c>
      <c r="G25" s="3">
        <f>'[8]For Inergi_2017 Proposed WHSI'!C8</f>
        <v>518.85</v>
      </c>
      <c r="H25" s="78">
        <v>0</v>
      </c>
      <c r="I25" s="78">
        <v>0</v>
      </c>
      <c r="J25" s="156">
        <f>'[8]For Inergi_2017 Proposed WHSI'!G8</f>
        <v>2.7397999999999998</v>
      </c>
      <c r="K25" s="3">
        <f>'[8]For Inergi_2017 Proposed WHSI'!$F8</f>
        <v>-5.19</v>
      </c>
      <c r="L25" s="2">
        <f>'[8]For Inergi_2017 Proposed WHSI'!$H8</f>
        <v>-2.7400000000000001E-2</v>
      </c>
      <c r="M25" s="2"/>
      <c r="N25" s="78"/>
      <c r="O25" s="100">
        <f>'[8]For Inergi_2017 Proposed WHSI'!J8</f>
        <v>2.7930999999999999</v>
      </c>
      <c r="P25" s="100">
        <f>'[8]For Inergi_2017 Proposed WHSI'!K8</f>
        <v>2.2465318991985725</v>
      </c>
      <c r="Q25" s="2"/>
      <c r="R25" s="2"/>
      <c r="S25" s="2"/>
      <c r="T25" s="7"/>
      <c r="U25" s="7"/>
      <c r="V25" s="7"/>
      <c r="W25" s="7"/>
      <c r="X25" s="7"/>
      <c r="Y25" s="2"/>
    </row>
    <row r="26" spans="1:25" x14ac:dyDescent="0.2">
      <c r="A26" s="152" t="s">
        <v>117</v>
      </c>
      <c r="B26" s="126">
        <v>1.0430999999999999</v>
      </c>
      <c r="C26" s="154">
        <v>150</v>
      </c>
      <c r="D26" s="7">
        <v>750</v>
      </c>
      <c r="E26" s="2"/>
      <c r="F26" s="4" t="s">
        <v>18</v>
      </c>
      <c r="G26" s="3">
        <f>'[8]For Inergi_2017 Proposed WHSI'!C9</f>
        <v>10.53</v>
      </c>
      <c r="H26" s="78">
        <v>0</v>
      </c>
      <c r="I26" s="78">
        <v>0</v>
      </c>
      <c r="J26" s="156">
        <f>'[8]For Inergi_2017 Proposed WHSI'!G9</f>
        <v>1.2200000000000001E-2</v>
      </c>
      <c r="K26" s="3">
        <f>'[8]For Inergi_2017 Proposed WHSI'!$F9</f>
        <v>-0.11</v>
      </c>
      <c r="L26" s="2">
        <f>'[8]For Inergi_2017 Proposed WHSI'!$H9</f>
        <v>-1E-4</v>
      </c>
      <c r="M26" s="2"/>
      <c r="N26" s="2"/>
      <c r="O26" s="100">
        <f>'[8]For Inergi_2017 Proposed WHSI'!J9</f>
        <v>6.4999999999999997E-3</v>
      </c>
      <c r="P26" s="100">
        <f>'[8]For Inergi_2017 Proposed WHSI'!K9</f>
        <v>5.2595002611578161E-3</v>
      </c>
      <c r="Q26" s="2"/>
      <c r="R26" s="2"/>
      <c r="S26" s="2"/>
      <c r="T26" s="7"/>
      <c r="U26" s="7"/>
      <c r="V26" s="7"/>
      <c r="W26" s="7"/>
      <c r="X26" s="7"/>
      <c r="Y26" s="2"/>
    </row>
    <row r="27" spans="1:25" x14ac:dyDescent="0.2">
      <c r="A27" s="152" t="s">
        <v>116</v>
      </c>
      <c r="B27" s="153">
        <v>1.0430999999999999</v>
      </c>
      <c r="C27" s="154">
        <f>E27*8760/12/2</f>
        <v>204400</v>
      </c>
      <c r="D27" s="7">
        <v>750</v>
      </c>
      <c r="E27" s="2">
        <v>560</v>
      </c>
      <c r="F27" s="4" t="s">
        <v>19</v>
      </c>
      <c r="G27" s="3">
        <f>'[8]For Inergi_2017 Proposed WHSI'!C10</f>
        <v>3.09</v>
      </c>
      <c r="H27" s="78">
        <v>0</v>
      </c>
      <c r="I27" s="78">
        <v>0</v>
      </c>
      <c r="J27" s="156">
        <f>'[8]For Inergi_2017 Proposed WHSI'!G10</f>
        <v>12.4552</v>
      </c>
      <c r="K27" s="3">
        <f>'[8]For Inergi_2017 Proposed WHSI'!$F10</f>
        <v>-0.03</v>
      </c>
      <c r="L27" s="2">
        <f>'[8]For Inergi_2017 Proposed WHSI'!$H10</f>
        <v>-0.1246</v>
      </c>
      <c r="M27" s="2"/>
      <c r="N27" s="78"/>
      <c r="O27" s="100">
        <f>'[8]For Inergi_2017 Proposed WHSI'!J10</f>
        <v>2.0613999999999999</v>
      </c>
      <c r="P27" s="100">
        <f>'[8]For Inergi_2017 Proposed WHSI'!K10</f>
        <v>1.6580852579052419</v>
      </c>
      <c r="Q27" s="2"/>
      <c r="R27" s="2"/>
      <c r="S27" s="2"/>
      <c r="T27" s="7"/>
      <c r="U27" s="7"/>
      <c r="V27" s="7"/>
      <c r="W27" s="7"/>
      <c r="X27" s="7"/>
      <c r="Y27" s="2"/>
    </row>
    <row r="28" spans="1:25" x14ac:dyDescent="0.2">
      <c r="A28" s="147" t="s">
        <v>119</v>
      </c>
      <c r="B28" s="257">
        <f>1+'[9]Appendix I_Bill Impacts'!$F$182</f>
        <v>1.0655000000000001</v>
      </c>
      <c r="C28" s="147">
        <v>750</v>
      </c>
      <c r="D28" s="147"/>
      <c r="E28" s="147"/>
      <c r="F28" s="258" t="s">
        <v>18</v>
      </c>
      <c r="G28" s="259">
        <f>[6]Acq_Rates!$G$4</f>
        <v>35.619999999999997</v>
      </c>
      <c r="H28" s="147">
        <f>'[8]For Inergi_2017 Proposed HCHI'!$H5</f>
        <v>4.0000000000000002E-4</v>
      </c>
      <c r="I28" s="147">
        <v>0.79</v>
      </c>
      <c r="J28" s="259">
        <f>[6]Acq_Rates!$C$5</f>
        <v>0</v>
      </c>
      <c r="K28" s="259">
        <v>-0.36</v>
      </c>
      <c r="L28" s="147">
        <v>0</v>
      </c>
      <c r="M28" s="147"/>
      <c r="N28" s="147"/>
      <c r="O28" s="257">
        <f>'[8]For Inergi_2017 Proposed HCHI'!K5</f>
        <v>6.5444567943617011E-3</v>
      </c>
      <c r="P28" s="257">
        <f>'[8]For Inergi_2017 Proposed HCHI'!L5</f>
        <v>5.4157299366720292E-3</v>
      </c>
      <c r="Q28" s="147"/>
      <c r="R28" s="147"/>
      <c r="S28" s="147"/>
      <c r="T28" s="147"/>
      <c r="U28" s="147"/>
      <c r="V28" s="257"/>
      <c r="W28" s="147"/>
      <c r="X28" s="147"/>
      <c r="Y28" s="147"/>
    </row>
    <row r="29" spans="1:25" x14ac:dyDescent="0.2">
      <c r="A29" s="147" t="s">
        <v>120</v>
      </c>
      <c r="B29" s="257">
        <v>1.0654999999999999</v>
      </c>
      <c r="C29" s="260">
        <v>2000</v>
      </c>
      <c r="D29" s="260">
        <v>750</v>
      </c>
      <c r="E29" s="147"/>
      <c r="F29" s="258" t="s">
        <v>18</v>
      </c>
      <c r="G29" s="259">
        <f>'[8]For Inergi_2017 Proposed HCHI'!C6</f>
        <v>26.94</v>
      </c>
      <c r="H29" s="147">
        <f>'[8]For Inergi_2017 Proposed HCHI'!$H6</f>
        <v>4.0000000000000002E-4</v>
      </c>
      <c r="I29" s="147">
        <v>0.79</v>
      </c>
      <c r="J29" s="147">
        <f>'[8]For Inergi_2017 Proposed HCHI'!F6</f>
        <v>1.9E-2</v>
      </c>
      <c r="K29" s="259">
        <f>'[8]For Inergi_2017 Proposed HCHI'!$E6</f>
        <v>-0.27</v>
      </c>
      <c r="L29" s="147">
        <f>'[8]For Inergi_2017 Proposed HCHI'!$G6</f>
        <v>-2.0000000000000001E-4</v>
      </c>
      <c r="M29" s="147"/>
      <c r="N29" s="147"/>
      <c r="O29" s="257">
        <f>'[8]For Inergi_2017 Proposed HCHI'!K6</f>
        <v>5.8707628331982429E-3</v>
      </c>
      <c r="P29" s="257">
        <f>'[8]For Inergi_2017 Proposed HCHI'!L6</f>
        <v>4.9991353519971207E-3</v>
      </c>
      <c r="Q29" s="147"/>
      <c r="R29" s="147"/>
      <c r="S29" s="147"/>
      <c r="T29" s="147"/>
      <c r="U29" s="147"/>
      <c r="V29" s="257"/>
      <c r="W29" s="147"/>
      <c r="X29" s="147"/>
      <c r="Y29" s="147"/>
    </row>
    <row r="30" spans="1:25" x14ac:dyDescent="0.2">
      <c r="A30" s="147" t="s">
        <v>121</v>
      </c>
      <c r="B30" s="257">
        <v>1.0654999999999999</v>
      </c>
      <c r="C30" s="260">
        <v>500000</v>
      </c>
      <c r="D30" s="260">
        <v>750</v>
      </c>
      <c r="E30" s="260">
        <v>1000</v>
      </c>
      <c r="F30" s="258" t="s">
        <v>19</v>
      </c>
      <c r="G30" s="259">
        <f>'[8]For Inergi_2017 Proposed HCHI'!C7</f>
        <v>83.61</v>
      </c>
      <c r="H30" s="147">
        <f>'[8]For Inergi_2017 Proposed HCHI'!$H7</f>
        <v>0.155</v>
      </c>
      <c r="I30" s="147">
        <v>0</v>
      </c>
      <c r="J30" s="147">
        <f>'[8]For Inergi_2017 Proposed HCHI'!F7</f>
        <v>3.9339</v>
      </c>
      <c r="K30" s="259">
        <f>'[8]For Inergi_2017 Proposed HCHI'!$E7</f>
        <v>-0.84</v>
      </c>
      <c r="L30" s="147">
        <f>'[8]For Inergi_2017 Proposed HCHI'!$G7</f>
        <v>-3.9300000000000002E-2</v>
      </c>
      <c r="M30" s="147"/>
      <c r="N30" s="147"/>
      <c r="O30" s="257">
        <f>'[8]For Inergi_2017 Proposed HCHI'!K7</f>
        <v>2.503832177640037</v>
      </c>
      <c r="P30" s="257">
        <f>'[8]For Inergi_2017 Proposed HCHI'!L7</f>
        <v>2.1172379802527086</v>
      </c>
      <c r="Q30" s="147"/>
      <c r="R30" s="147"/>
      <c r="S30" s="147"/>
      <c r="T30" s="147"/>
      <c r="U30" s="147"/>
      <c r="V30" s="257"/>
      <c r="W30" s="147"/>
      <c r="X30" s="147"/>
      <c r="Y30" s="147"/>
    </row>
    <row r="31" spans="1:25" x14ac:dyDescent="0.2">
      <c r="A31" s="147" t="s">
        <v>123</v>
      </c>
      <c r="B31" s="257">
        <v>1.0654999999999999</v>
      </c>
      <c r="C31" s="260">
        <v>500</v>
      </c>
      <c r="D31" s="260">
        <v>750</v>
      </c>
      <c r="E31" s="147"/>
      <c r="F31" s="258" t="s">
        <v>18</v>
      </c>
      <c r="G31" s="259">
        <f>'[8]For Inergi_2017 Proposed HCHI'!C8</f>
        <v>19.510000000000002</v>
      </c>
      <c r="H31" s="147">
        <f>'[8]For Inergi_2017 Proposed HCHI'!$H8</f>
        <v>4.0000000000000002E-4</v>
      </c>
      <c r="I31" s="147">
        <v>0</v>
      </c>
      <c r="J31" s="147">
        <f>'[8]For Inergi_2017 Proposed HCHI'!F8</f>
        <v>2.5000000000000001E-3</v>
      </c>
      <c r="K31" s="259">
        <f>'[8]For Inergi_2017 Proposed HCHI'!$E8</f>
        <v>-0.2</v>
      </c>
      <c r="L31" s="147">
        <f>'[8]For Inergi_2017 Proposed HCHI'!$G8</f>
        <v>-3.0000000000000001E-5</v>
      </c>
      <c r="M31" s="147"/>
      <c r="N31" s="147"/>
      <c r="O31" s="257">
        <f>'[8]For Inergi_2017 Proposed HCHI'!K8</f>
        <v>5.8707754984320933E-3</v>
      </c>
      <c r="P31" s="257">
        <f>'[8]For Inergi_2017 Proposed HCHI'!L8</f>
        <v>4.9991360917706956E-3</v>
      </c>
      <c r="Q31" s="147"/>
      <c r="R31" s="147"/>
      <c r="S31" s="147"/>
      <c r="T31" s="147"/>
      <c r="U31" s="147"/>
      <c r="V31" s="257"/>
      <c r="W31" s="147"/>
      <c r="X31" s="147"/>
      <c r="Y31" s="147"/>
    </row>
    <row r="32" spans="1:25" x14ac:dyDescent="0.2">
      <c r="A32" s="147" t="s">
        <v>124</v>
      </c>
      <c r="B32" s="257">
        <v>1.0654999999999999</v>
      </c>
      <c r="C32" s="260">
        <f>E32*8760/12/2</f>
        <v>76.649999999999991</v>
      </c>
      <c r="D32" s="260">
        <v>750</v>
      </c>
      <c r="E32" s="147">
        <v>0.21</v>
      </c>
      <c r="F32" s="258" t="s">
        <v>19</v>
      </c>
      <c r="G32" s="259">
        <f>'[8]For Inergi_2017 Proposed HCHI'!C9</f>
        <v>14.23</v>
      </c>
      <c r="H32" s="147">
        <f>'[8]For Inergi_2017 Proposed HCHI'!$H9</f>
        <v>0.1099</v>
      </c>
      <c r="I32" s="147">
        <v>0</v>
      </c>
      <c r="J32" s="147">
        <f>'[8]For Inergi_2017 Proposed HCHI'!F9</f>
        <v>36.726100000000002</v>
      </c>
      <c r="K32" s="259">
        <f>'[8]For Inergi_2017 Proposed HCHI'!$E9</f>
        <v>-0.14000000000000001</v>
      </c>
      <c r="L32" s="147">
        <f>'[8]For Inergi_2017 Proposed HCHI'!$G9</f>
        <v>-0.36730000000000002</v>
      </c>
      <c r="M32" s="147"/>
      <c r="N32" s="147"/>
      <c r="O32" s="257">
        <f>'[8]For Inergi_2017 Proposed HCHI'!K9</f>
        <v>1.8176267636501726</v>
      </c>
      <c r="P32" s="257">
        <f>'[8]For Inergi_2017 Proposed HCHI'!L9</f>
        <v>1.5528490729347468</v>
      </c>
      <c r="Q32" s="147"/>
      <c r="R32" s="147"/>
      <c r="S32" s="147"/>
      <c r="T32" s="147"/>
      <c r="U32" s="147"/>
      <c r="V32" s="257"/>
      <c r="W32" s="147"/>
      <c r="X32" s="147"/>
      <c r="Y32" s="147"/>
    </row>
    <row r="33" spans="1:25" x14ac:dyDescent="0.2">
      <c r="A33" s="147" t="s">
        <v>122</v>
      </c>
      <c r="B33" s="257">
        <v>1.0654999999999999</v>
      </c>
      <c r="C33" s="260">
        <f>E33*8760/12/2</f>
        <v>200750</v>
      </c>
      <c r="D33" s="260">
        <v>750</v>
      </c>
      <c r="E33" s="261">
        <v>550</v>
      </c>
      <c r="F33" s="258" t="s">
        <v>19</v>
      </c>
      <c r="G33" s="259">
        <f>'[8]For Inergi_2017 Proposed HCHI'!C10</f>
        <v>5.7</v>
      </c>
      <c r="H33" s="147">
        <f>'[8]For Inergi_2017 Proposed HCHI'!$H10</f>
        <v>0.113</v>
      </c>
      <c r="I33" s="147">
        <v>0</v>
      </c>
      <c r="J33" s="147">
        <f>'[8]For Inergi_2017 Proposed HCHI'!F10</f>
        <v>14.588200000000001</v>
      </c>
      <c r="K33" s="259">
        <f>'[8]For Inergi_2017 Proposed HCHI'!$E10</f>
        <v>-0.06</v>
      </c>
      <c r="L33" s="147">
        <f>'[8]For Inergi_2017 Proposed HCHI'!$G10</f>
        <v>-0.1459</v>
      </c>
      <c r="M33" s="147"/>
      <c r="N33" s="147"/>
      <c r="O33" s="257">
        <f>'[8]For Inergi_2017 Proposed HCHI'!K10</f>
        <v>1.8084840059864431</v>
      </c>
      <c r="P33" s="257">
        <f>'[8]For Inergi_2017 Proposed HCHI'!L10</f>
        <v>1.5209878188292463</v>
      </c>
      <c r="Q33" s="147"/>
      <c r="R33" s="147"/>
      <c r="S33" s="147"/>
      <c r="T33" s="147"/>
      <c r="U33" s="147"/>
      <c r="V33" s="257"/>
      <c r="W33" s="147"/>
      <c r="X33" s="147"/>
      <c r="Y33" s="147"/>
    </row>
    <row r="34" spans="1:25" x14ac:dyDescent="0.2">
      <c r="A34" s="262" t="s">
        <v>125</v>
      </c>
      <c r="B34" s="263">
        <v>1.0564</v>
      </c>
      <c r="C34" s="262">
        <v>750</v>
      </c>
      <c r="D34" s="262"/>
      <c r="E34" s="262"/>
      <c r="F34" s="264" t="s">
        <v>18</v>
      </c>
      <c r="G34" s="265">
        <f>[6]Acq_Rates!$G$3</f>
        <v>36.78</v>
      </c>
      <c r="H34" s="262">
        <f>'[8]For Inergi_2017 Proposed NDPI'!$H5</f>
        <v>8.9999999999999998E-4</v>
      </c>
      <c r="I34" s="262">
        <v>0.79</v>
      </c>
      <c r="J34" s="265">
        <f>[6]Acq_Rates!$C$5</f>
        <v>0</v>
      </c>
      <c r="K34" s="262">
        <v>-0.55000000000000004</v>
      </c>
      <c r="L34" s="262">
        <v>0</v>
      </c>
      <c r="M34" s="262"/>
      <c r="N34" s="262"/>
      <c r="O34" s="263">
        <f>'[8]For Inergi_2017 Proposed NDPI'!K5</f>
        <v>6.7999999999999996E-3</v>
      </c>
      <c r="P34" s="263">
        <f>'[8]For Inergi_2017 Proposed NDPI'!L5</f>
        <v>3.5999999999999999E-3</v>
      </c>
      <c r="Q34" s="262"/>
      <c r="R34" s="262"/>
      <c r="S34" s="262"/>
      <c r="T34" s="262"/>
      <c r="U34" s="262"/>
      <c r="V34" s="262"/>
      <c r="W34" s="262"/>
      <c r="X34" s="262"/>
      <c r="Y34" s="262"/>
    </row>
    <row r="35" spans="1:25" x14ac:dyDescent="0.2">
      <c r="A35" s="262" t="s">
        <v>126</v>
      </c>
      <c r="B35" s="263">
        <v>1.0564</v>
      </c>
      <c r="C35" s="266">
        <v>2000</v>
      </c>
      <c r="D35" s="266">
        <v>750</v>
      </c>
      <c r="E35" s="262"/>
      <c r="F35" s="264" t="s">
        <v>18</v>
      </c>
      <c r="G35" s="265">
        <f>'[8]For Inergi_2017 Proposed NDPI'!C6</f>
        <v>49.98</v>
      </c>
      <c r="H35" s="262">
        <f>'[8]For Inergi_2017 Proposed NDPI'!$H6</f>
        <v>8.0000000000000004E-4</v>
      </c>
      <c r="I35" s="262">
        <v>0.79</v>
      </c>
      <c r="J35" s="262">
        <f>'[8]For Inergi_2017 Proposed NDPI'!F6</f>
        <v>1.5599999999999999E-2</v>
      </c>
      <c r="K35" s="265">
        <f>'[8]For Inergi_2017 Proposed NDPI'!$E6</f>
        <v>-0.74</v>
      </c>
      <c r="L35" s="262">
        <f>'[8]For Inergi_2017 Proposed NDPI'!$G6</f>
        <v>-2.9999999999999997E-4</v>
      </c>
      <c r="M35" s="262"/>
      <c r="N35" s="262"/>
      <c r="O35" s="263">
        <f>'[8]For Inergi_2017 Proposed NDPI'!K6</f>
        <v>6.3E-3</v>
      </c>
      <c r="P35" s="263">
        <f>'[8]For Inergi_2017 Proposed NDPI'!L6</f>
        <v>3.0999999999999999E-3</v>
      </c>
      <c r="Q35" s="262"/>
      <c r="R35" s="262"/>
      <c r="S35" s="262"/>
      <c r="T35" s="262"/>
      <c r="U35" s="262"/>
      <c r="V35" s="262"/>
      <c r="W35" s="262"/>
      <c r="X35" s="262"/>
      <c r="Y35" s="262"/>
    </row>
    <row r="36" spans="1:25" x14ac:dyDescent="0.2">
      <c r="A36" s="262" t="s">
        <v>127</v>
      </c>
      <c r="B36" s="263">
        <v>1.0564</v>
      </c>
      <c r="C36" s="266">
        <v>35000</v>
      </c>
      <c r="D36" s="266"/>
      <c r="E36" s="266">
        <v>120</v>
      </c>
      <c r="F36" s="264" t="s">
        <v>19</v>
      </c>
      <c r="G36" s="265">
        <f>'[8]For Inergi_2017 Proposed NDPI'!C7</f>
        <v>245.55</v>
      </c>
      <c r="H36" s="262">
        <f>'[8]For Inergi_2017 Proposed NDPI'!$H7</f>
        <v>0.30499999999999999</v>
      </c>
      <c r="I36" s="262">
        <v>0</v>
      </c>
      <c r="J36" s="262">
        <f>'[8]For Inergi_2017 Proposed NDPI'!F7</f>
        <v>3.9601999999999999</v>
      </c>
      <c r="K36" s="265">
        <f>'[8]For Inergi_2017 Proposed NDPI'!$E7</f>
        <v>-3.61</v>
      </c>
      <c r="L36" s="262">
        <f>'[8]For Inergi_2017 Proposed NDPI'!$G7</f>
        <v>-5.8299999999999998E-2</v>
      </c>
      <c r="M36" s="262"/>
      <c r="N36" s="262"/>
      <c r="O36" s="263">
        <f>'[8]For Inergi_2017 Proposed NDPI'!K7</f>
        <v>2.5453999999999999</v>
      </c>
      <c r="P36" s="263">
        <f>'[8]For Inergi_2017 Proposed NDPI'!L7</f>
        <v>1.2384999999999999</v>
      </c>
      <c r="Q36" s="262"/>
      <c r="R36" s="262"/>
      <c r="S36" s="262"/>
      <c r="T36" s="262"/>
      <c r="U36" s="262"/>
      <c r="V36" s="262"/>
      <c r="W36" s="262"/>
      <c r="X36" s="262"/>
      <c r="Y36" s="262"/>
    </row>
    <row r="37" spans="1:25" x14ac:dyDescent="0.2">
      <c r="A37" s="262" t="s">
        <v>129</v>
      </c>
      <c r="B37" s="263">
        <v>1.0564</v>
      </c>
      <c r="C37" s="266">
        <v>500</v>
      </c>
      <c r="D37" s="266">
        <v>750</v>
      </c>
      <c r="E37" s="262"/>
      <c r="F37" s="264" t="s">
        <v>18</v>
      </c>
      <c r="G37" s="265">
        <f>'[8]For Inergi_2017 Proposed NDPI'!C8</f>
        <v>15.49</v>
      </c>
      <c r="H37" s="262">
        <f>'[8]For Inergi_2017 Proposed NDPI'!$H8</f>
        <v>8.0000000000000004E-4</v>
      </c>
      <c r="I37" s="262">
        <v>0</v>
      </c>
      <c r="J37" s="262">
        <f>'[8]For Inergi_2017 Proposed NDPI'!F8</f>
        <v>8.6999999999999994E-3</v>
      </c>
      <c r="K37" s="265">
        <f>'[8]For Inergi_2017 Proposed NDPI'!$E8</f>
        <v>-0.22</v>
      </c>
      <c r="L37" s="262">
        <f>'[8]For Inergi_2017 Proposed NDPI'!$G8</f>
        <v>-1E-4</v>
      </c>
      <c r="M37" s="262"/>
      <c r="N37" s="262"/>
      <c r="O37" s="263">
        <f>'[8]For Inergi_2017 Proposed NDPI'!K8</f>
        <v>6.3E-3</v>
      </c>
      <c r="P37" s="263">
        <f>'[8]For Inergi_2017 Proposed NDPI'!L8</f>
        <v>3.0999999999999999E-3</v>
      </c>
      <c r="Q37" s="262"/>
      <c r="R37" s="262"/>
      <c r="S37" s="262"/>
      <c r="T37" s="262"/>
      <c r="U37" s="262"/>
      <c r="V37" s="262"/>
      <c r="W37" s="262"/>
      <c r="X37" s="262"/>
      <c r="Y37" s="262"/>
    </row>
    <row r="38" spans="1:25" x14ac:dyDescent="0.2">
      <c r="A38" s="262" t="s">
        <v>130</v>
      </c>
      <c r="B38" s="263">
        <v>1.0564</v>
      </c>
      <c r="C38" s="266">
        <f>E38*8760/12/2</f>
        <v>109.5</v>
      </c>
      <c r="D38" s="266">
        <v>750</v>
      </c>
      <c r="E38" s="262">
        <v>0.3</v>
      </c>
      <c r="F38" s="264" t="s">
        <v>19</v>
      </c>
      <c r="G38" s="265">
        <f>'[8]For Inergi_2017 Proposed NDPI'!C9</f>
        <v>6.53</v>
      </c>
      <c r="H38" s="262">
        <f>'[8]For Inergi_2017 Proposed NDPI'!$H9</f>
        <v>0.2407</v>
      </c>
      <c r="I38" s="262">
        <v>0</v>
      </c>
      <c r="J38" s="262">
        <f>'[8]For Inergi_2017 Proposed NDPI'!F9</f>
        <v>19.433</v>
      </c>
      <c r="K38" s="265">
        <f>'[8]For Inergi_2017 Proposed NDPI'!$E9</f>
        <v>-0.09</v>
      </c>
      <c r="L38" s="262">
        <f>'[8]For Inergi_2017 Proposed NDPI'!$G9</f>
        <v>-0.28620000000000001</v>
      </c>
      <c r="M38" s="262"/>
      <c r="N38" s="262"/>
      <c r="O38" s="263">
        <f>'[8]For Inergi_2017 Proposed NDPI'!K9</f>
        <v>1.9294</v>
      </c>
      <c r="P38" s="263">
        <f>'[8]For Inergi_2017 Proposed NDPI'!L9</f>
        <v>0.97740000000000005</v>
      </c>
      <c r="Q38" s="262"/>
      <c r="R38" s="262"/>
      <c r="S38" s="262"/>
      <c r="T38" s="262"/>
      <c r="U38" s="262"/>
      <c r="V38" s="262"/>
      <c r="W38" s="262"/>
      <c r="X38" s="262"/>
      <c r="Y38" s="262"/>
    </row>
    <row r="39" spans="1:25" x14ac:dyDescent="0.2">
      <c r="A39" s="262" t="s">
        <v>128</v>
      </c>
      <c r="B39" s="263">
        <v>1.0564</v>
      </c>
      <c r="C39" s="266">
        <f>E39*8760/12/2</f>
        <v>73</v>
      </c>
      <c r="D39" s="266">
        <v>750</v>
      </c>
      <c r="E39" s="262">
        <v>0.2</v>
      </c>
      <c r="F39" s="264" t="s">
        <v>19</v>
      </c>
      <c r="G39" s="265">
        <f>'[8]For Inergi_2017 Proposed NDPI'!C10</f>
        <v>1.97</v>
      </c>
      <c r="H39" s="262">
        <f>'[8]For Inergi_2017 Proposed NDPI'!$H10</f>
        <v>0.23580000000000001</v>
      </c>
      <c r="I39" s="262">
        <v>0</v>
      </c>
      <c r="J39" s="262">
        <f>'[8]For Inergi_2017 Proposed NDPI'!F10</f>
        <v>7.4268999999999998</v>
      </c>
      <c r="K39" s="265">
        <f>'[8]For Inergi_2017 Proposed NDPI'!$E10</f>
        <v>-0.03</v>
      </c>
      <c r="L39" s="262">
        <f>'[8]For Inergi_2017 Proposed NDPI'!$G10</f>
        <v>-0.1094</v>
      </c>
      <c r="M39" s="262"/>
      <c r="N39" s="262"/>
      <c r="O39" s="263">
        <f>'[8]For Inergi_2017 Proposed NDPI'!K10</f>
        <v>1.9197</v>
      </c>
      <c r="P39" s="263">
        <f>'[8]For Inergi_2017 Proposed NDPI'!L10</f>
        <v>0.95750000000000002</v>
      </c>
      <c r="Q39" s="262"/>
      <c r="R39" s="262"/>
      <c r="S39" s="262"/>
      <c r="T39" s="262"/>
      <c r="U39" s="262"/>
      <c r="V39" s="262"/>
      <c r="W39" s="262"/>
      <c r="X39" s="262"/>
      <c r="Y39" s="262"/>
    </row>
    <row r="40" spans="1:25" x14ac:dyDescent="0.2">
      <c r="G40"/>
      <c r="H40"/>
      <c r="I40"/>
      <c r="J40"/>
      <c r="K40"/>
      <c r="L40"/>
      <c r="M40"/>
      <c r="N40"/>
      <c r="O40" s="68"/>
      <c r="P40" s="68"/>
    </row>
    <row r="41" spans="1:25" x14ac:dyDescent="0.2">
      <c r="G41"/>
      <c r="H41"/>
      <c r="I41"/>
      <c r="J41"/>
      <c r="K41"/>
      <c r="L41"/>
      <c r="M41"/>
      <c r="N41"/>
      <c r="O41" s="68"/>
      <c r="P41" s="68"/>
    </row>
    <row r="42" spans="1:25" x14ac:dyDescent="0.2">
      <c r="G42"/>
      <c r="H42"/>
      <c r="I42"/>
      <c r="J42"/>
      <c r="K42"/>
      <c r="L42"/>
      <c r="M42"/>
      <c r="N42"/>
      <c r="O42" s="68"/>
      <c r="P42" s="68"/>
    </row>
    <row r="43" spans="1:25" x14ac:dyDescent="0.2">
      <c r="G43"/>
      <c r="H43"/>
      <c r="I43"/>
      <c r="J43"/>
      <c r="K43"/>
      <c r="L43"/>
      <c r="M43"/>
      <c r="N43"/>
      <c r="O43" s="68"/>
      <c r="P43" s="68"/>
    </row>
    <row r="44" spans="1:25" x14ac:dyDescent="0.2">
      <c r="G44"/>
      <c r="H44"/>
      <c r="I44"/>
      <c r="J44"/>
      <c r="K44"/>
      <c r="L44"/>
      <c r="M44"/>
      <c r="N44"/>
      <c r="O44" s="68"/>
      <c r="P44" s="68"/>
    </row>
    <row r="45" spans="1:25" x14ac:dyDescent="0.2">
      <c r="G45"/>
      <c r="H45"/>
      <c r="I45"/>
      <c r="J45"/>
      <c r="K45"/>
      <c r="L45"/>
      <c r="M45"/>
      <c r="N45"/>
      <c r="O45" s="68"/>
      <c r="P45" s="68"/>
    </row>
    <row r="46" spans="1:25" x14ac:dyDescent="0.2">
      <c r="G46"/>
      <c r="H46"/>
      <c r="I46"/>
      <c r="J46"/>
      <c r="K46"/>
      <c r="L46"/>
      <c r="M46"/>
      <c r="N46"/>
      <c r="O46" s="68"/>
      <c r="P46" s="68"/>
    </row>
    <row r="47" spans="1:25" x14ac:dyDescent="0.2">
      <c r="G47"/>
      <c r="H47"/>
      <c r="I47"/>
      <c r="J47"/>
      <c r="K47"/>
      <c r="L47"/>
      <c r="M47"/>
      <c r="N47"/>
      <c r="O47" s="68"/>
      <c r="P47" s="68"/>
    </row>
    <row r="48" spans="1:25" x14ac:dyDescent="0.2">
      <c r="G48"/>
      <c r="H48"/>
      <c r="I48"/>
      <c r="J48"/>
      <c r="K48"/>
      <c r="L48"/>
      <c r="M48"/>
      <c r="N48"/>
      <c r="O48" s="68"/>
      <c r="P48" s="68"/>
    </row>
    <row r="49" spans="7:16" x14ac:dyDescent="0.2">
      <c r="G49"/>
      <c r="H49"/>
      <c r="I49"/>
      <c r="J49"/>
      <c r="K49"/>
      <c r="L49"/>
      <c r="M49"/>
      <c r="N49"/>
      <c r="O49" s="68"/>
      <c r="P49" s="68"/>
    </row>
  </sheetData>
  <pageMargins left="0.7" right="0.7" top="0.75" bottom="0.75" header="0.3" footer="0.3"/>
  <pageSetup paperSize="17" scale="69" orientation="landscape" r:id="rId1"/>
  <headerFooter>
    <oddHeader>&amp;RFiled: 2017-03-31
EB-2017-0049
Exhibit H1-4-1
Attachment 4
Page &amp;P of &amp;N</oddHead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1" tint="0.499984740745262"/>
    <pageSetUpPr fitToPage="1"/>
  </sheetPr>
  <dimension ref="A1:K68"/>
  <sheetViews>
    <sheetView view="pageBreakPreview" topLeftCell="A19" zoomScaleNormal="100" zoomScaleSheetLayoutView="100" workbookViewId="0">
      <selection activeCell="C19" sqref="C19"/>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48" t="s">
        <v>110</v>
      </c>
      <c r="B1" s="349"/>
      <c r="C1" s="349"/>
      <c r="D1" s="349"/>
      <c r="E1" s="349"/>
      <c r="F1" s="349"/>
      <c r="G1" s="349"/>
      <c r="H1" s="349"/>
      <c r="I1" s="349"/>
      <c r="J1" s="349"/>
      <c r="K1" s="350"/>
    </row>
    <row r="3" spans="1:11" x14ac:dyDescent="0.2">
      <c r="A3" s="13" t="s">
        <v>13</v>
      </c>
      <c r="B3" s="13" t="s">
        <v>1</v>
      </c>
    </row>
    <row r="4" spans="1:11" x14ac:dyDescent="0.2">
      <c r="A4" s="15" t="s">
        <v>62</v>
      </c>
      <c r="B4" s="15">
        <v>750</v>
      </c>
    </row>
    <row r="5" spans="1:11" x14ac:dyDescent="0.2">
      <c r="A5" s="15" t="s">
        <v>16</v>
      </c>
      <c r="B5" s="15">
        <f>VLOOKUP($B$3,'Data for Bill Impacts'!$A$3:$Y$15,5,0)</f>
        <v>0</v>
      </c>
    </row>
    <row r="6" spans="1:11" x14ac:dyDescent="0.2">
      <c r="A6" s="15" t="s">
        <v>20</v>
      </c>
      <c r="B6" s="15">
        <f>VLOOKUP($B$3,'Data for Bill Impacts'!$A$3:$Y$15,2,0)</f>
        <v>1.0760000000000001</v>
      </c>
    </row>
    <row r="7" spans="1:11" x14ac:dyDescent="0.2">
      <c r="A7" s="15" t="s">
        <v>15</v>
      </c>
      <c r="B7" s="15">
        <f>VLOOKUP($B$3,'Data for Bill Impacts'!$A$3:$Y$15,4,0)</f>
        <v>600</v>
      </c>
    </row>
    <row r="8" spans="1:11" x14ac:dyDescent="0.2">
      <c r="A8" s="15" t="s">
        <v>82</v>
      </c>
      <c r="B8" s="193">
        <f>B4*B6</f>
        <v>807</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0.10299999999999999</v>
      </c>
      <c r="D12" s="104">
        <f>B12*C12</f>
        <v>61.8</v>
      </c>
      <c r="E12" s="102">
        <f>B12</f>
        <v>600</v>
      </c>
      <c r="F12" s="103">
        <f>C12</f>
        <v>0.10299999999999999</v>
      </c>
      <c r="G12" s="104">
        <f>E12*F12</f>
        <v>61.8</v>
      </c>
      <c r="H12" s="104">
        <f>G12-D12</f>
        <v>0</v>
      </c>
      <c r="I12" s="105">
        <f>IF(ISERROR(H12/D12),0,(H12/D12))</f>
        <v>0</v>
      </c>
      <c r="J12" s="105">
        <f>G12/$G$46</f>
        <v>0.356372374878481</v>
      </c>
      <c r="K12" s="106"/>
    </row>
    <row r="13" spans="1:11" x14ac:dyDescent="0.2">
      <c r="A13" s="107" t="s">
        <v>32</v>
      </c>
      <c r="B13" s="73">
        <f>IF(B4&gt;B7,(B4)-B7,0)</f>
        <v>150</v>
      </c>
      <c r="C13" s="21">
        <v>0.121</v>
      </c>
      <c r="D13" s="22">
        <f>B13*C13</f>
        <v>18.149999999999999</v>
      </c>
      <c r="E13" s="73">
        <f t="shared" ref="E13" si="0">B13</f>
        <v>150</v>
      </c>
      <c r="F13" s="21">
        <f>C13</f>
        <v>0.121</v>
      </c>
      <c r="G13" s="22">
        <f>E13*F13</f>
        <v>18.149999999999999</v>
      </c>
      <c r="H13" s="22">
        <f t="shared" ref="H13:H46" si="1">G13-D13</f>
        <v>0</v>
      </c>
      <c r="I13" s="23">
        <f t="shared" ref="I13:I46" si="2">IF(ISERROR(H13/D13),0,(H13/D13))</f>
        <v>0</v>
      </c>
      <c r="J13" s="23">
        <f>G13/$G$46</f>
        <v>0.1046627605832432</v>
      </c>
      <c r="K13" s="108"/>
    </row>
    <row r="14" spans="1:11" s="1" customFormat="1" x14ac:dyDescent="0.2">
      <c r="A14" s="46" t="s">
        <v>33</v>
      </c>
      <c r="B14" s="24"/>
      <c r="C14" s="25"/>
      <c r="D14" s="25">
        <f>SUM(D12:D13)</f>
        <v>79.949999999999989</v>
      </c>
      <c r="E14" s="76"/>
      <c r="F14" s="25"/>
      <c r="G14" s="25">
        <f>SUM(G12:G13)</f>
        <v>79.949999999999989</v>
      </c>
      <c r="H14" s="25">
        <f t="shared" si="1"/>
        <v>0</v>
      </c>
      <c r="I14" s="27">
        <f t="shared" si="2"/>
        <v>0</v>
      </c>
      <c r="J14" s="27">
        <f>G14/$G$46</f>
        <v>0.46103513546172414</v>
      </c>
      <c r="K14" s="108"/>
    </row>
    <row r="15" spans="1:11" s="1" customFormat="1" x14ac:dyDescent="0.2">
      <c r="A15" s="109" t="s">
        <v>34</v>
      </c>
      <c r="B15" s="75">
        <f>B4*0.65</f>
        <v>487.5</v>
      </c>
      <c r="C15" s="28">
        <v>8.6999999999999994E-2</v>
      </c>
      <c r="D15" s="22">
        <f>B15*C15</f>
        <v>42.412499999999994</v>
      </c>
      <c r="E15" s="73">
        <f t="shared" ref="E15:F17" si="3">B15</f>
        <v>487.5</v>
      </c>
      <c r="F15" s="28">
        <f t="shared" si="3"/>
        <v>8.6999999999999994E-2</v>
      </c>
      <c r="G15" s="22">
        <f>E15*F15</f>
        <v>42.412499999999994</v>
      </c>
      <c r="H15" s="22">
        <f t="shared" si="1"/>
        <v>0</v>
      </c>
      <c r="I15" s="23">
        <f t="shared" si="2"/>
        <v>0</v>
      </c>
      <c r="J15" s="23"/>
      <c r="K15" s="108">
        <f t="shared" ref="K15:K26" si="4">G15/$G$51</f>
        <v>0.24014631267630848</v>
      </c>
    </row>
    <row r="16" spans="1:11" s="1" customFormat="1" x14ac:dyDescent="0.2">
      <c r="A16" s="109" t="s">
        <v>35</v>
      </c>
      <c r="B16" s="75">
        <f>B4*0.17</f>
        <v>127.50000000000001</v>
      </c>
      <c r="C16" s="28">
        <v>0.13200000000000001</v>
      </c>
      <c r="D16" s="22">
        <f>B16*C16</f>
        <v>16.830000000000002</v>
      </c>
      <c r="E16" s="73">
        <f t="shared" si="3"/>
        <v>127.50000000000001</v>
      </c>
      <c r="F16" s="28">
        <f t="shared" si="3"/>
        <v>0.13200000000000001</v>
      </c>
      <c r="G16" s="22">
        <f>E16*F16</f>
        <v>16.830000000000002</v>
      </c>
      <c r="H16" s="22">
        <f t="shared" si="1"/>
        <v>0</v>
      </c>
      <c r="I16" s="23">
        <f t="shared" si="2"/>
        <v>0</v>
      </c>
      <c r="J16" s="23"/>
      <c r="K16" s="108">
        <f t="shared" si="4"/>
        <v>9.5294133624338875E-2</v>
      </c>
    </row>
    <row r="17" spans="1:11" s="1" customFormat="1" x14ac:dyDescent="0.2">
      <c r="A17" s="109" t="s">
        <v>36</v>
      </c>
      <c r="B17" s="75">
        <f>B4*0.18</f>
        <v>135</v>
      </c>
      <c r="C17" s="28">
        <v>0.18</v>
      </c>
      <c r="D17" s="22">
        <f>B17*C17</f>
        <v>24.3</v>
      </c>
      <c r="E17" s="73">
        <f t="shared" si="3"/>
        <v>135</v>
      </c>
      <c r="F17" s="28">
        <f t="shared" si="3"/>
        <v>0.18</v>
      </c>
      <c r="G17" s="22">
        <f>E17*F17</f>
        <v>24.3</v>
      </c>
      <c r="H17" s="22">
        <f t="shared" si="1"/>
        <v>0</v>
      </c>
      <c r="I17" s="23">
        <f t="shared" si="2"/>
        <v>0</v>
      </c>
      <c r="J17" s="23"/>
      <c r="K17" s="108">
        <f t="shared" si="4"/>
        <v>0.13759046031321653</v>
      </c>
    </row>
    <row r="18" spans="1:11" s="1" customFormat="1" x14ac:dyDescent="0.2">
      <c r="A18" s="61" t="s">
        <v>37</v>
      </c>
      <c r="B18" s="29"/>
      <c r="C18" s="30"/>
      <c r="D18" s="30">
        <f>SUM(D15:D17)</f>
        <v>83.54249999999999</v>
      </c>
      <c r="E18" s="77"/>
      <c r="F18" s="30"/>
      <c r="G18" s="30">
        <f>SUM(G15:G17)</f>
        <v>83.54249999999999</v>
      </c>
      <c r="H18" s="31">
        <f t="shared" si="1"/>
        <v>0</v>
      </c>
      <c r="I18" s="32">
        <f t="shared" si="2"/>
        <v>0</v>
      </c>
      <c r="J18" s="33">
        <f t="shared" ref="J18:J23" si="5">G18/$G$46</f>
        <v>0.48175144220526694</v>
      </c>
      <c r="K18" s="62">
        <f t="shared" si="4"/>
        <v>0.47303090661386388</v>
      </c>
    </row>
    <row r="19" spans="1:11" x14ac:dyDescent="0.2">
      <c r="A19" s="107" t="s">
        <v>38</v>
      </c>
      <c r="B19" s="73">
        <v>1</v>
      </c>
      <c r="C19" s="78">
        <f>VLOOKUP($B$3,'Data for Bill Impacts'!$A$3:$Y$15,7,0)</f>
        <v>47.11</v>
      </c>
      <c r="D19" s="22">
        <f>B19*C19</f>
        <v>47.11</v>
      </c>
      <c r="E19" s="73">
        <f t="shared" ref="E19:E41" si="6">B19</f>
        <v>1</v>
      </c>
      <c r="F19" s="78">
        <f>VLOOKUP($B$3,'Data for Bill Impacts'!$A$3:$Y$15,17,0)</f>
        <v>52.36</v>
      </c>
      <c r="G19" s="22">
        <f>E19*F19</f>
        <v>52.36</v>
      </c>
      <c r="H19" s="22">
        <f t="shared" si="1"/>
        <v>5.25</v>
      </c>
      <c r="I19" s="23">
        <f t="shared" si="2"/>
        <v>0.11144130757800892</v>
      </c>
      <c r="J19" s="23">
        <f t="shared" si="5"/>
        <v>0.30193620628862888</v>
      </c>
      <c r="K19" s="108">
        <f t="shared" si="4"/>
        <v>0.29647063794238759</v>
      </c>
    </row>
    <row r="20" spans="1:11" hidden="1" x14ac:dyDescent="0.2">
      <c r="A20" s="107" t="s">
        <v>83</v>
      </c>
      <c r="B20" s="73">
        <v>1</v>
      </c>
      <c r="C20" s="78">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145</v>
      </c>
      <c r="B21" s="73">
        <v>1</v>
      </c>
      <c r="C21" s="78">
        <v>0</v>
      </c>
      <c r="D21" s="22">
        <f t="shared" ref="D21:D22" si="8">B21*C21</f>
        <v>0</v>
      </c>
      <c r="E21" s="73">
        <f t="shared" si="6"/>
        <v>1</v>
      </c>
      <c r="F21" s="122">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v>
      </c>
      <c r="D22" s="22">
        <f t="shared" si="8"/>
        <v>0</v>
      </c>
      <c r="E22" s="73">
        <f t="shared" si="6"/>
        <v>1</v>
      </c>
      <c r="F22" s="122">
        <f>VLOOKUP($B$3,'Data for Bill Impacts'!$A$3:$Y$15,22,0)</f>
        <v>0</v>
      </c>
      <c r="G22" s="22">
        <f t="shared" si="7"/>
        <v>0</v>
      </c>
      <c r="H22" s="22">
        <f t="shared" si="1"/>
        <v>0</v>
      </c>
      <c r="I22" s="23">
        <f t="shared" si="2"/>
        <v>0</v>
      </c>
      <c r="J22" s="23">
        <f t="shared" si="5"/>
        <v>0</v>
      </c>
      <c r="K22" s="108">
        <f t="shared" si="4"/>
        <v>0</v>
      </c>
    </row>
    <row r="23" spans="1:11" x14ac:dyDescent="0.2">
      <c r="A23" s="107" t="s">
        <v>39</v>
      </c>
      <c r="B23" s="73">
        <f>IF($B$9="kWh",$B$4,$B$5)</f>
        <v>750</v>
      </c>
      <c r="C23" s="126">
        <f>VLOOKUP($B$3,'Data for Bill Impacts'!$A$3:$Y$15,10,0)</f>
        <v>1.6E-2</v>
      </c>
      <c r="D23" s="22">
        <f>B23*C23</f>
        <v>12</v>
      </c>
      <c r="E23" s="73">
        <f t="shared" si="6"/>
        <v>750</v>
      </c>
      <c r="F23" s="78">
        <f>VLOOKUP($B$3,'Data for Bill Impacts'!$A$3:$Y$15,19,0)</f>
        <v>1.1599999999999999E-2</v>
      </c>
      <c r="G23" s="22">
        <f>E23*F23</f>
        <v>8.6999999999999993</v>
      </c>
      <c r="H23" s="22">
        <f t="shared" si="1"/>
        <v>-3.3000000000000007</v>
      </c>
      <c r="I23" s="23">
        <f t="shared" si="2"/>
        <v>-0.27500000000000008</v>
      </c>
      <c r="J23" s="23">
        <f t="shared" si="5"/>
        <v>5.0168926560562856E-2</v>
      </c>
      <c r="K23" s="108">
        <f t="shared" si="4"/>
        <v>4.9260782087447892E-2</v>
      </c>
    </row>
    <row r="24" spans="1:11" x14ac:dyDescent="0.2">
      <c r="A24" s="107" t="s">
        <v>194</v>
      </c>
      <c r="B24" s="73">
        <f>IF($B$9="kWh",$B$4,$B$5)</f>
        <v>750</v>
      </c>
      <c r="C24" s="126">
        <f>VLOOKUP($B$3,'Data for Bill Impacts'!$A$3:$Y$15,14,0)</f>
        <v>2.0000000000000001E-4</v>
      </c>
      <c r="D24" s="22">
        <f>B24*C24</f>
        <v>0.15</v>
      </c>
      <c r="E24" s="73">
        <f t="shared" si="6"/>
        <v>750</v>
      </c>
      <c r="F24" s="126">
        <f>VLOOKUP($B$3,'Data for Bill Impacts'!$A$3:$Y$15,23,0)</f>
        <v>2.0000000000000001E-4</v>
      </c>
      <c r="G24" s="22">
        <f>E24*F24</f>
        <v>0.15</v>
      </c>
      <c r="H24" s="22">
        <f t="shared" si="1"/>
        <v>0</v>
      </c>
      <c r="I24" s="23">
        <f>IF(ISERROR(H24/D24),0,(H24/D24))</f>
        <v>0</v>
      </c>
      <c r="J24" s="23">
        <f t="shared" ref="J24" si="9">G24/$G$46</f>
        <v>8.6498149242349761E-4</v>
      </c>
      <c r="K24" s="108">
        <f t="shared" si="4"/>
        <v>8.4932382909392928E-4</v>
      </c>
    </row>
    <row r="25" spans="1:11" s="1" customFormat="1" x14ac:dyDescent="0.2">
      <c r="A25" s="110" t="s">
        <v>72</v>
      </c>
      <c r="B25" s="74"/>
      <c r="C25" s="35"/>
      <c r="D25" s="35">
        <f>SUM(D19:D24)</f>
        <v>59.26</v>
      </c>
      <c r="E25" s="73"/>
      <c r="F25" s="35"/>
      <c r="G25" s="35">
        <f>SUM(G19:G24)</f>
        <v>61.21</v>
      </c>
      <c r="H25" s="35">
        <f t="shared" si="1"/>
        <v>1.9500000000000028</v>
      </c>
      <c r="I25" s="36">
        <f t="shared" si="2"/>
        <v>3.2905838677016588E-2</v>
      </c>
      <c r="J25" s="36">
        <f>G25/$G$46</f>
        <v>0.35297011434161524</v>
      </c>
      <c r="K25" s="111">
        <f t="shared" si="4"/>
        <v>0.3465807438589294</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G26/$G$46</f>
        <v>4.5555691934304208E-3</v>
      </c>
      <c r="K26" s="108">
        <f t="shared" si="4"/>
        <v>4.473105499894694E-3</v>
      </c>
    </row>
    <row r="27" spans="1:11" s="1" customFormat="1" x14ac:dyDescent="0.2">
      <c r="A27" s="119" t="s">
        <v>75</v>
      </c>
      <c r="B27" s="120">
        <f>B8-B4</f>
        <v>57</v>
      </c>
      <c r="C27" s="121">
        <f>IF(B4&gt;B7,C13,C12)</f>
        <v>0.121</v>
      </c>
      <c r="D27" s="22">
        <f>B27*C27</f>
        <v>6.8970000000000002</v>
      </c>
      <c r="E27" s="73">
        <f>B27</f>
        <v>57</v>
      </c>
      <c r="F27" s="121">
        <f>C27</f>
        <v>0.121</v>
      </c>
      <c r="G27" s="22">
        <f>E27*F27</f>
        <v>6.8970000000000002</v>
      </c>
      <c r="H27" s="22">
        <f t="shared" si="1"/>
        <v>0</v>
      </c>
      <c r="I27" s="23">
        <f>IF(ISERROR(H27/D27),0,(H27/D27))</f>
        <v>0</v>
      </c>
      <c r="J27" s="23">
        <f t="shared" ref="J27:J46" si="10">G27/$G$46</f>
        <v>3.9771849021632423E-2</v>
      </c>
      <c r="K27" s="108">
        <f t="shared" ref="K27:K41" si="11">G27/$G$51</f>
        <v>3.9051909661738868E-2</v>
      </c>
    </row>
    <row r="28" spans="1:11" s="1" customFormat="1" x14ac:dyDescent="0.2">
      <c r="A28" s="119" t="s">
        <v>74</v>
      </c>
      <c r="B28" s="120">
        <f>B8-B4</f>
        <v>57</v>
      </c>
      <c r="C28" s="121">
        <f>0.65*C15+0.17*C16+0.18*C17</f>
        <v>0.11139</v>
      </c>
      <c r="D28" s="22">
        <f>B28*C28</f>
        <v>6.3492300000000004</v>
      </c>
      <c r="E28" s="73">
        <f>B28</f>
        <v>57</v>
      </c>
      <c r="F28" s="121">
        <f>C28</f>
        <v>0.11139</v>
      </c>
      <c r="G28" s="22">
        <f>E28*F28</f>
        <v>6.3492300000000004</v>
      </c>
      <c r="H28" s="22">
        <f t="shared" si="1"/>
        <v>0</v>
      </c>
      <c r="I28" s="23">
        <f>IF(ISERROR(H28/D28),0,(H28/D28))</f>
        <v>0</v>
      </c>
      <c r="J28" s="23">
        <f t="shared" si="10"/>
        <v>3.6613109607600294E-2</v>
      </c>
      <c r="K28" s="108">
        <f t="shared" si="11"/>
        <v>3.595034890265366E-2</v>
      </c>
    </row>
    <row r="29" spans="1:11" s="1" customFormat="1" x14ac:dyDescent="0.2">
      <c r="A29" s="110" t="s">
        <v>78</v>
      </c>
      <c r="B29" s="74"/>
      <c r="C29" s="35"/>
      <c r="D29" s="35">
        <f>SUM(D25,D26:D27)</f>
        <v>66.947000000000003</v>
      </c>
      <c r="E29" s="73"/>
      <c r="F29" s="35"/>
      <c r="G29" s="35">
        <f>SUM(G25,G26:G27)</f>
        <v>68.897000000000006</v>
      </c>
      <c r="H29" s="35">
        <f t="shared" si="1"/>
        <v>1.9500000000000028</v>
      </c>
      <c r="I29" s="36">
        <f>IF(ISERROR(H29/D29),0,(H29/D29))</f>
        <v>2.9127518783515358E-2</v>
      </c>
      <c r="J29" s="36">
        <f t="shared" si="10"/>
        <v>0.3972975325566781</v>
      </c>
      <c r="K29" s="111">
        <f t="shared" si="11"/>
        <v>0.39010575902056299</v>
      </c>
    </row>
    <row r="30" spans="1:11" s="1" customFormat="1" x14ac:dyDescent="0.2">
      <c r="A30" s="110" t="s">
        <v>77</v>
      </c>
      <c r="B30" s="74"/>
      <c r="C30" s="35"/>
      <c r="D30" s="35">
        <f>SUM(D25,D26,D28)</f>
        <v>66.399230000000003</v>
      </c>
      <c r="E30" s="73"/>
      <c r="F30" s="35"/>
      <c r="G30" s="35">
        <f>SUM(G25,G26,G28)</f>
        <v>68.349230000000006</v>
      </c>
      <c r="H30" s="35">
        <f t="shared" si="1"/>
        <v>1.9500000000000028</v>
      </c>
      <c r="I30" s="36">
        <f>IF(ISERROR(H30/D30),0,(H30/D30))</f>
        <v>2.9367810439970506E-2</v>
      </c>
      <c r="J30" s="36">
        <f t="shared" si="10"/>
        <v>0.39413879314264599</v>
      </c>
      <c r="K30" s="111">
        <f t="shared" si="11"/>
        <v>0.38700419826147781</v>
      </c>
    </row>
    <row r="31" spans="1:11" x14ac:dyDescent="0.2">
      <c r="A31" s="107" t="s">
        <v>40</v>
      </c>
      <c r="B31" s="73">
        <f>B8</f>
        <v>807</v>
      </c>
      <c r="C31" s="126">
        <f>VLOOKUP($B$3,'Data for Bill Impacts'!$A$3:$Y$15,15,0)</f>
        <v>7.2069999999999999E-3</v>
      </c>
      <c r="D31" s="22">
        <f>B31*C31</f>
        <v>5.8160489999999996</v>
      </c>
      <c r="E31" s="73">
        <f t="shared" si="6"/>
        <v>807</v>
      </c>
      <c r="F31" s="78">
        <f>VLOOKUP($B$3,'Data for Bill Impacts'!$A$3:$Y$15,24,0)</f>
        <v>7.1999999999999998E-3</v>
      </c>
      <c r="G31" s="22">
        <f>E31*F31</f>
        <v>5.8103999999999996</v>
      </c>
      <c r="H31" s="22">
        <f t="shared" si="1"/>
        <v>-5.6490000000000151E-3</v>
      </c>
      <c r="I31" s="23">
        <f t="shared" si="2"/>
        <v>-9.7127792424032456E-4</v>
      </c>
      <c r="J31" s="23">
        <f t="shared" si="10"/>
        <v>3.3505923090516601E-2</v>
      </c>
      <c r="K31" s="108">
        <f t="shared" si="11"/>
        <v>3.2899407843782445E-2</v>
      </c>
    </row>
    <row r="32" spans="1:11" x14ac:dyDescent="0.2">
      <c r="A32" s="107" t="s">
        <v>41</v>
      </c>
      <c r="B32" s="73">
        <f>B8</f>
        <v>807</v>
      </c>
      <c r="C32" s="126">
        <f>VLOOKUP($B$3,'Data for Bill Impacts'!$A$3:$Y$15,16,0)</f>
        <v>6.0319999999999992E-3</v>
      </c>
      <c r="D32" s="22">
        <f>B32*C32</f>
        <v>4.8678239999999997</v>
      </c>
      <c r="E32" s="73">
        <f t="shared" si="6"/>
        <v>807</v>
      </c>
      <c r="F32" s="78">
        <f>VLOOKUP($B$3,'Data for Bill Impacts'!$A$3:$Y$15,25,0)</f>
        <v>5.8999999999999999E-3</v>
      </c>
      <c r="G32" s="22">
        <f>E32*F32</f>
        <v>4.7613000000000003</v>
      </c>
      <c r="H32" s="22">
        <f t="shared" si="1"/>
        <v>-0.1065239999999994</v>
      </c>
      <c r="I32" s="23">
        <f t="shared" si="2"/>
        <v>-2.1883289124668314E-2</v>
      </c>
      <c r="J32" s="23">
        <f t="shared" si="10"/>
        <v>2.7456242532506663E-2</v>
      </c>
      <c r="K32" s="108">
        <f t="shared" si="11"/>
        <v>2.6959236983099506E-2</v>
      </c>
    </row>
    <row r="33" spans="1:11" s="1" customFormat="1" x14ac:dyDescent="0.2">
      <c r="A33" s="110" t="s">
        <v>76</v>
      </c>
      <c r="B33" s="74"/>
      <c r="C33" s="35"/>
      <c r="D33" s="35">
        <f>SUM(D31:D32)</f>
        <v>10.683872999999998</v>
      </c>
      <c r="E33" s="73"/>
      <c r="F33" s="35"/>
      <c r="G33" s="35">
        <f>SUM(G31:G32)</f>
        <v>10.5717</v>
      </c>
      <c r="H33" s="35">
        <f t="shared" si="1"/>
        <v>-0.11217299999999852</v>
      </c>
      <c r="I33" s="36">
        <f t="shared" si="2"/>
        <v>-1.0499282423143606E-2</v>
      </c>
      <c r="J33" s="36">
        <f t="shared" si="10"/>
        <v>6.0962165623023264E-2</v>
      </c>
      <c r="K33" s="111">
        <f t="shared" si="11"/>
        <v>5.9858644826881947E-2</v>
      </c>
    </row>
    <row r="34" spans="1:11" s="1" customFormat="1" x14ac:dyDescent="0.2">
      <c r="A34" s="110" t="s">
        <v>95</v>
      </c>
      <c r="B34" s="74"/>
      <c r="C34" s="35"/>
      <c r="D34" s="35">
        <f>D29+D33</f>
        <v>77.630873000000008</v>
      </c>
      <c r="E34" s="73"/>
      <c r="F34" s="35"/>
      <c r="G34" s="35">
        <f>G29+G33</f>
        <v>79.468700000000013</v>
      </c>
      <c r="H34" s="35">
        <f t="shared" si="1"/>
        <v>1.8378270000000043</v>
      </c>
      <c r="I34" s="36">
        <f t="shared" si="2"/>
        <v>2.3673919009000507E-2</v>
      </c>
      <c r="J34" s="36">
        <f t="shared" si="10"/>
        <v>0.45825969817970141</v>
      </c>
      <c r="K34" s="111">
        <f t="shared" si="11"/>
        <v>0.44996440384744496</v>
      </c>
    </row>
    <row r="35" spans="1:11" s="1" customFormat="1" x14ac:dyDescent="0.2">
      <c r="A35" s="110" t="s">
        <v>96</v>
      </c>
      <c r="B35" s="74"/>
      <c r="C35" s="35"/>
      <c r="D35" s="35">
        <f>D30+D33</f>
        <v>77.083102999999994</v>
      </c>
      <c r="E35" s="73"/>
      <c r="F35" s="35"/>
      <c r="G35" s="35">
        <f>G30+G33</f>
        <v>78.920929999999998</v>
      </c>
      <c r="H35" s="35">
        <f t="shared" si="1"/>
        <v>1.8378270000000043</v>
      </c>
      <c r="I35" s="36">
        <f t="shared" si="2"/>
        <v>2.3842151242925502E-2</v>
      </c>
      <c r="J35" s="36">
        <f t="shared" si="10"/>
        <v>0.45510095876566919</v>
      </c>
      <c r="K35" s="111">
        <f t="shared" si="11"/>
        <v>0.44686284308835972</v>
      </c>
    </row>
    <row r="36" spans="1:11" x14ac:dyDescent="0.2">
      <c r="A36" s="107" t="s">
        <v>42</v>
      </c>
      <c r="B36" s="73">
        <f>B8</f>
        <v>807</v>
      </c>
      <c r="C36" s="34">
        <v>3.5999999999999999E-3</v>
      </c>
      <c r="D36" s="22">
        <f>B36*C36</f>
        <v>2.9051999999999998</v>
      </c>
      <c r="E36" s="73">
        <f t="shared" si="6"/>
        <v>807</v>
      </c>
      <c r="F36" s="34">
        <v>3.5999999999999999E-3</v>
      </c>
      <c r="G36" s="22">
        <f>E36*F36</f>
        <v>2.9051999999999998</v>
      </c>
      <c r="H36" s="22">
        <f t="shared" si="1"/>
        <v>0</v>
      </c>
      <c r="I36" s="23">
        <f t="shared" si="2"/>
        <v>0</v>
      </c>
      <c r="J36" s="23">
        <f t="shared" si="10"/>
        <v>1.6752961545258301E-2</v>
      </c>
      <c r="K36" s="108">
        <f t="shared" si="11"/>
        <v>1.6449703921891223E-2</v>
      </c>
    </row>
    <row r="37" spans="1:11" x14ac:dyDescent="0.2">
      <c r="A37" s="107" t="s">
        <v>43</v>
      </c>
      <c r="B37" s="73">
        <f>B8</f>
        <v>807</v>
      </c>
      <c r="C37" s="34">
        <v>2.0999999999999999E-3</v>
      </c>
      <c r="D37" s="22">
        <f>B37*C37</f>
        <v>1.6946999999999999</v>
      </c>
      <c r="E37" s="73">
        <f t="shared" si="6"/>
        <v>807</v>
      </c>
      <c r="F37" s="34">
        <v>2.0999999999999999E-3</v>
      </c>
      <c r="G37" s="22">
        <f>E37*F37</f>
        <v>1.6946999999999999</v>
      </c>
      <c r="H37" s="22">
        <f>G37-D37</f>
        <v>0</v>
      </c>
      <c r="I37" s="23">
        <f t="shared" si="2"/>
        <v>0</v>
      </c>
      <c r="J37" s="23">
        <f t="shared" si="10"/>
        <v>9.7725609014006759E-3</v>
      </c>
      <c r="K37" s="108">
        <f t="shared" si="11"/>
        <v>9.5956606211032129E-3</v>
      </c>
    </row>
    <row r="38" spans="1:11" x14ac:dyDescent="0.2">
      <c r="A38" s="107" t="s">
        <v>100</v>
      </c>
      <c r="B38" s="73">
        <f>B8</f>
        <v>807</v>
      </c>
      <c r="C38" s="34">
        <v>1.1000000000000001E-3</v>
      </c>
      <c r="D38" s="22">
        <f>B38*C38</f>
        <v>0.88770000000000004</v>
      </c>
      <c r="E38" s="73">
        <f t="shared" si="6"/>
        <v>807</v>
      </c>
      <c r="F38" s="34">
        <v>1.1000000000000001E-3</v>
      </c>
      <c r="G38" s="22">
        <f>E38*F38</f>
        <v>0.88770000000000004</v>
      </c>
      <c r="H38" s="22">
        <f>G38-D38</f>
        <v>0</v>
      </c>
      <c r="I38" s="23">
        <f t="shared" ref="I38" si="12">IF(ISERROR(H38/D38),0,(H38/D38))</f>
        <v>0</v>
      </c>
      <c r="J38" s="23">
        <f t="shared" ref="J38" si="13">G38/$G$46</f>
        <v>5.1189604721622586E-3</v>
      </c>
      <c r="K38" s="108">
        <f t="shared" ref="K38" si="14">G38/$G$51</f>
        <v>5.026298420577874E-3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10"/>
        <v>1.4416358207058294E-3</v>
      </c>
      <c r="K39" s="108">
        <f t="shared" si="11"/>
        <v>1.4155397151565487E-3</v>
      </c>
    </row>
    <row r="40" spans="1:11" s="1" customFormat="1" x14ac:dyDescent="0.2">
      <c r="A40" s="110" t="s">
        <v>45</v>
      </c>
      <c r="B40" s="74"/>
      <c r="C40" s="35"/>
      <c r="D40" s="35">
        <f>SUM(D36:D39)</f>
        <v>5.7375999999999996</v>
      </c>
      <c r="E40" s="73"/>
      <c r="F40" s="35"/>
      <c r="G40" s="35">
        <f>SUM(G36:G39)</f>
        <v>5.7375999999999996</v>
      </c>
      <c r="H40" s="35">
        <f t="shared" si="1"/>
        <v>0</v>
      </c>
      <c r="I40" s="36">
        <f t="shared" si="2"/>
        <v>0</v>
      </c>
      <c r="J40" s="36">
        <f t="shared" si="10"/>
        <v>3.3086118739527062E-2</v>
      </c>
      <c r="K40" s="111">
        <f t="shared" si="11"/>
        <v>3.2487202678728858E-2</v>
      </c>
    </row>
    <row r="41" spans="1:11" s="1" customFormat="1" ht="13.5" thickBot="1" x14ac:dyDescent="0.25">
      <c r="A41" s="112" t="s">
        <v>46</v>
      </c>
      <c r="B41" s="113">
        <f>B4</f>
        <v>750</v>
      </c>
      <c r="C41" s="114">
        <v>0</v>
      </c>
      <c r="D41" s="115">
        <f>B41*C41</f>
        <v>0</v>
      </c>
      <c r="E41" s="116">
        <f t="shared" si="6"/>
        <v>750</v>
      </c>
      <c r="F41" s="114">
        <f>C41</f>
        <v>0</v>
      </c>
      <c r="G41" s="115">
        <f>E41*F41</f>
        <v>0</v>
      </c>
      <c r="H41" s="115">
        <f t="shared" si="1"/>
        <v>0</v>
      </c>
      <c r="I41" s="117">
        <f t="shared" si="2"/>
        <v>0</v>
      </c>
      <c r="J41" s="117">
        <f t="shared" si="10"/>
        <v>0</v>
      </c>
      <c r="K41" s="118">
        <f t="shared" si="11"/>
        <v>0</v>
      </c>
    </row>
    <row r="42" spans="1:11" s="1" customFormat="1" x14ac:dyDescent="0.2">
      <c r="A42" s="37" t="s">
        <v>137</v>
      </c>
      <c r="B42" s="38"/>
      <c r="C42" s="39"/>
      <c r="D42" s="39">
        <f>SUM(D14,D25,D26,D27,D33,D40,D41)</f>
        <v>163.31847299999995</v>
      </c>
      <c r="E42" s="38"/>
      <c r="F42" s="39"/>
      <c r="G42" s="39">
        <f>SUM(G14,G25,G26,G27,G33,G40,G41)</f>
        <v>165.15629999999996</v>
      </c>
      <c r="H42" s="39">
        <f t="shared" si="1"/>
        <v>1.8378270000000043</v>
      </c>
      <c r="I42" s="40">
        <f>IF(ISERROR(H42/D42),0,(H42/D42))</f>
        <v>1.1253025859481338E-2</v>
      </c>
      <c r="J42" s="40">
        <f t="shared" si="10"/>
        <v>0.95238095238095244</v>
      </c>
      <c r="K42" s="41"/>
    </row>
    <row r="43" spans="1:11" x14ac:dyDescent="0.2">
      <c r="A43" s="150" t="s">
        <v>138</v>
      </c>
      <c r="B43" s="43"/>
      <c r="C43" s="26">
        <v>0.13</v>
      </c>
      <c r="D43" s="26">
        <f>D42*C43</f>
        <v>21.231401489999996</v>
      </c>
      <c r="E43" s="26"/>
      <c r="F43" s="26">
        <f>C43</f>
        <v>0.13</v>
      </c>
      <c r="G43" s="26">
        <f>G42*F43</f>
        <v>21.470318999999996</v>
      </c>
      <c r="H43" s="26">
        <f t="shared" si="1"/>
        <v>0.23891751000000028</v>
      </c>
      <c r="I43" s="44">
        <f t="shared" si="2"/>
        <v>1.1253025859481324E-2</v>
      </c>
      <c r="J43" s="44">
        <f t="shared" si="10"/>
        <v>0.12380952380952383</v>
      </c>
      <c r="K43" s="45"/>
    </row>
    <row r="44" spans="1:11" s="1" customFormat="1" x14ac:dyDescent="0.2">
      <c r="A44" s="46" t="s">
        <v>139</v>
      </c>
      <c r="B44" s="24"/>
      <c r="C44" s="25"/>
      <c r="D44" s="25">
        <f>SUM(D42:D43)</f>
        <v>184.54987448999995</v>
      </c>
      <c r="E44" s="25"/>
      <c r="F44" s="25"/>
      <c r="G44" s="25">
        <f>SUM(G42:G43)</f>
        <v>186.62661899999995</v>
      </c>
      <c r="H44" s="25">
        <f t="shared" si="1"/>
        <v>2.0767445099999975</v>
      </c>
      <c r="I44" s="27">
        <f t="shared" si="2"/>
        <v>1.1253025859481298E-2</v>
      </c>
      <c r="J44" s="27">
        <f t="shared" si="10"/>
        <v>1.0761904761904761</v>
      </c>
      <c r="K44" s="47"/>
    </row>
    <row r="45" spans="1:11" x14ac:dyDescent="0.2">
      <c r="A45" s="42" t="s">
        <v>140</v>
      </c>
      <c r="B45" s="43"/>
      <c r="C45" s="26">
        <v>-0.08</v>
      </c>
      <c r="D45" s="26">
        <f>D42*C45</f>
        <v>-13.065477839999996</v>
      </c>
      <c r="E45" s="26"/>
      <c r="F45" s="26">
        <f>C45</f>
        <v>-0.08</v>
      </c>
      <c r="G45" s="26">
        <f>G42*F45</f>
        <v>-13.212503999999997</v>
      </c>
      <c r="H45" s="26">
        <f t="shared" si="1"/>
        <v>-0.14702616000000113</v>
      </c>
      <c r="I45" s="44">
        <f t="shared" si="2"/>
        <v>1.1253025859481399E-2</v>
      </c>
      <c r="J45" s="44">
        <f t="shared" si="10"/>
        <v>-7.6190476190476197E-2</v>
      </c>
      <c r="K45" s="45"/>
    </row>
    <row r="46" spans="1:11" s="1" customFormat="1" ht="13.5" thickBot="1" x14ac:dyDescent="0.25">
      <c r="A46" s="48" t="s">
        <v>141</v>
      </c>
      <c r="B46" s="49"/>
      <c r="C46" s="50"/>
      <c r="D46" s="50">
        <f>SUM(D44:D45)</f>
        <v>171.48439664999995</v>
      </c>
      <c r="E46" s="50"/>
      <c r="F46" s="50"/>
      <c r="G46" s="50">
        <f>SUM(G44:G45)</f>
        <v>173.41411499999995</v>
      </c>
      <c r="H46" s="50">
        <f t="shared" si="1"/>
        <v>1.9297183500000017</v>
      </c>
      <c r="I46" s="51">
        <f t="shared" si="2"/>
        <v>1.1253025859481323E-2</v>
      </c>
      <c r="J46" s="51">
        <f t="shared" si="10"/>
        <v>1</v>
      </c>
      <c r="K46" s="52"/>
    </row>
    <row r="47" spans="1:11" x14ac:dyDescent="0.2">
      <c r="A47" s="53" t="s">
        <v>142</v>
      </c>
      <c r="B47" s="54"/>
      <c r="C47" s="55"/>
      <c r="D47" s="55">
        <f>SUM(D18,D25,D26,D28,D33,D40,D41)</f>
        <v>166.36320299999997</v>
      </c>
      <c r="E47" s="55"/>
      <c r="F47" s="55"/>
      <c r="G47" s="55">
        <f>SUM(G18,G25,G26,G28,G33,G40,G41)</f>
        <v>168.20102999999997</v>
      </c>
      <c r="H47" s="55">
        <f>G47-D47</f>
        <v>1.8378270000000043</v>
      </c>
      <c r="I47" s="56">
        <f>IF(ISERROR(H47/D47),0,(H47/D47))</f>
        <v>1.1047076317711945E-2</v>
      </c>
      <c r="J47" s="56"/>
      <c r="K47" s="57">
        <f>G47/$G$51</f>
        <v>0.95238095238095233</v>
      </c>
    </row>
    <row r="48" spans="1:11" x14ac:dyDescent="0.2">
      <c r="A48" s="58" t="s">
        <v>138</v>
      </c>
      <c r="B48" s="59"/>
      <c r="C48" s="31">
        <v>0.13</v>
      </c>
      <c r="D48" s="31">
        <f>D47*C48</f>
        <v>21.627216389999997</v>
      </c>
      <c r="E48" s="31"/>
      <c r="F48" s="31">
        <f>C48</f>
        <v>0.13</v>
      </c>
      <c r="G48" s="31">
        <f>G47*F48</f>
        <v>21.866133899999998</v>
      </c>
      <c r="H48" s="31">
        <f>G48-D48</f>
        <v>0.23891751000000028</v>
      </c>
      <c r="I48" s="32">
        <f>IF(ISERROR(H48/D48),0,(H48/D48))</f>
        <v>1.1047076317711931E-2</v>
      </c>
      <c r="J48" s="32"/>
      <c r="K48" s="60">
        <f>G48/$G$51</f>
        <v>0.12380952380952381</v>
      </c>
    </row>
    <row r="49" spans="1:11" x14ac:dyDescent="0.2">
      <c r="A49" s="61" t="s">
        <v>143</v>
      </c>
      <c r="B49" s="29"/>
      <c r="C49" s="30"/>
      <c r="D49" s="30">
        <f>SUM(D47:D48)</f>
        <v>187.99041938999997</v>
      </c>
      <c r="E49" s="30"/>
      <c r="F49" s="30"/>
      <c r="G49" s="30">
        <f>SUM(G47:G48)</f>
        <v>190.06716389999997</v>
      </c>
      <c r="H49" s="30">
        <f>G49-D49</f>
        <v>2.0767445099999975</v>
      </c>
      <c r="I49" s="33">
        <f>IF(ISERROR(H49/D49),0,(H49/D49))</f>
        <v>1.1047076317711905E-2</v>
      </c>
      <c r="J49" s="33"/>
      <c r="K49" s="62">
        <f>G49/$G$51</f>
        <v>1.0761904761904761</v>
      </c>
    </row>
    <row r="50" spans="1:11" x14ac:dyDescent="0.2">
      <c r="A50" s="58" t="s">
        <v>140</v>
      </c>
      <c r="B50" s="59"/>
      <c r="C50" s="31">
        <v>-0.08</v>
      </c>
      <c r="D50" s="31">
        <f>D47*C50</f>
        <v>-13.309056239999999</v>
      </c>
      <c r="E50" s="31"/>
      <c r="F50" s="31">
        <f>C50</f>
        <v>-0.08</v>
      </c>
      <c r="G50" s="31">
        <f>G47*F50</f>
        <v>-13.456082399999998</v>
      </c>
      <c r="H50" s="31">
        <f>G50-D50</f>
        <v>-0.14702615999999935</v>
      </c>
      <c r="I50" s="32">
        <f>IF(ISERROR(H50/D50),0,(H50/D50))</f>
        <v>1.1047076317711868E-2</v>
      </c>
      <c r="J50" s="32"/>
      <c r="K50" s="60">
        <f>G50/$G$51</f>
        <v>-7.6190476190476183E-2</v>
      </c>
    </row>
    <row r="51" spans="1:11" ht="13.5" thickBot="1" x14ac:dyDescent="0.25">
      <c r="A51" s="63" t="s">
        <v>144</v>
      </c>
      <c r="B51" s="64"/>
      <c r="C51" s="65"/>
      <c r="D51" s="65">
        <f>SUM(D49:D50)</f>
        <v>174.68136314999998</v>
      </c>
      <c r="E51" s="65"/>
      <c r="F51" s="65"/>
      <c r="G51" s="65">
        <f>SUM(G49:G50)</f>
        <v>176.61108149999998</v>
      </c>
      <c r="H51" s="65">
        <f>G51-D51</f>
        <v>1.9297183500000017</v>
      </c>
      <c r="I51" s="66">
        <f>IF(ISERROR(H51/D51),0,(H51/D51))</f>
        <v>1.1047076317711927E-2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c r="K64"/>
    </row>
    <row r="65" spans="6:11" x14ac:dyDescent="0.2">
      <c r="F65" s="69"/>
      <c r="K65"/>
    </row>
    <row r="66" spans="6:11" x14ac:dyDescent="0.2">
      <c r="F66" s="69"/>
      <c r="K66"/>
    </row>
    <row r="67" spans="6:11" x14ac:dyDescent="0.2">
      <c r="F67" s="69"/>
      <c r="K67"/>
    </row>
    <row r="68" spans="6:11" x14ac:dyDescent="0.2">
      <c r="F68" s="69"/>
      <c r="K68"/>
    </row>
  </sheetData>
  <mergeCells count="1">
    <mergeCell ref="A1:K1"/>
  </mergeCell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4">
    <tabColor theme="1" tint="0.499984740745262"/>
    <pageSetUpPr fitToPage="1"/>
  </sheetPr>
  <dimension ref="A1:K68"/>
  <sheetViews>
    <sheetView topLeftCell="A19" workbookViewId="0">
      <selection activeCell="C19" sqref="C19"/>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48" t="s">
        <v>112</v>
      </c>
      <c r="B1" s="349"/>
      <c r="C1" s="349"/>
      <c r="D1" s="349"/>
      <c r="E1" s="349"/>
      <c r="F1" s="349"/>
      <c r="G1" s="349"/>
      <c r="H1" s="349"/>
      <c r="I1" s="349"/>
      <c r="J1" s="349"/>
      <c r="K1" s="350"/>
    </row>
    <row r="3" spans="1:11" x14ac:dyDescent="0.2">
      <c r="A3" s="13" t="s">
        <v>13</v>
      </c>
      <c r="B3" s="13" t="s">
        <v>1</v>
      </c>
    </row>
    <row r="4" spans="1:11" x14ac:dyDescent="0.2">
      <c r="A4" s="15" t="s">
        <v>62</v>
      </c>
      <c r="B4" s="79">
        <f>'Data for Bill Impacts_HONI Avg '!C4</f>
        <v>920</v>
      </c>
    </row>
    <row r="5" spans="1:11" x14ac:dyDescent="0.2">
      <c r="A5" s="15" t="s">
        <v>16</v>
      </c>
      <c r="B5" s="15">
        <f>VLOOKUP($B$3,'Data for Bill Impacts'!$A$3:$Y$15,5,0)</f>
        <v>0</v>
      </c>
    </row>
    <row r="6" spans="1:11" x14ac:dyDescent="0.2">
      <c r="A6" s="15" t="s">
        <v>20</v>
      </c>
      <c r="B6" s="15">
        <f>VLOOKUP($B$3,'Data for Bill Impacts'!$A$3:$Y$15,2,0)</f>
        <v>1.0760000000000001</v>
      </c>
    </row>
    <row r="7" spans="1:11" x14ac:dyDescent="0.2">
      <c r="A7" s="15" t="s">
        <v>15</v>
      </c>
      <c r="B7" s="15">
        <f>VLOOKUP($B$3,'Data for Bill Impacts'!$A$3:$Y$15,4,0)</f>
        <v>600</v>
      </c>
    </row>
    <row r="8" spans="1:11" x14ac:dyDescent="0.2">
      <c r="A8" s="15" t="s">
        <v>82</v>
      </c>
      <c r="B8" s="193">
        <f>B4*B6</f>
        <v>989.92000000000007</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0.10299999999999999</v>
      </c>
      <c r="D12" s="104">
        <f>B12*C12</f>
        <v>61.8</v>
      </c>
      <c r="E12" s="102">
        <f>B12</f>
        <v>600</v>
      </c>
      <c r="F12" s="103">
        <f>C12</f>
        <v>0.10299999999999999</v>
      </c>
      <c r="G12" s="104">
        <f>E12*F12</f>
        <v>61.8</v>
      </c>
      <c r="H12" s="104">
        <f>G12-D12</f>
        <v>0</v>
      </c>
      <c r="I12" s="105">
        <f>IF(ISERROR(H12/D12),0,(H12/D12))</f>
        <v>0</v>
      </c>
      <c r="J12" s="105">
        <f>G12/$G$46</f>
        <v>0.30506087942997712</v>
      </c>
      <c r="K12" s="106"/>
    </row>
    <row r="13" spans="1:11" x14ac:dyDescent="0.2">
      <c r="A13" s="107" t="s">
        <v>32</v>
      </c>
      <c r="B13" s="73">
        <f>IF(B4&gt;B7,(B4)-B7,0)</f>
        <v>320</v>
      </c>
      <c r="C13" s="21">
        <v>0.121</v>
      </c>
      <c r="D13" s="22">
        <f>B13*C13</f>
        <v>38.72</v>
      </c>
      <c r="E13" s="73">
        <f t="shared" ref="E13" si="0">B13</f>
        <v>320</v>
      </c>
      <c r="F13" s="21">
        <f>C13</f>
        <v>0.121</v>
      </c>
      <c r="G13" s="22">
        <f>E13*F13</f>
        <v>38.72</v>
      </c>
      <c r="H13" s="22">
        <f t="shared" ref="H13:H46" si="1">G13-D13</f>
        <v>0</v>
      </c>
      <c r="I13" s="23">
        <f t="shared" ref="I13:I46" si="2">IF(ISERROR(H13/D13),0,(H13/D13))</f>
        <v>0</v>
      </c>
      <c r="J13" s="23">
        <f>G13/$G$46</f>
        <v>0.19113199436130607</v>
      </c>
      <c r="K13" s="108"/>
    </row>
    <row r="14" spans="1:11" s="1" customFormat="1" x14ac:dyDescent="0.2">
      <c r="A14" s="46" t="s">
        <v>33</v>
      </c>
      <c r="B14" s="24"/>
      <c r="C14" s="25"/>
      <c r="D14" s="25">
        <f>SUM(D12:D13)</f>
        <v>100.52</v>
      </c>
      <c r="E14" s="76"/>
      <c r="F14" s="25"/>
      <c r="G14" s="25">
        <f>SUM(G12:G13)</f>
        <v>100.52</v>
      </c>
      <c r="H14" s="25">
        <f t="shared" si="1"/>
        <v>0</v>
      </c>
      <c r="I14" s="27">
        <f t="shared" si="2"/>
        <v>0</v>
      </c>
      <c r="J14" s="27">
        <f>G14/$G$46</f>
        <v>0.49619287379128318</v>
      </c>
      <c r="K14" s="108"/>
    </row>
    <row r="15" spans="1:11" s="1" customFormat="1" x14ac:dyDescent="0.2">
      <c r="A15" s="109" t="s">
        <v>34</v>
      </c>
      <c r="B15" s="75">
        <f>B4*0.65</f>
        <v>598</v>
      </c>
      <c r="C15" s="28">
        <v>8.6999999999999994E-2</v>
      </c>
      <c r="D15" s="22">
        <f>B15*C15</f>
        <v>52.025999999999996</v>
      </c>
      <c r="E15" s="73">
        <f t="shared" ref="E15:F17" si="3">B15</f>
        <v>598</v>
      </c>
      <c r="F15" s="28">
        <f t="shared" si="3"/>
        <v>8.6999999999999994E-2</v>
      </c>
      <c r="G15" s="22">
        <f>E15*F15</f>
        <v>52.025999999999996</v>
      </c>
      <c r="H15" s="22">
        <f t="shared" si="1"/>
        <v>0</v>
      </c>
      <c r="I15" s="23">
        <f t="shared" si="2"/>
        <v>0</v>
      </c>
      <c r="J15" s="23"/>
      <c r="K15" s="108">
        <f t="shared" ref="K15:K26" si="4">G15/$G$51</f>
        <v>0.25511228994427398</v>
      </c>
    </row>
    <row r="16" spans="1:11" s="1" customFormat="1" x14ac:dyDescent="0.2">
      <c r="A16" s="109" t="s">
        <v>35</v>
      </c>
      <c r="B16" s="75">
        <f>B4*0.17</f>
        <v>156.4</v>
      </c>
      <c r="C16" s="28">
        <v>0.13200000000000001</v>
      </c>
      <c r="D16" s="22">
        <f>B16*C16</f>
        <v>20.6448</v>
      </c>
      <c r="E16" s="73">
        <f t="shared" si="3"/>
        <v>156.4</v>
      </c>
      <c r="F16" s="28">
        <f t="shared" si="3"/>
        <v>0.13200000000000001</v>
      </c>
      <c r="G16" s="22">
        <f>E16*F16</f>
        <v>20.6448</v>
      </c>
      <c r="H16" s="22">
        <f t="shared" si="1"/>
        <v>0</v>
      </c>
      <c r="I16" s="23">
        <f t="shared" si="2"/>
        <v>0</v>
      </c>
      <c r="J16" s="23"/>
      <c r="K16" s="108">
        <f t="shared" si="4"/>
        <v>0.10123288746860316</v>
      </c>
    </row>
    <row r="17" spans="1:11" s="1" customFormat="1" x14ac:dyDescent="0.2">
      <c r="A17" s="109" t="s">
        <v>36</v>
      </c>
      <c r="B17" s="75">
        <f>B4*0.18</f>
        <v>165.6</v>
      </c>
      <c r="C17" s="28">
        <v>0.18</v>
      </c>
      <c r="D17" s="22">
        <f>B17*C17</f>
        <v>29.807999999999996</v>
      </c>
      <c r="E17" s="73">
        <f t="shared" si="3"/>
        <v>165.6</v>
      </c>
      <c r="F17" s="28">
        <f t="shared" si="3"/>
        <v>0.18</v>
      </c>
      <c r="G17" s="22">
        <f>E17*F17</f>
        <v>29.807999999999996</v>
      </c>
      <c r="H17" s="22">
        <f t="shared" si="1"/>
        <v>0</v>
      </c>
      <c r="I17" s="23">
        <f t="shared" si="2"/>
        <v>0</v>
      </c>
      <c r="J17" s="23"/>
      <c r="K17" s="108">
        <f t="shared" si="4"/>
        <v>0.14616513163915965</v>
      </c>
    </row>
    <row r="18" spans="1:11" s="1" customFormat="1" x14ac:dyDescent="0.2">
      <c r="A18" s="61" t="s">
        <v>37</v>
      </c>
      <c r="B18" s="29"/>
      <c r="C18" s="30"/>
      <c r="D18" s="30">
        <f>SUM(D15:D17)</f>
        <v>102.47879999999999</v>
      </c>
      <c r="E18" s="77"/>
      <c r="F18" s="30"/>
      <c r="G18" s="30">
        <f>SUM(G15:G17)</f>
        <v>102.47879999999999</v>
      </c>
      <c r="H18" s="31">
        <f t="shared" si="1"/>
        <v>0</v>
      </c>
      <c r="I18" s="32">
        <f t="shared" si="2"/>
        <v>0</v>
      </c>
      <c r="J18" s="33">
        <f t="shared" ref="J18:J23" si="5">G18/$G$46</f>
        <v>0.50586202024156535</v>
      </c>
      <c r="K18" s="62">
        <f t="shared" si="4"/>
        <v>0.50251030905203675</v>
      </c>
    </row>
    <row r="19" spans="1:11" x14ac:dyDescent="0.2">
      <c r="A19" s="107" t="s">
        <v>38</v>
      </c>
      <c r="B19" s="73">
        <v>1</v>
      </c>
      <c r="C19" s="78">
        <f>VLOOKUP($B$3,'Data for Bill Impacts'!$A$3:$Y$15,7,0)</f>
        <v>47.11</v>
      </c>
      <c r="D19" s="22">
        <f>B19*C19</f>
        <v>47.11</v>
      </c>
      <c r="E19" s="73">
        <f t="shared" ref="E19:E41" si="6">B19</f>
        <v>1</v>
      </c>
      <c r="F19" s="78">
        <f>VLOOKUP($B$3,'Data for Bill Impacts'!$A$3:$Y$15,17,0)</f>
        <v>52.36</v>
      </c>
      <c r="G19" s="22">
        <f>E19*F19</f>
        <v>52.36</v>
      </c>
      <c r="H19" s="22">
        <f t="shared" si="1"/>
        <v>5.25</v>
      </c>
      <c r="I19" s="23">
        <f t="shared" si="2"/>
        <v>0.11144130757800892</v>
      </c>
      <c r="J19" s="23">
        <f t="shared" si="5"/>
        <v>0.25846258328403887</v>
      </c>
      <c r="K19" s="108">
        <f t="shared" si="4"/>
        <v>0.25675007691312396</v>
      </c>
    </row>
    <row r="20" spans="1:11" hidden="1" x14ac:dyDescent="0.2">
      <c r="A20" s="107" t="s">
        <v>83</v>
      </c>
      <c r="B20" s="73">
        <v>1</v>
      </c>
      <c r="C20" s="78">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145</v>
      </c>
      <c r="B21" s="73">
        <v>1</v>
      </c>
      <c r="C21" s="78">
        <v>0</v>
      </c>
      <c r="D21" s="22">
        <f t="shared" ref="D21:D22" si="8">B21*C21</f>
        <v>0</v>
      </c>
      <c r="E21" s="73">
        <f t="shared" si="6"/>
        <v>1</v>
      </c>
      <c r="F21" s="122">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v>
      </c>
      <c r="D22" s="22">
        <f t="shared" si="8"/>
        <v>0</v>
      </c>
      <c r="E22" s="73">
        <f t="shared" si="6"/>
        <v>1</v>
      </c>
      <c r="F22" s="122">
        <f>VLOOKUP($B$3,'Data for Bill Impacts'!$A$3:$Y$15,22,0)</f>
        <v>0</v>
      </c>
      <c r="G22" s="22">
        <f t="shared" si="7"/>
        <v>0</v>
      </c>
      <c r="H22" s="22">
        <f t="shared" si="1"/>
        <v>0</v>
      </c>
      <c r="I22" s="23">
        <f t="shared" si="2"/>
        <v>0</v>
      </c>
      <c r="J22" s="23">
        <f t="shared" si="5"/>
        <v>0</v>
      </c>
      <c r="K22" s="108">
        <f t="shared" si="4"/>
        <v>0</v>
      </c>
    </row>
    <row r="23" spans="1:11" x14ac:dyDescent="0.2">
      <c r="A23" s="107" t="s">
        <v>39</v>
      </c>
      <c r="B23" s="73">
        <f>IF($B$9="kWh",$B$4,$B$5)</f>
        <v>920</v>
      </c>
      <c r="C23" s="126">
        <f>VLOOKUP($B$3,'Data for Bill Impacts'!$A$3:$Y$15,10,0)</f>
        <v>1.6E-2</v>
      </c>
      <c r="D23" s="22">
        <f>B23*C23</f>
        <v>14.72</v>
      </c>
      <c r="E23" s="73">
        <f t="shared" si="6"/>
        <v>920</v>
      </c>
      <c r="F23" s="78">
        <f>VLOOKUP($B$3,'Data for Bill Impacts'!$A$3:$Y$15,19,0)</f>
        <v>1.1599999999999999E-2</v>
      </c>
      <c r="G23" s="22">
        <f>E23*F23</f>
        <v>10.671999999999999</v>
      </c>
      <c r="H23" s="22">
        <f t="shared" si="1"/>
        <v>-4.0480000000000018</v>
      </c>
      <c r="I23" s="23">
        <f t="shared" si="2"/>
        <v>-0.27500000000000013</v>
      </c>
      <c r="J23" s="23">
        <f t="shared" si="5"/>
        <v>5.2679768693797986E-2</v>
      </c>
      <c r="K23" s="108">
        <f t="shared" si="4"/>
        <v>5.2330726142415178E-2</v>
      </c>
    </row>
    <row r="24" spans="1:11" x14ac:dyDescent="0.2">
      <c r="A24" s="107" t="s">
        <v>194</v>
      </c>
      <c r="B24" s="73">
        <f>IF($B$9="kWh",$B$4,$B$5)</f>
        <v>920</v>
      </c>
      <c r="C24" s="126">
        <f>VLOOKUP($B$3,'Data for Bill Impacts'!$A$3:$Y$15,14,0)</f>
        <v>2.0000000000000001E-4</v>
      </c>
      <c r="D24" s="22">
        <f>B24*C24</f>
        <v>0.184</v>
      </c>
      <c r="E24" s="73">
        <f t="shared" si="6"/>
        <v>920</v>
      </c>
      <c r="F24" s="126">
        <f>VLOOKUP($B$3,'Data for Bill Impacts'!$A$3:$Y$15,23,0)</f>
        <v>2.0000000000000001E-4</v>
      </c>
      <c r="G24" s="22">
        <f>E24*F24</f>
        <v>0.184</v>
      </c>
      <c r="H24" s="22">
        <f t="shared" si="1"/>
        <v>0</v>
      </c>
      <c r="I24" s="23">
        <f>IF(ISERROR(H24/D24),0,(H24/D24))</f>
        <v>0</v>
      </c>
      <c r="J24" s="23">
        <f t="shared" ref="J24" si="9">G24/$G$46</f>
        <v>9.0827187403099991E-4</v>
      </c>
      <c r="K24" s="108">
        <f t="shared" si="4"/>
        <v>9.0225389900715832E-4</v>
      </c>
    </row>
    <row r="25" spans="1:11" s="1" customFormat="1" x14ac:dyDescent="0.2">
      <c r="A25" s="110" t="s">
        <v>72</v>
      </c>
      <c r="B25" s="74"/>
      <c r="C25" s="35"/>
      <c r="D25" s="35">
        <f>SUM(D19:D24)</f>
        <v>62.013999999999996</v>
      </c>
      <c r="E25" s="73"/>
      <c r="F25" s="35"/>
      <c r="G25" s="35">
        <f>SUM(G19:G24)</f>
        <v>63.215999999999994</v>
      </c>
      <c r="H25" s="35">
        <f t="shared" si="1"/>
        <v>1.2019999999999982</v>
      </c>
      <c r="I25" s="36">
        <f t="shared" si="2"/>
        <v>1.9382720030960723E-2</v>
      </c>
      <c r="J25" s="36">
        <f>G25/$G$46</f>
        <v>0.31205062385186783</v>
      </c>
      <c r="K25" s="111">
        <f t="shared" si="4"/>
        <v>0.30998305695454631</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G26/$G$46</f>
        <v>3.8996455461113582E-3</v>
      </c>
      <c r="K26" s="108">
        <f t="shared" si="4"/>
        <v>3.8738075011720387E-3</v>
      </c>
    </row>
    <row r="27" spans="1:11" s="1" customFormat="1" x14ac:dyDescent="0.2">
      <c r="A27" s="119" t="s">
        <v>75</v>
      </c>
      <c r="B27" s="120">
        <f>B8-B4</f>
        <v>69.920000000000073</v>
      </c>
      <c r="C27" s="121">
        <f>IF(B4&gt;B7,C13,C12)</f>
        <v>0.121</v>
      </c>
      <c r="D27" s="22">
        <f>B27*C27</f>
        <v>8.4603200000000083</v>
      </c>
      <c r="E27" s="73">
        <f>B27</f>
        <v>69.920000000000073</v>
      </c>
      <c r="F27" s="121">
        <f>C27</f>
        <v>0.121</v>
      </c>
      <c r="G27" s="22">
        <f>E27*F27</f>
        <v>8.4603200000000083</v>
      </c>
      <c r="H27" s="22">
        <f t="shared" si="1"/>
        <v>0</v>
      </c>
      <c r="I27" s="23">
        <f>IF(ISERROR(H27/D27),0,(H27/D27))</f>
        <v>0</v>
      </c>
      <c r="J27" s="23">
        <f t="shared" ref="J27:J46" si="10">G27/$G$46</f>
        <v>4.1762340767945418E-2</v>
      </c>
      <c r="K27" s="108">
        <f t="shared" ref="K27:K41" si="11">G27/$G$51</f>
        <v>4.148563427634918E-2</v>
      </c>
    </row>
    <row r="28" spans="1:11" s="1" customFormat="1" x14ac:dyDescent="0.2">
      <c r="A28" s="119" t="s">
        <v>74</v>
      </c>
      <c r="B28" s="120">
        <f>B8-B4</f>
        <v>69.920000000000073</v>
      </c>
      <c r="C28" s="121">
        <f>0.65*C15+0.17*C16+0.18*C17</f>
        <v>0.11139</v>
      </c>
      <c r="D28" s="22">
        <f>B28*C28</f>
        <v>7.7883888000000079</v>
      </c>
      <c r="E28" s="73">
        <f>B28</f>
        <v>69.920000000000073</v>
      </c>
      <c r="F28" s="121">
        <f>C28</f>
        <v>0.11139</v>
      </c>
      <c r="G28" s="22">
        <f>E28*F28</f>
        <v>7.7883888000000079</v>
      </c>
      <c r="H28" s="22">
        <f t="shared" si="1"/>
        <v>0</v>
      </c>
      <c r="I28" s="23">
        <f>IF(ISERROR(H28/D28),0,(H28/D28))</f>
        <v>0</v>
      </c>
      <c r="J28" s="23">
        <f t="shared" si="10"/>
        <v>3.8445513538359011E-2</v>
      </c>
      <c r="K28" s="108">
        <f t="shared" si="11"/>
        <v>3.8190783487954835E-2</v>
      </c>
    </row>
    <row r="29" spans="1:11" s="1" customFormat="1" x14ac:dyDescent="0.2">
      <c r="A29" s="110" t="s">
        <v>78</v>
      </c>
      <c r="B29" s="74"/>
      <c r="C29" s="35"/>
      <c r="D29" s="35">
        <f>SUM(D25,D26:D27)</f>
        <v>71.264319999999998</v>
      </c>
      <c r="E29" s="73"/>
      <c r="F29" s="35"/>
      <c r="G29" s="35">
        <f>SUM(G25,G26:G27)</f>
        <v>72.46632000000001</v>
      </c>
      <c r="H29" s="35">
        <f t="shared" si="1"/>
        <v>1.2020000000000124</v>
      </c>
      <c r="I29" s="36">
        <f>IF(ISERROR(H29/D29),0,(H29/D29))</f>
        <v>1.686678551061755E-2</v>
      </c>
      <c r="J29" s="36">
        <f t="shared" si="10"/>
        <v>0.35771261016592465</v>
      </c>
      <c r="K29" s="111">
        <f t="shared" si="11"/>
        <v>0.35534249873206752</v>
      </c>
    </row>
    <row r="30" spans="1:11" s="1" customFormat="1" x14ac:dyDescent="0.2">
      <c r="A30" s="110" t="s">
        <v>77</v>
      </c>
      <c r="B30" s="74"/>
      <c r="C30" s="35"/>
      <c r="D30" s="35">
        <f>SUM(D25,D26,D28)</f>
        <v>70.592388800000009</v>
      </c>
      <c r="E30" s="73"/>
      <c r="F30" s="35"/>
      <c r="G30" s="35">
        <f>SUM(G25,G26,G28)</f>
        <v>71.794388800000007</v>
      </c>
      <c r="H30" s="35">
        <f t="shared" si="1"/>
        <v>1.2019999999999982</v>
      </c>
      <c r="I30" s="36">
        <f>IF(ISERROR(H30/D30),0,(H30/D30))</f>
        <v>1.7027331422449301E-2</v>
      </c>
      <c r="J30" s="36">
        <f t="shared" si="10"/>
        <v>0.35439578293633822</v>
      </c>
      <c r="K30" s="111">
        <f t="shared" si="11"/>
        <v>0.35204764794367321</v>
      </c>
    </row>
    <row r="31" spans="1:11" x14ac:dyDescent="0.2">
      <c r="A31" s="107" t="s">
        <v>40</v>
      </c>
      <c r="B31" s="73">
        <f>B8</f>
        <v>989.92000000000007</v>
      </c>
      <c r="C31" s="126">
        <f>VLOOKUP($B$3,'Data for Bill Impacts'!$A$3:$Y$15,15,0)</f>
        <v>7.2069999999999999E-3</v>
      </c>
      <c r="D31" s="22">
        <f>B31*C31</f>
        <v>7.1343534400000008</v>
      </c>
      <c r="E31" s="73">
        <f t="shared" si="6"/>
        <v>989.92000000000007</v>
      </c>
      <c r="F31" s="78">
        <f>VLOOKUP($B$3,'Data for Bill Impacts'!$A$3:$Y$15,24,0)</f>
        <v>7.1999999999999998E-3</v>
      </c>
      <c r="G31" s="22">
        <f>E31*F31</f>
        <v>7.1274240000000004</v>
      </c>
      <c r="H31" s="22">
        <f t="shared" si="1"/>
        <v>-6.9294400000003975E-3</v>
      </c>
      <c r="I31" s="23">
        <f t="shared" si="2"/>
        <v>-9.7127792424037747E-4</v>
      </c>
      <c r="J31" s="23">
        <f t="shared" si="10"/>
        <v>3.5182819312464815E-2</v>
      </c>
      <c r="K31" s="108">
        <f t="shared" si="11"/>
        <v>3.4949707031941286E-2</v>
      </c>
    </row>
    <row r="32" spans="1:11" x14ac:dyDescent="0.2">
      <c r="A32" s="107" t="s">
        <v>41</v>
      </c>
      <c r="B32" s="73">
        <f>B8</f>
        <v>989.92000000000007</v>
      </c>
      <c r="C32" s="126">
        <f>VLOOKUP($B$3,'Data for Bill Impacts'!$A$3:$Y$15,16,0)</f>
        <v>6.0319999999999992E-3</v>
      </c>
      <c r="D32" s="22">
        <f>B32*C32</f>
        <v>5.9711974399999992</v>
      </c>
      <c r="E32" s="73">
        <f t="shared" si="6"/>
        <v>989.92000000000007</v>
      </c>
      <c r="F32" s="78">
        <f>VLOOKUP($B$3,'Data for Bill Impacts'!$A$3:$Y$15,25,0)</f>
        <v>5.8999999999999999E-3</v>
      </c>
      <c r="G32" s="22">
        <f>E32*F32</f>
        <v>5.8405279999999999</v>
      </c>
      <c r="H32" s="22">
        <f t="shared" si="1"/>
        <v>-0.13066943999999925</v>
      </c>
      <c r="I32" s="23">
        <f t="shared" si="2"/>
        <v>-2.1883289124668311E-2</v>
      </c>
      <c r="J32" s="23">
        <f t="shared" si="10"/>
        <v>2.8830365825491998E-2</v>
      </c>
      <c r="K32" s="108">
        <f t="shared" si="11"/>
        <v>2.8639343262285219E-2</v>
      </c>
    </row>
    <row r="33" spans="1:11" s="1" customFormat="1" x14ac:dyDescent="0.2">
      <c r="A33" s="110" t="s">
        <v>76</v>
      </c>
      <c r="B33" s="74"/>
      <c r="C33" s="35"/>
      <c r="D33" s="35">
        <f>SUM(D31:D32)</f>
        <v>13.105550879999999</v>
      </c>
      <c r="E33" s="73"/>
      <c r="F33" s="35"/>
      <c r="G33" s="35">
        <f>SUM(G31:G32)</f>
        <v>12.967952</v>
      </c>
      <c r="H33" s="35">
        <f t="shared" si="1"/>
        <v>-0.13759887999999876</v>
      </c>
      <c r="I33" s="36">
        <f t="shared" si="2"/>
        <v>-1.0499282423143647E-2</v>
      </c>
      <c r="J33" s="36">
        <f t="shared" si="10"/>
        <v>6.4013185137956813E-2</v>
      </c>
      <c r="K33" s="111">
        <f t="shared" si="11"/>
        <v>6.3589050294226512E-2</v>
      </c>
    </row>
    <row r="34" spans="1:11" s="1" customFormat="1" x14ac:dyDescent="0.2">
      <c r="A34" s="110" t="s">
        <v>95</v>
      </c>
      <c r="B34" s="74"/>
      <c r="C34" s="35"/>
      <c r="D34" s="35">
        <f>D29+D33</f>
        <v>84.369870879999993</v>
      </c>
      <c r="E34" s="73"/>
      <c r="F34" s="35"/>
      <c r="G34" s="35">
        <f>G29+G33</f>
        <v>85.434272000000007</v>
      </c>
      <c r="H34" s="35">
        <f t="shared" si="1"/>
        <v>1.0644011200000136</v>
      </c>
      <c r="I34" s="36">
        <f t="shared" si="2"/>
        <v>1.2615891299797302E-2</v>
      </c>
      <c r="J34" s="36">
        <f t="shared" si="10"/>
        <v>0.42172579530388143</v>
      </c>
      <c r="K34" s="111">
        <f t="shared" si="11"/>
        <v>0.41893154902629404</v>
      </c>
    </row>
    <row r="35" spans="1:11" s="1" customFormat="1" x14ac:dyDescent="0.2">
      <c r="A35" s="110" t="s">
        <v>96</v>
      </c>
      <c r="B35" s="74"/>
      <c r="C35" s="35"/>
      <c r="D35" s="35">
        <f>D30+D33</f>
        <v>83.697939680000005</v>
      </c>
      <c r="E35" s="73"/>
      <c r="F35" s="35"/>
      <c r="G35" s="35">
        <f>G30+G33</f>
        <v>84.762340800000004</v>
      </c>
      <c r="H35" s="35">
        <f t="shared" si="1"/>
        <v>1.0644011199999994</v>
      </c>
      <c r="I35" s="36">
        <f t="shared" si="2"/>
        <v>1.2717172299216617E-2</v>
      </c>
      <c r="J35" s="36">
        <f t="shared" si="10"/>
        <v>0.41840896807429501</v>
      </c>
      <c r="K35" s="111">
        <f t="shared" si="11"/>
        <v>0.41563669823789967</v>
      </c>
    </row>
    <row r="36" spans="1:11" x14ac:dyDescent="0.2">
      <c r="A36" s="107" t="s">
        <v>42</v>
      </c>
      <c r="B36" s="73">
        <f>B8</f>
        <v>989.92000000000007</v>
      </c>
      <c r="C36" s="34">
        <v>3.5999999999999999E-3</v>
      </c>
      <c r="D36" s="22">
        <f>B36*C36</f>
        <v>3.5637120000000002</v>
      </c>
      <c r="E36" s="73">
        <f t="shared" si="6"/>
        <v>989.92000000000007</v>
      </c>
      <c r="F36" s="34">
        <v>3.5999999999999999E-3</v>
      </c>
      <c r="G36" s="22">
        <f>E36*F36</f>
        <v>3.5637120000000002</v>
      </c>
      <c r="H36" s="22">
        <f t="shared" si="1"/>
        <v>0</v>
      </c>
      <c r="I36" s="23">
        <f t="shared" si="2"/>
        <v>0</v>
      </c>
      <c r="J36" s="23">
        <f t="shared" si="10"/>
        <v>1.7591409656232408E-2</v>
      </c>
      <c r="K36" s="108">
        <f t="shared" si="11"/>
        <v>1.7474853515970643E-2</v>
      </c>
    </row>
    <row r="37" spans="1:11" x14ac:dyDescent="0.2">
      <c r="A37" s="107" t="s">
        <v>43</v>
      </c>
      <c r="B37" s="73">
        <f>B8</f>
        <v>989.92000000000007</v>
      </c>
      <c r="C37" s="34">
        <v>2.0999999999999999E-3</v>
      </c>
      <c r="D37" s="22">
        <f>B37*C37</f>
        <v>2.0788320000000002</v>
      </c>
      <c r="E37" s="73">
        <f t="shared" si="6"/>
        <v>989.92000000000007</v>
      </c>
      <c r="F37" s="34">
        <v>2.0999999999999999E-3</v>
      </c>
      <c r="G37" s="22">
        <f>E37*F37</f>
        <v>2.0788320000000002</v>
      </c>
      <c r="H37" s="22">
        <f>G37-D37</f>
        <v>0</v>
      </c>
      <c r="I37" s="23">
        <f t="shared" si="2"/>
        <v>0</v>
      </c>
      <c r="J37" s="23">
        <f t="shared" si="10"/>
        <v>1.0261655632802237E-2</v>
      </c>
      <c r="K37" s="108">
        <f t="shared" si="11"/>
        <v>1.0193664550982875E-2</v>
      </c>
    </row>
    <row r="38" spans="1:11" x14ac:dyDescent="0.2">
      <c r="A38" s="107" t="s">
        <v>100</v>
      </c>
      <c r="B38" s="73">
        <f>B8</f>
        <v>989.92000000000007</v>
      </c>
      <c r="C38" s="34">
        <v>1.1000000000000001E-3</v>
      </c>
      <c r="D38" s="22">
        <f>B38*C38</f>
        <v>1.0889120000000001</v>
      </c>
      <c r="E38" s="73">
        <f t="shared" si="6"/>
        <v>989.92000000000007</v>
      </c>
      <c r="F38" s="34">
        <v>1.1000000000000001E-3</v>
      </c>
      <c r="G38" s="22">
        <f>E38*F38</f>
        <v>1.0889120000000001</v>
      </c>
      <c r="H38" s="22">
        <f>G38-D38</f>
        <v>0</v>
      </c>
      <c r="I38" s="23">
        <f t="shared" si="2"/>
        <v>0</v>
      </c>
      <c r="J38" s="23">
        <f t="shared" si="10"/>
        <v>5.3751529505154574E-3</v>
      </c>
      <c r="K38" s="108">
        <f t="shared" si="11"/>
        <v>5.3395385743243637E-3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10"/>
        <v>1.2340650462377715E-3</v>
      </c>
      <c r="K39" s="108">
        <f t="shared" si="11"/>
        <v>1.2258884497379869E-3</v>
      </c>
    </row>
    <row r="40" spans="1:11" s="1" customFormat="1" x14ac:dyDescent="0.2">
      <c r="A40" s="110" t="s">
        <v>45</v>
      </c>
      <c r="B40" s="74"/>
      <c r="C40" s="35"/>
      <c r="D40" s="35">
        <f>SUM(D36:D39)</f>
        <v>6.9814560000000014</v>
      </c>
      <c r="E40" s="73"/>
      <c r="F40" s="35"/>
      <c r="G40" s="35">
        <f>SUM(G36:G39)</f>
        <v>6.9814560000000014</v>
      </c>
      <c r="H40" s="35">
        <f t="shared" si="1"/>
        <v>0</v>
      </c>
      <c r="I40" s="36">
        <f t="shared" si="2"/>
        <v>0</v>
      </c>
      <c r="J40" s="36">
        <f t="shared" si="10"/>
        <v>3.4462283285787876E-2</v>
      </c>
      <c r="K40" s="111">
        <f t="shared" si="11"/>
        <v>3.4233945091015877E-2</v>
      </c>
    </row>
    <row r="41" spans="1:11" s="1" customFormat="1" ht="13.5" thickBot="1" x14ac:dyDescent="0.25">
      <c r="A41" s="112" t="s">
        <v>46</v>
      </c>
      <c r="B41" s="113">
        <f>B4</f>
        <v>920</v>
      </c>
      <c r="C41" s="114">
        <v>0</v>
      </c>
      <c r="D41" s="115">
        <f>B41*C41</f>
        <v>0</v>
      </c>
      <c r="E41" s="116">
        <f t="shared" si="6"/>
        <v>920</v>
      </c>
      <c r="F41" s="114">
        <f>C41</f>
        <v>0</v>
      </c>
      <c r="G41" s="115">
        <f>E41*F41</f>
        <v>0</v>
      </c>
      <c r="H41" s="115">
        <f t="shared" si="1"/>
        <v>0</v>
      </c>
      <c r="I41" s="117">
        <f t="shared" si="2"/>
        <v>0</v>
      </c>
      <c r="J41" s="117">
        <f t="shared" si="10"/>
        <v>0</v>
      </c>
      <c r="K41" s="118">
        <f t="shared" si="11"/>
        <v>0</v>
      </c>
    </row>
    <row r="42" spans="1:11" s="1" customFormat="1" x14ac:dyDescent="0.2">
      <c r="A42" s="37" t="s">
        <v>137</v>
      </c>
      <c r="B42" s="38"/>
      <c r="C42" s="39"/>
      <c r="D42" s="39">
        <f>SUM(D14,D25,D26,D27,D33,D40,D41)</f>
        <v>191.87132688</v>
      </c>
      <c r="E42" s="38"/>
      <c r="F42" s="39"/>
      <c r="G42" s="39">
        <f>SUM(G14,G25,G26,G27,G33,G40,G41)</f>
        <v>192.93572799999998</v>
      </c>
      <c r="H42" s="39">
        <f t="shared" si="1"/>
        <v>1.0644011199999852</v>
      </c>
      <c r="I42" s="40">
        <f>IF(ISERROR(H42/D42),0,(H42/D42))</f>
        <v>5.5474735975828329E-3</v>
      </c>
      <c r="J42" s="40">
        <f t="shared" si="10"/>
        <v>0.95238095238095244</v>
      </c>
      <c r="K42" s="41"/>
    </row>
    <row r="43" spans="1:11" x14ac:dyDescent="0.2">
      <c r="A43" s="150" t="s">
        <v>138</v>
      </c>
      <c r="B43" s="43"/>
      <c r="C43" s="26">
        <v>0.13</v>
      </c>
      <c r="D43" s="26">
        <f>D42*C43</f>
        <v>24.943272494400002</v>
      </c>
      <c r="E43" s="26"/>
      <c r="F43" s="26">
        <f>C43</f>
        <v>0.13</v>
      </c>
      <c r="G43" s="26">
        <f>G42*F43</f>
        <v>25.08164464</v>
      </c>
      <c r="H43" s="26">
        <f t="shared" si="1"/>
        <v>0.13837214559999822</v>
      </c>
      <c r="I43" s="44">
        <f t="shared" si="2"/>
        <v>5.5474735975828372E-3</v>
      </c>
      <c r="J43" s="44">
        <f t="shared" si="10"/>
        <v>0.12380952380952383</v>
      </c>
      <c r="K43" s="45"/>
    </row>
    <row r="44" spans="1:11" s="1" customFormat="1" x14ac:dyDescent="0.2">
      <c r="A44" s="46" t="s">
        <v>139</v>
      </c>
      <c r="B44" s="24"/>
      <c r="C44" s="25"/>
      <c r="D44" s="25">
        <f>SUM(D42:D43)</f>
        <v>216.81459937439999</v>
      </c>
      <c r="E44" s="25"/>
      <c r="F44" s="25"/>
      <c r="G44" s="25">
        <f>SUM(G42:G43)</f>
        <v>218.01737263999999</v>
      </c>
      <c r="H44" s="25">
        <f t="shared" si="1"/>
        <v>1.2027732656000012</v>
      </c>
      <c r="I44" s="27">
        <f t="shared" si="2"/>
        <v>5.5474735975829153E-3</v>
      </c>
      <c r="J44" s="27">
        <f t="shared" si="10"/>
        <v>1.0761904761904764</v>
      </c>
      <c r="K44" s="47"/>
    </row>
    <row r="45" spans="1:11" x14ac:dyDescent="0.2">
      <c r="A45" s="42" t="s">
        <v>140</v>
      </c>
      <c r="B45" s="43"/>
      <c r="C45" s="26">
        <v>-0.08</v>
      </c>
      <c r="D45" s="26">
        <f>D42*C45</f>
        <v>-15.349706150399999</v>
      </c>
      <c r="E45" s="26"/>
      <c r="F45" s="26">
        <f>C45</f>
        <v>-0.08</v>
      </c>
      <c r="G45" s="26">
        <f>G42*F45</f>
        <v>-15.434858239999999</v>
      </c>
      <c r="H45" s="26">
        <f t="shared" si="1"/>
        <v>-8.5152089599999314E-2</v>
      </c>
      <c r="I45" s="44">
        <f t="shared" si="2"/>
        <v>5.547473597582865E-3</v>
      </c>
      <c r="J45" s="44">
        <f t="shared" si="10"/>
        <v>-7.6190476190476197E-2</v>
      </c>
      <c r="K45" s="45"/>
    </row>
    <row r="46" spans="1:11" s="1" customFormat="1" ht="13.5" thickBot="1" x14ac:dyDescent="0.25">
      <c r="A46" s="48" t="s">
        <v>141</v>
      </c>
      <c r="B46" s="49"/>
      <c r="C46" s="50"/>
      <c r="D46" s="50">
        <f>SUM(D44:D45)</f>
        <v>201.46489322399998</v>
      </c>
      <c r="E46" s="50"/>
      <c r="F46" s="50"/>
      <c r="G46" s="50">
        <f>SUM(G44:G45)</f>
        <v>202.58251439999998</v>
      </c>
      <c r="H46" s="50">
        <f t="shared" si="1"/>
        <v>1.1176211760000001</v>
      </c>
      <c r="I46" s="51">
        <f t="shared" si="2"/>
        <v>5.5474735975829109E-3</v>
      </c>
      <c r="J46" s="51">
        <f t="shared" si="10"/>
        <v>1</v>
      </c>
      <c r="K46" s="52"/>
    </row>
    <row r="47" spans="1:11" x14ac:dyDescent="0.2">
      <c r="A47" s="53" t="s">
        <v>142</v>
      </c>
      <c r="B47" s="54"/>
      <c r="C47" s="55"/>
      <c r="D47" s="55">
        <f>SUM(D18,D25,D26,D28,D33,D40,D41)</f>
        <v>193.15819568000001</v>
      </c>
      <c r="E47" s="55"/>
      <c r="F47" s="55"/>
      <c r="G47" s="55">
        <f>SUM(G18,G25,G26,G28,G33,G40,G41)</f>
        <v>194.22259679999999</v>
      </c>
      <c r="H47" s="55">
        <f>G47-D47</f>
        <v>1.0644011199999852</v>
      </c>
      <c r="I47" s="56">
        <f>IF(ISERROR(H47/D47),0,(H47/D47))</f>
        <v>5.510514924064366E-3</v>
      </c>
      <c r="J47" s="56"/>
      <c r="K47" s="57">
        <f>G47/$G$51</f>
        <v>0.95238095238095233</v>
      </c>
    </row>
    <row r="48" spans="1:11" x14ac:dyDescent="0.2">
      <c r="A48" s="58" t="s">
        <v>138</v>
      </c>
      <c r="B48" s="59"/>
      <c r="C48" s="31">
        <v>0.13</v>
      </c>
      <c r="D48" s="31">
        <f>D47*C48</f>
        <v>25.110565438400002</v>
      </c>
      <c r="E48" s="31"/>
      <c r="F48" s="31">
        <f>C48</f>
        <v>0.13</v>
      </c>
      <c r="G48" s="31">
        <f>G47*F48</f>
        <v>25.248937584</v>
      </c>
      <c r="H48" s="31">
        <f>G48-D48</f>
        <v>0.13837214559999822</v>
      </c>
      <c r="I48" s="32">
        <f>IF(ISERROR(H48/D48),0,(H48/D48))</f>
        <v>5.5105149240643712E-3</v>
      </c>
      <c r="J48" s="32"/>
      <c r="K48" s="60">
        <f>G48/$G$51</f>
        <v>0.12380952380952381</v>
      </c>
    </row>
    <row r="49" spans="1:11" x14ac:dyDescent="0.2">
      <c r="A49" s="61" t="s">
        <v>143</v>
      </c>
      <c r="B49" s="29"/>
      <c r="C49" s="30"/>
      <c r="D49" s="30">
        <f>SUM(D47:D48)</f>
        <v>218.26876111839999</v>
      </c>
      <c r="E49" s="30"/>
      <c r="F49" s="30"/>
      <c r="G49" s="30">
        <f>SUM(G47:G48)</f>
        <v>219.47153438399999</v>
      </c>
      <c r="H49" s="30">
        <f>G49-D49</f>
        <v>1.2027732656000012</v>
      </c>
      <c r="I49" s="33">
        <f>IF(ISERROR(H49/D49),0,(H49/D49))</f>
        <v>5.5105149240644484E-3</v>
      </c>
      <c r="J49" s="33"/>
      <c r="K49" s="62">
        <f>G49/$G$51</f>
        <v>1.0761904761904761</v>
      </c>
    </row>
    <row r="50" spans="1:11" x14ac:dyDescent="0.2">
      <c r="A50" s="58" t="s">
        <v>140</v>
      </c>
      <c r="B50" s="59"/>
      <c r="C50" s="31">
        <v>-0.08</v>
      </c>
      <c r="D50" s="31">
        <f>D47*C50</f>
        <v>-15.452655654400001</v>
      </c>
      <c r="E50" s="31"/>
      <c r="F50" s="31">
        <f>C50</f>
        <v>-0.08</v>
      </c>
      <c r="G50" s="31">
        <f>G47*F50</f>
        <v>-15.537807744</v>
      </c>
      <c r="H50" s="31">
        <f>G50-D50</f>
        <v>-8.5152089599999314E-2</v>
      </c>
      <c r="I50" s="32">
        <f>IF(ISERROR(H50/D50),0,(H50/D50))</f>
        <v>5.5105149240643981E-3</v>
      </c>
      <c r="J50" s="32"/>
      <c r="K50" s="60">
        <f>G50/$G$51</f>
        <v>-7.6190476190476183E-2</v>
      </c>
    </row>
    <row r="51" spans="1:11" ht="13.5" thickBot="1" x14ac:dyDescent="0.25">
      <c r="A51" s="63" t="s">
        <v>144</v>
      </c>
      <c r="B51" s="64"/>
      <c r="C51" s="65"/>
      <c r="D51" s="65">
        <f>SUM(D49:D50)</f>
        <v>202.816105464</v>
      </c>
      <c r="E51" s="65"/>
      <c r="F51" s="65"/>
      <c r="G51" s="65">
        <f>SUM(G49:G50)</f>
        <v>203.93372664</v>
      </c>
      <c r="H51" s="65">
        <f>G51-D51</f>
        <v>1.1176211760000001</v>
      </c>
      <c r="I51" s="66">
        <f>IF(ISERROR(H51/D51),0,(H51/D51))</f>
        <v>5.5105149240644432E-3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c r="K64"/>
    </row>
    <row r="65" spans="6:11" x14ac:dyDescent="0.2">
      <c r="F65" s="69"/>
      <c r="K65"/>
    </row>
    <row r="66" spans="6:11" x14ac:dyDescent="0.2">
      <c r="F66" s="69"/>
      <c r="K66"/>
    </row>
    <row r="67" spans="6:11" x14ac:dyDescent="0.2">
      <c r="F67" s="69"/>
      <c r="K67"/>
    </row>
    <row r="68" spans="6:11" x14ac:dyDescent="0.2">
      <c r="F68" s="69"/>
      <c r="K68"/>
    </row>
  </sheetData>
  <mergeCells count="1">
    <mergeCell ref="A1:K1"/>
  </mergeCell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1" tint="0.499984740745262"/>
    <pageSetUpPr fitToPage="1"/>
  </sheetPr>
  <dimension ref="A1:K68"/>
  <sheetViews>
    <sheetView view="pageBreakPreview" topLeftCell="A19" zoomScaleNormal="100" zoomScaleSheetLayoutView="100" workbookViewId="0">
      <selection activeCell="C19" sqref="C19"/>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48" t="s">
        <v>111</v>
      </c>
      <c r="B1" s="349"/>
      <c r="C1" s="349"/>
      <c r="D1" s="349"/>
      <c r="E1" s="349"/>
      <c r="F1" s="349"/>
      <c r="G1" s="349"/>
      <c r="H1" s="349"/>
      <c r="I1" s="349"/>
      <c r="J1" s="349"/>
      <c r="K1" s="350"/>
    </row>
    <row r="3" spans="1:11" x14ac:dyDescent="0.2">
      <c r="A3" s="13" t="s">
        <v>13</v>
      </c>
      <c r="B3" s="13" t="s">
        <v>1</v>
      </c>
    </row>
    <row r="4" spans="1:11" x14ac:dyDescent="0.2">
      <c r="A4" s="15" t="s">
        <v>62</v>
      </c>
      <c r="B4" s="15">
        <v>1800</v>
      </c>
    </row>
    <row r="5" spans="1:11" x14ac:dyDescent="0.2">
      <c r="A5" s="15" t="s">
        <v>16</v>
      </c>
      <c r="B5" s="15">
        <f>VLOOKUP($B$3,'Data for Bill Impacts'!$A$3:$Y$15,5,0)</f>
        <v>0</v>
      </c>
    </row>
    <row r="6" spans="1:11" x14ac:dyDescent="0.2">
      <c r="A6" s="15" t="s">
        <v>20</v>
      </c>
      <c r="B6" s="15">
        <f>VLOOKUP($B$3,'Data for Bill Impacts'!$A$3:$Y$15,2,0)</f>
        <v>1.0760000000000001</v>
      </c>
    </row>
    <row r="7" spans="1:11" x14ac:dyDescent="0.2">
      <c r="A7" s="15" t="s">
        <v>15</v>
      </c>
      <c r="B7" s="15">
        <f>VLOOKUP($B$3,'Data for Bill Impacts'!$A$3:$Y$15,4,0)</f>
        <v>600</v>
      </c>
    </row>
    <row r="8" spans="1:11" x14ac:dyDescent="0.2">
      <c r="A8" s="15" t="s">
        <v>82</v>
      </c>
      <c r="B8" s="193">
        <f>B4*B6</f>
        <v>1936.8000000000002</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0.10299999999999999</v>
      </c>
      <c r="D12" s="104">
        <f>B12*C12</f>
        <v>61.8</v>
      </c>
      <c r="E12" s="102">
        <f>B12</f>
        <v>600</v>
      </c>
      <c r="F12" s="103">
        <f>C12</f>
        <v>0.10299999999999999</v>
      </c>
      <c r="G12" s="104">
        <f>E12*F12</f>
        <v>61.8</v>
      </c>
      <c r="H12" s="104">
        <f>G12-D12</f>
        <v>0</v>
      </c>
      <c r="I12" s="105">
        <f>IF(ISERROR(H12/D12),0,(H12/D12))</f>
        <v>0</v>
      </c>
      <c r="J12" s="105">
        <f>G12/$G$46</f>
        <v>0.17478765760204296</v>
      </c>
      <c r="K12" s="106"/>
    </row>
    <row r="13" spans="1:11" x14ac:dyDescent="0.2">
      <c r="A13" s="107" t="s">
        <v>32</v>
      </c>
      <c r="B13" s="73">
        <f>IF(B4&gt;B7,(B4)-B7,0)</f>
        <v>1200</v>
      </c>
      <c r="C13" s="21">
        <v>0.121</v>
      </c>
      <c r="D13" s="22">
        <f>B13*C13</f>
        <v>145.19999999999999</v>
      </c>
      <c r="E13" s="73">
        <f t="shared" ref="E13" si="0">B13</f>
        <v>1200</v>
      </c>
      <c r="F13" s="21">
        <f>C13</f>
        <v>0.121</v>
      </c>
      <c r="G13" s="22">
        <f>E13*F13</f>
        <v>145.19999999999999</v>
      </c>
      <c r="H13" s="22">
        <f t="shared" ref="H13:H46" si="1">G13-D13</f>
        <v>0</v>
      </c>
      <c r="I13" s="23">
        <f t="shared" ref="I13:I46" si="2">IF(ISERROR(H13/D13),0,(H13/D13))</f>
        <v>0</v>
      </c>
      <c r="J13" s="23">
        <f>G13/$G$46</f>
        <v>0.41066614698732423</v>
      </c>
      <c r="K13" s="108"/>
    </row>
    <row r="14" spans="1:11" s="1" customFormat="1" x14ac:dyDescent="0.2">
      <c r="A14" s="46" t="s">
        <v>33</v>
      </c>
      <c r="B14" s="24"/>
      <c r="C14" s="25"/>
      <c r="D14" s="25">
        <f>SUM(D12:D13)</f>
        <v>207</v>
      </c>
      <c r="E14" s="76"/>
      <c r="F14" s="25"/>
      <c r="G14" s="25">
        <f>SUM(G12:G13)</f>
        <v>207</v>
      </c>
      <c r="H14" s="25">
        <f t="shared" si="1"/>
        <v>0</v>
      </c>
      <c r="I14" s="27">
        <f t="shared" si="2"/>
        <v>0</v>
      </c>
      <c r="J14" s="27">
        <f>G14/$G$46</f>
        <v>0.58545380458936724</v>
      </c>
      <c r="K14" s="108"/>
    </row>
    <row r="15" spans="1:11" s="1" customFormat="1" x14ac:dyDescent="0.2">
      <c r="A15" s="109" t="s">
        <v>34</v>
      </c>
      <c r="B15" s="75">
        <f>B4*0.65</f>
        <v>1170</v>
      </c>
      <c r="C15" s="28">
        <v>8.6999999999999994E-2</v>
      </c>
      <c r="D15" s="22">
        <f>B15*C15</f>
        <v>101.78999999999999</v>
      </c>
      <c r="E15" s="73">
        <f t="shared" ref="E15:F17" si="3">B15</f>
        <v>1170</v>
      </c>
      <c r="F15" s="28">
        <f t="shared" si="3"/>
        <v>8.6999999999999994E-2</v>
      </c>
      <c r="G15" s="22">
        <f>E15*F15</f>
        <v>101.78999999999999</v>
      </c>
      <c r="H15" s="22">
        <f t="shared" si="1"/>
        <v>0</v>
      </c>
      <c r="I15" s="23">
        <f t="shared" si="2"/>
        <v>0</v>
      </c>
      <c r="J15" s="23"/>
      <c r="K15" s="108">
        <f t="shared" ref="K15:K26" si="4">G15/$G$51</f>
        <v>0.29472859228316006</v>
      </c>
    </row>
    <row r="16" spans="1:11" s="1" customFormat="1" x14ac:dyDescent="0.2">
      <c r="A16" s="109" t="s">
        <v>35</v>
      </c>
      <c r="B16" s="75">
        <f>B4*0.17</f>
        <v>306</v>
      </c>
      <c r="C16" s="28">
        <v>0.13200000000000001</v>
      </c>
      <c r="D16" s="22">
        <f>B16*C16</f>
        <v>40.392000000000003</v>
      </c>
      <c r="E16" s="73">
        <f t="shared" si="3"/>
        <v>306</v>
      </c>
      <c r="F16" s="28">
        <f t="shared" si="3"/>
        <v>0.13200000000000001</v>
      </c>
      <c r="G16" s="22">
        <f>E16*F16</f>
        <v>40.392000000000003</v>
      </c>
      <c r="H16" s="22">
        <f t="shared" si="1"/>
        <v>0</v>
      </c>
      <c r="I16" s="23">
        <f t="shared" si="2"/>
        <v>0</v>
      </c>
      <c r="J16" s="23"/>
      <c r="K16" s="108">
        <f t="shared" si="4"/>
        <v>0.11695330876806566</v>
      </c>
    </row>
    <row r="17" spans="1:11" s="1" customFormat="1" x14ac:dyDescent="0.2">
      <c r="A17" s="109" t="s">
        <v>36</v>
      </c>
      <c r="B17" s="75">
        <f>B4*0.18</f>
        <v>324</v>
      </c>
      <c r="C17" s="28">
        <v>0.18</v>
      </c>
      <c r="D17" s="22">
        <f>B17*C17</f>
        <v>58.32</v>
      </c>
      <c r="E17" s="73">
        <f t="shared" si="3"/>
        <v>324</v>
      </c>
      <c r="F17" s="28">
        <f t="shared" si="3"/>
        <v>0.18</v>
      </c>
      <c r="G17" s="22">
        <f>E17*F17</f>
        <v>58.32</v>
      </c>
      <c r="H17" s="22">
        <f t="shared" si="1"/>
        <v>0</v>
      </c>
      <c r="I17" s="23">
        <f t="shared" si="2"/>
        <v>0</v>
      </c>
      <c r="J17" s="23"/>
      <c r="K17" s="108">
        <f t="shared" si="4"/>
        <v>0.16886306613570976</v>
      </c>
    </row>
    <row r="18" spans="1:11" s="1" customFormat="1" x14ac:dyDescent="0.2">
      <c r="A18" s="61" t="s">
        <v>37</v>
      </c>
      <c r="B18" s="29"/>
      <c r="C18" s="30"/>
      <c r="D18" s="30">
        <f>SUM(D15:D17)</f>
        <v>200.50199999999998</v>
      </c>
      <c r="E18" s="77"/>
      <c r="F18" s="30"/>
      <c r="G18" s="30">
        <f>SUM(G15:G17)</f>
        <v>200.50199999999998</v>
      </c>
      <c r="H18" s="31">
        <f t="shared" si="1"/>
        <v>0</v>
      </c>
      <c r="I18" s="32">
        <f t="shared" si="2"/>
        <v>0</v>
      </c>
      <c r="J18" s="33">
        <f t="shared" ref="J18:J23" si="5">G18/$G$46</f>
        <v>0.56707564602790961</v>
      </c>
      <c r="K18" s="62">
        <f t="shared" si="4"/>
        <v>0.58054496718693549</v>
      </c>
    </row>
    <row r="19" spans="1:11" x14ac:dyDescent="0.2">
      <c r="A19" s="107" t="s">
        <v>38</v>
      </c>
      <c r="B19" s="73">
        <v>1</v>
      </c>
      <c r="C19" s="78">
        <f>VLOOKUP($B$3,'Data for Bill Impacts'!$A$3:$Y$15,7,0)</f>
        <v>47.11</v>
      </c>
      <c r="D19" s="22">
        <f>B19*C19</f>
        <v>47.11</v>
      </c>
      <c r="E19" s="73">
        <f t="shared" ref="E19:E41" si="6">B19</f>
        <v>1</v>
      </c>
      <c r="F19" s="78">
        <f>VLOOKUP($B$3,'Data for Bill Impacts'!$A$3:$Y$15,17,0)</f>
        <v>52.36</v>
      </c>
      <c r="G19" s="22">
        <f>E19*F19</f>
        <v>52.36</v>
      </c>
      <c r="H19" s="22">
        <f t="shared" si="1"/>
        <v>5.25</v>
      </c>
      <c r="I19" s="23">
        <f t="shared" si="2"/>
        <v>0.11144130757800892</v>
      </c>
      <c r="J19" s="23">
        <f t="shared" si="5"/>
        <v>0.14808870148936845</v>
      </c>
      <c r="K19" s="108">
        <f t="shared" si="4"/>
        <v>0.15160614099564065</v>
      </c>
    </row>
    <row r="20" spans="1:11" hidden="1" x14ac:dyDescent="0.2">
      <c r="A20" s="107" t="s">
        <v>83</v>
      </c>
      <c r="B20" s="73">
        <v>1</v>
      </c>
      <c r="C20" s="78">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145</v>
      </c>
      <c r="B21" s="73">
        <v>1</v>
      </c>
      <c r="C21" s="78">
        <v>0</v>
      </c>
      <c r="D21" s="22">
        <f t="shared" ref="D21:D22" si="8">B21*C21</f>
        <v>0</v>
      </c>
      <c r="E21" s="73">
        <f t="shared" si="6"/>
        <v>1</v>
      </c>
      <c r="F21" s="122">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v>
      </c>
      <c r="D22" s="22">
        <f t="shared" si="8"/>
        <v>0</v>
      </c>
      <c r="E22" s="73">
        <f t="shared" si="6"/>
        <v>1</v>
      </c>
      <c r="F22" s="122">
        <f>VLOOKUP($B$3,'Data for Bill Impacts'!$A$3:$Y$15,22,0)</f>
        <v>0</v>
      </c>
      <c r="G22" s="22">
        <f t="shared" si="7"/>
        <v>0</v>
      </c>
      <c r="H22" s="22">
        <f t="shared" si="1"/>
        <v>0</v>
      </c>
      <c r="I22" s="23">
        <f t="shared" si="2"/>
        <v>0</v>
      </c>
      <c r="J22" s="23">
        <f t="shared" si="5"/>
        <v>0</v>
      </c>
      <c r="K22" s="108">
        <f t="shared" si="4"/>
        <v>0</v>
      </c>
    </row>
    <row r="23" spans="1:11" x14ac:dyDescent="0.2">
      <c r="A23" s="107" t="s">
        <v>39</v>
      </c>
      <c r="B23" s="73">
        <f>IF($B$9="kWh",$B$4,$B$5)</f>
        <v>1800</v>
      </c>
      <c r="C23" s="126">
        <f>VLOOKUP($B$3,'Data for Bill Impacts'!$A$3:$Y$15,10,0)</f>
        <v>1.6E-2</v>
      </c>
      <c r="D23" s="22">
        <f>B23*C23</f>
        <v>28.8</v>
      </c>
      <c r="E23" s="73">
        <f t="shared" si="6"/>
        <v>1800</v>
      </c>
      <c r="F23" s="78">
        <f>VLOOKUP($B$3,'Data for Bill Impacts'!$A$3:$Y$15,19,0)</f>
        <v>1.1599999999999999E-2</v>
      </c>
      <c r="G23" s="22">
        <f>E23*F23</f>
        <v>20.88</v>
      </c>
      <c r="H23" s="22">
        <f t="shared" si="1"/>
        <v>-7.9200000000000017</v>
      </c>
      <c r="I23" s="23">
        <f t="shared" si="2"/>
        <v>-0.27500000000000008</v>
      </c>
      <c r="J23" s="23">
        <f t="shared" si="5"/>
        <v>5.9054470723797041E-2</v>
      </c>
      <c r="K23" s="108">
        <f t="shared" si="4"/>
        <v>6.0457147135007196E-2</v>
      </c>
    </row>
    <row r="24" spans="1:11" x14ac:dyDescent="0.2">
      <c r="A24" s="107" t="s">
        <v>194</v>
      </c>
      <c r="B24" s="73">
        <f>IF($B$9="kWh",$B$4,$B$5)</f>
        <v>1800</v>
      </c>
      <c r="C24" s="126">
        <f>VLOOKUP($B$3,'Data for Bill Impacts'!$A$3:$Y$15,14,0)</f>
        <v>2.0000000000000001E-4</v>
      </c>
      <c r="D24" s="22">
        <f>B24*C24</f>
        <v>0.36000000000000004</v>
      </c>
      <c r="E24" s="73">
        <f t="shared" si="6"/>
        <v>1800</v>
      </c>
      <c r="F24" s="126">
        <f>VLOOKUP($B$3,'Data for Bill Impacts'!$A$3:$Y$15,23,0)</f>
        <v>2.0000000000000001E-4</v>
      </c>
      <c r="G24" s="22">
        <f>E24*F24</f>
        <v>0.36000000000000004</v>
      </c>
      <c r="H24" s="22">
        <f t="shared" si="1"/>
        <v>0</v>
      </c>
      <c r="I24" s="23">
        <f>IF(ISERROR(H24/D24),0,(H24/D24))</f>
        <v>0</v>
      </c>
      <c r="J24" s="23">
        <f t="shared" ref="J24" si="9">G24/$G$46</f>
        <v>1.0181805297206387E-3</v>
      </c>
      <c r="K24" s="108">
        <f t="shared" si="4"/>
        <v>1.0423646057759863E-3</v>
      </c>
    </row>
    <row r="25" spans="1:11" s="1" customFormat="1" x14ac:dyDescent="0.2">
      <c r="A25" s="110" t="s">
        <v>72</v>
      </c>
      <c r="B25" s="74"/>
      <c r="C25" s="35"/>
      <c r="D25" s="35">
        <f>SUM(D19:D24)</f>
        <v>76.27</v>
      </c>
      <c r="E25" s="73"/>
      <c r="F25" s="35"/>
      <c r="G25" s="35">
        <f>SUM(G19:G24)</f>
        <v>73.599999999999994</v>
      </c>
      <c r="H25" s="35">
        <f t="shared" si="1"/>
        <v>-2.6700000000000017</v>
      </c>
      <c r="I25" s="36">
        <f t="shared" si="2"/>
        <v>-3.500721122328572E-2</v>
      </c>
      <c r="J25" s="36">
        <f>G25/$G$46</f>
        <v>0.20816135274288611</v>
      </c>
      <c r="K25" s="111">
        <f t="shared" si="4"/>
        <v>0.21310565273642385</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G26/$G$46</f>
        <v>2.2343406068869574E-3</v>
      </c>
      <c r="K26" s="108">
        <f t="shared" si="4"/>
        <v>2.2874112182306367E-3</v>
      </c>
    </row>
    <row r="27" spans="1:11" s="1" customFormat="1" x14ac:dyDescent="0.2">
      <c r="A27" s="119" t="s">
        <v>75</v>
      </c>
      <c r="B27" s="120">
        <f>B8-B4</f>
        <v>136.80000000000018</v>
      </c>
      <c r="C27" s="121">
        <f>IF(B4&gt;B7,C13,C12)</f>
        <v>0.121</v>
      </c>
      <c r="D27" s="22">
        <f>B27*C27</f>
        <v>16.552800000000023</v>
      </c>
      <c r="E27" s="73">
        <f>B27</f>
        <v>136.80000000000018</v>
      </c>
      <c r="F27" s="121">
        <f>C27</f>
        <v>0.121</v>
      </c>
      <c r="G27" s="22">
        <f>E27*F27</f>
        <v>16.552800000000023</v>
      </c>
      <c r="H27" s="22">
        <f t="shared" si="1"/>
        <v>0</v>
      </c>
      <c r="I27" s="23">
        <f>IF(ISERROR(H27/D27),0,(H27/D27))</f>
        <v>0</v>
      </c>
      <c r="J27" s="23">
        <f t="shared" ref="J27:J46" si="10">G27/$G$46</f>
        <v>4.6815940756555027E-2</v>
      </c>
      <c r="K27" s="108">
        <f t="shared" ref="K27:K41" si="11">G27/$G$51</f>
        <v>4.7927924573579909E-2</v>
      </c>
    </row>
    <row r="28" spans="1:11" s="1" customFormat="1" x14ac:dyDescent="0.2">
      <c r="A28" s="119" t="s">
        <v>74</v>
      </c>
      <c r="B28" s="120">
        <f>B8-B4</f>
        <v>136.80000000000018</v>
      </c>
      <c r="C28" s="121">
        <f>0.65*C15+0.17*C16+0.18*C17</f>
        <v>0.11139</v>
      </c>
      <c r="D28" s="22">
        <f>B28*C28</f>
        <v>15.238152000000021</v>
      </c>
      <c r="E28" s="73">
        <f>B28</f>
        <v>136.80000000000018</v>
      </c>
      <c r="F28" s="121">
        <f>C28</f>
        <v>0.11139</v>
      </c>
      <c r="G28" s="22">
        <f>E28*F28</f>
        <v>15.238152000000021</v>
      </c>
      <c r="H28" s="22">
        <f t="shared" si="1"/>
        <v>0</v>
      </c>
      <c r="I28" s="23">
        <f>IF(ISERROR(H28/D28),0,(H28/D28))</f>
        <v>0</v>
      </c>
      <c r="J28" s="23">
        <f t="shared" si="10"/>
        <v>4.3097749098121196E-2</v>
      </c>
      <c r="K28" s="108">
        <f t="shared" si="11"/>
        <v>4.4121417506207163E-2</v>
      </c>
    </row>
    <row r="29" spans="1:11" s="1" customFormat="1" x14ac:dyDescent="0.2">
      <c r="A29" s="110" t="s">
        <v>78</v>
      </c>
      <c r="B29" s="74"/>
      <c r="C29" s="35"/>
      <c r="D29" s="35">
        <f>SUM(D25,D26:D27)</f>
        <v>93.612800000000021</v>
      </c>
      <c r="E29" s="73"/>
      <c r="F29" s="35"/>
      <c r="G29" s="35">
        <f>SUM(G25,G26:G27)</f>
        <v>90.94280000000002</v>
      </c>
      <c r="H29" s="35">
        <f t="shared" si="1"/>
        <v>-2.6700000000000017</v>
      </c>
      <c r="I29" s="36">
        <f>IF(ISERROR(H29/D29),0,(H29/D29))</f>
        <v>-2.8521740616667818E-2</v>
      </c>
      <c r="J29" s="36">
        <f t="shared" si="10"/>
        <v>0.25721163410632808</v>
      </c>
      <c r="K29" s="111">
        <f t="shared" si="11"/>
        <v>0.26332098852823438</v>
      </c>
    </row>
    <row r="30" spans="1:11" s="1" customFormat="1" x14ac:dyDescent="0.2">
      <c r="A30" s="110" t="s">
        <v>77</v>
      </c>
      <c r="B30" s="74"/>
      <c r="C30" s="35"/>
      <c r="D30" s="35">
        <f>SUM(D25,D26,D28)</f>
        <v>92.298152000000016</v>
      </c>
      <c r="E30" s="73"/>
      <c r="F30" s="35"/>
      <c r="G30" s="35">
        <f>SUM(G25,G26,G28)</f>
        <v>89.628152000000028</v>
      </c>
      <c r="H30" s="35">
        <f t="shared" si="1"/>
        <v>-2.6699999999999875</v>
      </c>
      <c r="I30" s="36">
        <f>IF(ISERROR(H30/D30),0,(H30/D30))</f>
        <v>-2.8927989804172754E-2</v>
      </c>
      <c r="J30" s="36">
        <f t="shared" si="10"/>
        <v>0.25349344244789429</v>
      </c>
      <c r="K30" s="111">
        <f t="shared" si="11"/>
        <v>0.25951448146086165</v>
      </c>
    </row>
    <row r="31" spans="1:11" x14ac:dyDescent="0.2">
      <c r="A31" s="107" t="s">
        <v>40</v>
      </c>
      <c r="B31" s="73">
        <f>B8</f>
        <v>1936.8000000000002</v>
      </c>
      <c r="C31" s="126">
        <f>VLOOKUP($B$3,'Data for Bill Impacts'!$A$3:$Y$15,15,0)</f>
        <v>7.2069999999999999E-3</v>
      </c>
      <c r="D31" s="22">
        <f>B31*C31</f>
        <v>13.9585176</v>
      </c>
      <c r="E31" s="73">
        <f t="shared" si="6"/>
        <v>1936.8000000000002</v>
      </c>
      <c r="F31" s="78">
        <f>VLOOKUP($B$3,'Data for Bill Impacts'!$A$3:$Y$15,24,0)</f>
        <v>7.1999999999999998E-3</v>
      </c>
      <c r="G31" s="22">
        <f>E31*F31</f>
        <v>13.944960000000002</v>
      </c>
      <c r="H31" s="22">
        <f t="shared" si="1"/>
        <v>-1.3557599999998615E-2</v>
      </c>
      <c r="I31" s="23">
        <f t="shared" si="2"/>
        <v>-9.7127792424022265E-4</v>
      </c>
      <c r="J31" s="23">
        <f t="shared" si="10"/>
        <v>3.9440240999258663E-2</v>
      </c>
      <c r="K31" s="108">
        <f t="shared" si="11"/>
        <v>4.0377035369338607E-2</v>
      </c>
    </row>
    <row r="32" spans="1:11" x14ac:dyDescent="0.2">
      <c r="A32" s="107" t="s">
        <v>41</v>
      </c>
      <c r="B32" s="73">
        <f>B8</f>
        <v>1936.8000000000002</v>
      </c>
      <c r="C32" s="126">
        <f>VLOOKUP($B$3,'Data for Bill Impacts'!$A$3:$Y$15,16,0)</f>
        <v>6.0319999999999992E-3</v>
      </c>
      <c r="D32" s="22">
        <f>B32*C32</f>
        <v>11.6827776</v>
      </c>
      <c r="E32" s="73">
        <f t="shared" si="6"/>
        <v>1936.8000000000002</v>
      </c>
      <c r="F32" s="78">
        <f>VLOOKUP($B$3,'Data for Bill Impacts'!$A$3:$Y$15,25,0)</f>
        <v>5.8999999999999999E-3</v>
      </c>
      <c r="G32" s="22">
        <f>E32*F32</f>
        <v>11.42712</v>
      </c>
      <c r="H32" s="22">
        <f t="shared" si="1"/>
        <v>-0.25565759999999926</v>
      </c>
      <c r="I32" s="23">
        <f t="shared" si="2"/>
        <v>-2.1883289124668373E-2</v>
      </c>
      <c r="J32" s="23">
        <f t="shared" si="10"/>
        <v>3.2319086374392514E-2</v>
      </c>
      <c r="K32" s="108">
        <f t="shared" si="11"/>
        <v>3.3086737316541354E-2</v>
      </c>
    </row>
    <row r="33" spans="1:11" s="1" customFormat="1" x14ac:dyDescent="0.2">
      <c r="A33" s="110" t="s">
        <v>76</v>
      </c>
      <c r="B33" s="74"/>
      <c r="C33" s="35"/>
      <c r="D33" s="35">
        <f>SUM(D31:D32)</f>
        <v>25.641295200000002</v>
      </c>
      <c r="E33" s="73"/>
      <c r="F33" s="35"/>
      <c r="G33" s="35">
        <f>SUM(G31:G32)</f>
        <v>25.372080000000004</v>
      </c>
      <c r="H33" s="35">
        <f t="shared" si="1"/>
        <v>-0.26921519999999788</v>
      </c>
      <c r="I33" s="36">
        <f t="shared" si="2"/>
        <v>-1.0499282423143658E-2</v>
      </c>
      <c r="J33" s="36">
        <f t="shared" si="10"/>
        <v>7.1759327373651177E-2</v>
      </c>
      <c r="K33" s="111">
        <f t="shared" si="11"/>
        <v>7.3463772685879974E-2</v>
      </c>
    </row>
    <row r="34" spans="1:11" s="1" customFormat="1" x14ac:dyDescent="0.2">
      <c r="A34" s="110" t="s">
        <v>95</v>
      </c>
      <c r="B34" s="74"/>
      <c r="C34" s="35"/>
      <c r="D34" s="35">
        <f>D29+D33</f>
        <v>119.25409520000002</v>
      </c>
      <c r="E34" s="73"/>
      <c r="F34" s="35"/>
      <c r="G34" s="35">
        <f>G29+G33</f>
        <v>116.31488000000002</v>
      </c>
      <c r="H34" s="35">
        <f t="shared" si="1"/>
        <v>-2.9392152000000067</v>
      </c>
      <c r="I34" s="36">
        <f t="shared" si="2"/>
        <v>-2.4646660519881302E-2</v>
      </c>
      <c r="J34" s="36">
        <f t="shared" si="10"/>
        <v>0.32897096147997928</v>
      </c>
      <c r="K34" s="111">
        <f t="shared" si="11"/>
        <v>0.33678476121411433</v>
      </c>
    </row>
    <row r="35" spans="1:11" s="1" customFormat="1" x14ac:dyDescent="0.2">
      <c r="A35" s="110" t="s">
        <v>96</v>
      </c>
      <c r="B35" s="74"/>
      <c r="C35" s="35"/>
      <c r="D35" s="35">
        <f>D30+D33</f>
        <v>117.93944720000002</v>
      </c>
      <c r="E35" s="73"/>
      <c r="F35" s="35"/>
      <c r="G35" s="35">
        <f>G30+G33</f>
        <v>115.00023200000004</v>
      </c>
      <c r="H35" s="35">
        <f t="shared" si="1"/>
        <v>-2.9392151999999783</v>
      </c>
      <c r="I35" s="36">
        <f t="shared" si="2"/>
        <v>-2.4921392034470871E-2</v>
      </c>
      <c r="J35" s="36">
        <f t="shared" si="10"/>
        <v>0.3252527698215455</v>
      </c>
      <c r="K35" s="111">
        <f t="shared" si="11"/>
        <v>0.33297825414674165</v>
      </c>
    </row>
    <row r="36" spans="1:11" x14ac:dyDescent="0.2">
      <c r="A36" s="107" t="s">
        <v>42</v>
      </c>
      <c r="B36" s="73">
        <f>B8</f>
        <v>1936.8000000000002</v>
      </c>
      <c r="C36" s="34">
        <v>3.5999999999999999E-3</v>
      </c>
      <c r="D36" s="22">
        <f>B36*C36</f>
        <v>6.9724800000000009</v>
      </c>
      <c r="E36" s="73">
        <f t="shared" si="6"/>
        <v>1936.8000000000002</v>
      </c>
      <c r="F36" s="34">
        <v>3.5999999999999999E-3</v>
      </c>
      <c r="G36" s="22">
        <f>E36*F36</f>
        <v>6.9724800000000009</v>
      </c>
      <c r="H36" s="22">
        <f t="shared" si="1"/>
        <v>0</v>
      </c>
      <c r="I36" s="23">
        <f t="shared" si="2"/>
        <v>0</v>
      </c>
      <c r="J36" s="23">
        <f t="shared" si="10"/>
        <v>1.9720120499629332E-2</v>
      </c>
      <c r="K36" s="108">
        <f t="shared" si="11"/>
        <v>2.0188517684669303E-2</v>
      </c>
    </row>
    <row r="37" spans="1:11" x14ac:dyDescent="0.2">
      <c r="A37" s="107" t="s">
        <v>43</v>
      </c>
      <c r="B37" s="73">
        <f>B8</f>
        <v>1936.8000000000002</v>
      </c>
      <c r="C37" s="34">
        <v>2.0999999999999999E-3</v>
      </c>
      <c r="D37" s="22">
        <f>B37*C37</f>
        <v>4.0672800000000002</v>
      </c>
      <c r="E37" s="73">
        <f t="shared" si="6"/>
        <v>1936.8000000000002</v>
      </c>
      <c r="F37" s="34">
        <v>2.0999999999999999E-3</v>
      </c>
      <c r="G37" s="22">
        <f>E37*F37</f>
        <v>4.0672800000000002</v>
      </c>
      <c r="H37" s="22">
        <f>G37-D37</f>
        <v>0</v>
      </c>
      <c r="I37" s="23">
        <f t="shared" si="2"/>
        <v>0</v>
      </c>
      <c r="J37" s="23">
        <f t="shared" si="10"/>
        <v>1.1503403624783776E-2</v>
      </c>
      <c r="K37" s="108">
        <f t="shared" si="11"/>
        <v>1.1776635316057093E-2</v>
      </c>
    </row>
    <row r="38" spans="1:11" x14ac:dyDescent="0.2">
      <c r="A38" s="107" t="s">
        <v>100</v>
      </c>
      <c r="B38" s="73">
        <f>B8</f>
        <v>1936.8000000000002</v>
      </c>
      <c r="C38" s="34">
        <v>1.1000000000000001E-3</v>
      </c>
      <c r="D38" s="22">
        <f>B38*C38</f>
        <v>2.1304800000000004</v>
      </c>
      <c r="E38" s="73">
        <f t="shared" si="6"/>
        <v>1936.8000000000002</v>
      </c>
      <c r="F38" s="34">
        <v>1.1000000000000001E-3</v>
      </c>
      <c r="G38" s="22">
        <f>E38*F38</f>
        <v>2.1304800000000004</v>
      </c>
      <c r="H38" s="22">
        <f>G38-D38</f>
        <v>0</v>
      </c>
      <c r="I38" s="23">
        <f t="shared" ref="I38" si="12">IF(ISERROR(H38/D38),0,(H38/D38))</f>
        <v>0</v>
      </c>
      <c r="J38" s="23">
        <f t="shared" ref="J38" si="13">G38/$G$46</f>
        <v>6.0255923748867403E-3</v>
      </c>
      <c r="K38" s="108">
        <f t="shared" ref="K38" si="14">G38/$G$51</f>
        <v>6.1687137369822878E-3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10"/>
        <v>7.0706981230599911E-4</v>
      </c>
      <c r="K39" s="108">
        <f t="shared" si="11"/>
        <v>7.2386430956665709E-4</v>
      </c>
    </row>
    <row r="40" spans="1:11" s="1" customFormat="1" x14ac:dyDescent="0.2">
      <c r="A40" s="110" t="s">
        <v>45</v>
      </c>
      <c r="B40" s="74"/>
      <c r="C40" s="35"/>
      <c r="D40" s="35">
        <f>SUM(D36:D39)</f>
        <v>13.420240000000002</v>
      </c>
      <c r="E40" s="73"/>
      <c r="F40" s="35"/>
      <c r="G40" s="35">
        <f>SUM(G36:G39)</f>
        <v>13.420240000000002</v>
      </c>
      <c r="H40" s="35">
        <f t="shared" si="1"/>
        <v>0</v>
      </c>
      <c r="I40" s="36">
        <f t="shared" si="2"/>
        <v>0</v>
      </c>
      <c r="J40" s="36">
        <f t="shared" si="10"/>
        <v>3.7956186311605848E-2</v>
      </c>
      <c r="K40" s="111">
        <f t="shared" si="11"/>
        <v>3.8857731047275343E-2</v>
      </c>
    </row>
    <row r="41" spans="1:11" s="1" customFormat="1" ht="13.5" thickBot="1" x14ac:dyDescent="0.25">
      <c r="A41" s="112" t="s">
        <v>46</v>
      </c>
      <c r="B41" s="113">
        <f>B4</f>
        <v>1800</v>
      </c>
      <c r="C41" s="114">
        <v>0</v>
      </c>
      <c r="D41" s="115">
        <f>B41*C41</f>
        <v>0</v>
      </c>
      <c r="E41" s="116">
        <f t="shared" si="6"/>
        <v>1800</v>
      </c>
      <c r="F41" s="114">
        <f>C41</f>
        <v>0</v>
      </c>
      <c r="G41" s="115">
        <f>E41*F41</f>
        <v>0</v>
      </c>
      <c r="H41" s="115">
        <f t="shared" si="1"/>
        <v>0</v>
      </c>
      <c r="I41" s="117">
        <f t="shared" si="2"/>
        <v>0</v>
      </c>
      <c r="J41" s="117">
        <f t="shared" si="10"/>
        <v>0</v>
      </c>
      <c r="K41" s="118">
        <f t="shared" si="11"/>
        <v>0</v>
      </c>
    </row>
    <row r="42" spans="1:11" s="1" customFormat="1" x14ac:dyDescent="0.2">
      <c r="A42" s="37" t="s">
        <v>137</v>
      </c>
      <c r="B42" s="38"/>
      <c r="C42" s="39"/>
      <c r="D42" s="39">
        <f>SUM(D14,D25,D26,D27,D33,D40,D41)</f>
        <v>339.67433520000003</v>
      </c>
      <c r="E42" s="38"/>
      <c r="F42" s="39"/>
      <c r="G42" s="39">
        <f>SUM(G14,G25,G26,G27,G33,G40,G41)</f>
        <v>336.73512000000005</v>
      </c>
      <c r="H42" s="39">
        <f t="shared" si="1"/>
        <v>-2.9392151999999783</v>
      </c>
      <c r="I42" s="40">
        <f>IF(ISERROR(H42/D42),0,(H42/D42))</f>
        <v>-8.6530387945541135E-3</v>
      </c>
      <c r="J42" s="40">
        <f t="shared" si="10"/>
        <v>0.95238095238095244</v>
      </c>
      <c r="K42" s="41"/>
    </row>
    <row r="43" spans="1:11" x14ac:dyDescent="0.2">
      <c r="A43" s="150" t="s">
        <v>138</v>
      </c>
      <c r="B43" s="43"/>
      <c r="C43" s="26">
        <v>0.13</v>
      </c>
      <c r="D43" s="26">
        <f>D42*C43</f>
        <v>44.157663576000004</v>
      </c>
      <c r="E43" s="26"/>
      <c r="F43" s="26">
        <f>C43</f>
        <v>0.13</v>
      </c>
      <c r="G43" s="26">
        <f>G42*F43</f>
        <v>43.775565600000007</v>
      </c>
      <c r="H43" s="26">
        <f t="shared" si="1"/>
        <v>-0.38209797599999717</v>
      </c>
      <c r="I43" s="44">
        <f t="shared" si="2"/>
        <v>-8.6530387945541135E-3</v>
      </c>
      <c r="J43" s="44">
        <f t="shared" si="10"/>
        <v>0.12380952380952381</v>
      </c>
      <c r="K43" s="45"/>
    </row>
    <row r="44" spans="1:11" s="1" customFormat="1" x14ac:dyDescent="0.2">
      <c r="A44" s="46" t="s">
        <v>139</v>
      </c>
      <c r="B44" s="24"/>
      <c r="C44" s="25"/>
      <c r="D44" s="25">
        <f>SUM(D42:D43)</f>
        <v>383.83199877600003</v>
      </c>
      <c r="E44" s="25"/>
      <c r="F44" s="25"/>
      <c r="G44" s="25">
        <f>SUM(G42:G43)</f>
        <v>380.51068560000004</v>
      </c>
      <c r="H44" s="25">
        <f t="shared" si="1"/>
        <v>-3.3213131759999897</v>
      </c>
      <c r="I44" s="27">
        <f t="shared" si="2"/>
        <v>-8.6530387945541517E-3</v>
      </c>
      <c r="J44" s="27">
        <f t="shared" si="10"/>
        <v>1.0761904761904761</v>
      </c>
      <c r="K44" s="47"/>
    </row>
    <row r="45" spans="1:11" x14ac:dyDescent="0.2">
      <c r="A45" s="42" t="s">
        <v>140</v>
      </c>
      <c r="B45" s="43"/>
      <c r="C45" s="26">
        <v>-0.08</v>
      </c>
      <c r="D45" s="26">
        <f>D42*C45</f>
        <v>-27.173946816000004</v>
      </c>
      <c r="E45" s="26"/>
      <c r="F45" s="26">
        <f>C45</f>
        <v>-0.08</v>
      </c>
      <c r="G45" s="26">
        <f>G42*F45</f>
        <v>-26.938809600000006</v>
      </c>
      <c r="H45" s="26">
        <f t="shared" si="1"/>
        <v>0.23513721599999826</v>
      </c>
      <c r="I45" s="44">
        <f t="shared" si="2"/>
        <v>-8.6530387945541135E-3</v>
      </c>
      <c r="J45" s="44">
        <f t="shared" si="10"/>
        <v>-7.6190476190476197E-2</v>
      </c>
      <c r="K45" s="45"/>
    </row>
    <row r="46" spans="1:11" s="1" customFormat="1" ht="13.5" thickBot="1" x14ac:dyDescent="0.25">
      <c r="A46" s="48" t="s">
        <v>141</v>
      </c>
      <c r="B46" s="49"/>
      <c r="C46" s="50"/>
      <c r="D46" s="50">
        <f>SUM(D44:D45)</f>
        <v>356.65805196000002</v>
      </c>
      <c r="E46" s="50"/>
      <c r="F46" s="50"/>
      <c r="G46" s="50">
        <f>SUM(G44:G45)</f>
        <v>353.57187600000003</v>
      </c>
      <c r="H46" s="50">
        <f t="shared" si="1"/>
        <v>-3.0861759599999914</v>
      </c>
      <c r="I46" s="51">
        <f t="shared" si="2"/>
        <v>-8.6530387945541534E-3</v>
      </c>
      <c r="J46" s="51">
        <f t="shared" si="10"/>
        <v>1</v>
      </c>
      <c r="K46" s="52"/>
    </row>
    <row r="47" spans="1:11" x14ac:dyDescent="0.2">
      <c r="A47" s="53" t="s">
        <v>142</v>
      </c>
      <c r="B47" s="54"/>
      <c r="C47" s="55"/>
      <c r="D47" s="55">
        <f>SUM(D18,D25,D26,D28,D33,D40,D41)</f>
        <v>331.86168720000001</v>
      </c>
      <c r="E47" s="55"/>
      <c r="F47" s="55"/>
      <c r="G47" s="55">
        <f>SUM(G18,G25,G26,G28,G33,G40,G41)</f>
        <v>328.92247199999997</v>
      </c>
      <c r="H47" s="55">
        <f>G47-D47</f>
        <v>-2.9392152000000351</v>
      </c>
      <c r="I47" s="56">
        <f>IF(ISERROR(H47/D47),0,(H47/D47))</f>
        <v>-8.8567475950566289E-3</v>
      </c>
      <c r="J47" s="56"/>
      <c r="K47" s="57">
        <f>G47/$G$51</f>
        <v>0.95238095238095233</v>
      </c>
    </row>
    <row r="48" spans="1:11" x14ac:dyDescent="0.2">
      <c r="A48" s="58" t="s">
        <v>138</v>
      </c>
      <c r="B48" s="59"/>
      <c r="C48" s="31">
        <v>0.13</v>
      </c>
      <c r="D48" s="31">
        <f>D47*C48</f>
        <v>43.142019336000004</v>
      </c>
      <c r="E48" s="31"/>
      <c r="F48" s="31">
        <f>C48</f>
        <v>0.13</v>
      </c>
      <c r="G48" s="31">
        <f>G47*F48</f>
        <v>42.75992136</v>
      </c>
      <c r="H48" s="31">
        <f>G48-D48</f>
        <v>-0.38209797600000428</v>
      </c>
      <c r="I48" s="32">
        <f>IF(ISERROR(H48/D48),0,(H48/D48))</f>
        <v>-8.8567475950566219E-3</v>
      </c>
      <c r="J48" s="32"/>
      <c r="K48" s="60">
        <f>G48/$G$51</f>
        <v>0.12380952380952381</v>
      </c>
    </row>
    <row r="49" spans="1:11" x14ac:dyDescent="0.2">
      <c r="A49" s="61" t="s">
        <v>143</v>
      </c>
      <c r="B49" s="29"/>
      <c r="C49" s="30"/>
      <c r="D49" s="30">
        <f>SUM(D47:D48)</f>
        <v>375.00370653599998</v>
      </c>
      <c r="E49" s="30"/>
      <c r="F49" s="30"/>
      <c r="G49" s="30">
        <f>SUM(G47:G48)</f>
        <v>371.68239335999999</v>
      </c>
      <c r="H49" s="30">
        <f>G49-D49</f>
        <v>-3.3213131759999897</v>
      </c>
      <c r="I49" s="33">
        <f>IF(ISERROR(H49/D49),0,(H49/D49))</f>
        <v>-8.8567475950564953E-3</v>
      </c>
      <c r="J49" s="33"/>
      <c r="K49" s="62">
        <f>G49/$G$51</f>
        <v>1.0761904761904761</v>
      </c>
    </row>
    <row r="50" spans="1:11" x14ac:dyDescent="0.2">
      <c r="A50" s="58" t="s">
        <v>140</v>
      </c>
      <c r="B50" s="59"/>
      <c r="C50" s="31">
        <v>-0.08</v>
      </c>
      <c r="D50" s="31">
        <f>D47*C50</f>
        <v>-26.548934976000002</v>
      </c>
      <c r="E50" s="31"/>
      <c r="F50" s="31">
        <f>C50</f>
        <v>-0.08</v>
      </c>
      <c r="G50" s="31">
        <f>G47*F50</f>
        <v>-26.31379776</v>
      </c>
      <c r="H50" s="31">
        <f>G50-D50</f>
        <v>0.23513721600000181</v>
      </c>
      <c r="I50" s="32">
        <f>IF(ISERROR(H50/D50),0,(H50/D50))</f>
        <v>-8.8567475950565907E-3</v>
      </c>
      <c r="J50" s="32"/>
      <c r="K50" s="60">
        <f>G50/$G$51</f>
        <v>-7.6190476190476197E-2</v>
      </c>
    </row>
    <row r="51" spans="1:11" ht="13.5" thickBot="1" x14ac:dyDescent="0.25">
      <c r="A51" s="63" t="s">
        <v>144</v>
      </c>
      <c r="B51" s="64"/>
      <c r="C51" s="65"/>
      <c r="D51" s="65">
        <f>SUM(D49:D50)</f>
        <v>348.45477155999998</v>
      </c>
      <c r="E51" s="65"/>
      <c r="F51" s="65"/>
      <c r="G51" s="65">
        <f>SUM(G49:G50)</f>
        <v>345.36859559999999</v>
      </c>
      <c r="H51" s="65">
        <f>G51-D51</f>
        <v>-3.0861759599999914</v>
      </c>
      <c r="I51" s="66">
        <f>IF(ISERROR(H51/D51),0,(H51/D51))</f>
        <v>-8.8567475950564988E-3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1" tint="0.499984740745262"/>
    <pageSetUpPr fitToPage="1"/>
  </sheetPr>
  <dimension ref="A1:K68"/>
  <sheetViews>
    <sheetView view="pageBreakPreview" topLeftCell="A19" zoomScaleNormal="100" zoomScaleSheetLayoutView="100" workbookViewId="0">
      <selection activeCell="C19" sqref="C19"/>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48" t="s">
        <v>109</v>
      </c>
      <c r="B1" s="349"/>
      <c r="C1" s="349"/>
      <c r="D1" s="349"/>
      <c r="E1" s="349"/>
      <c r="F1" s="349"/>
      <c r="G1" s="349"/>
      <c r="H1" s="349"/>
      <c r="I1" s="349"/>
      <c r="J1" s="349"/>
      <c r="K1" s="350"/>
    </row>
    <row r="3" spans="1:11" x14ac:dyDescent="0.2">
      <c r="A3" s="13" t="s">
        <v>13</v>
      </c>
      <c r="B3" s="13" t="s">
        <v>2</v>
      </c>
    </row>
    <row r="4" spans="1:11" x14ac:dyDescent="0.2">
      <c r="A4" s="15" t="s">
        <v>62</v>
      </c>
      <c r="B4" s="15">
        <v>450</v>
      </c>
    </row>
    <row r="5" spans="1:11" x14ac:dyDescent="0.2">
      <c r="A5" s="15" t="s">
        <v>16</v>
      </c>
      <c r="B5" s="15">
        <f>VLOOKUP($B$3,'Data for Bill Impacts'!$A$3:$Y$15,5,0)</f>
        <v>0</v>
      </c>
    </row>
    <row r="6" spans="1:11" x14ac:dyDescent="0.2">
      <c r="A6" s="15" t="s">
        <v>20</v>
      </c>
      <c r="B6" s="15">
        <f>VLOOKUP($B$3,'Data for Bill Impacts'!$A$3:$Y$15,2,0)</f>
        <v>1.105</v>
      </c>
    </row>
    <row r="7" spans="1:11" x14ac:dyDescent="0.2">
      <c r="A7" s="15" t="s">
        <v>15</v>
      </c>
      <c r="B7" s="15">
        <f>VLOOKUP($B$3,'Data for Bill Impacts'!$A$3:$Y$15,4,0)</f>
        <v>600</v>
      </c>
    </row>
    <row r="8" spans="1:11" x14ac:dyDescent="0.2">
      <c r="A8" s="15" t="s">
        <v>82</v>
      </c>
      <c r="B8" s="193">
        <f>B4*B6</f>
        <v>497.25</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450</v>
      </c>
      <c r="C12" s="103">
        <v>0.10299999999999999</v>
      </c>
      <c r="D12" s="104">
        <f>B12*C12</f>
        <v>46.349999999999994</v>
      </c>
      <c r="E12" s="102">
        <f>B12</f>
        <v>450</v>
      </c>
      <c r="F12" s="103">
        <f>C12</f>
        <v>0.10299999999999999</v>
      </c>
      <c r="G12" s="104">
        <f>E12*F12</f>
        <v>46.349999999999994</v>
      </c>
      <c r="H12" s="104">
        <f>G12-D12</f>
        <v>0</v>
      </c>
      <c r="I12" s="105">
        <f>IF(ISERROR(H12/D12),0,(H12/D12))</f>
        <v>0</v>
      </c>
      <c r="J12" s="105">
        <f>G12/$G$46</f>
        <v>0.34994047262917727</v>
      </c>
      <c r="K12" s="106"/>
    </row>
    <row r="13" spans="1:11" x14ac:dyDescent="0.2">
      <c r="A13" s="107" t="s">
        <v>32</v>
      </c>
      <c r="B13" s="73">
        <f>IF(B4&gt;B7,(B4)-B7,0)</f>
        <v>0</v>
      </c>
      <c r="C13" s="21">
        <v>0.121</v>
      </c>
      <c r="D13" s="22">
        <f>B13*C13</f>
        <v>0</v>
      </c>
      <c r="E13" s="73">
        <f t="shared" ref="E13" si="0">B13</f>
        <v>0</v>
      </c>
      <c r="F13" s="21">
        <f>C13</f>
        <v>0.121</v>
      </c>
      <c r="G13" s="22">
        <f>E13*F13</f>
        <v>0</v>
      </c>
      <c r="H13" s="22">
        <f t="shared" ref="H13:H46" si="1">G13-D13</f>
        <v>0</v>
      </c>
      <c r="I13" s="23">
        <f t="shared" ref="I13:I46" si="2">IF(ISERROR(H13/D13),0,(H13/D13))</f>
        <v>0</v>
      </c>
      <c r="J13" s="23">
        <f>G13/$G$46</f>
        <v>0</v>
      </c>
      <c r="K13" s="108"/>
    </row>
    <row r="14" spans="1:11" s="1" customFormat="1" x14ac:dyDescent="0.2">
      <c r="A14" s="46" t="s">
        <v>33</v>
      </c>
      <c r="B14" s="24"/>
      <c r="C14" s="25"/>
      <c r="D14" s="25">
        <f>SUM(D12:D13)</f>
        <v>46.349999999999994</v>
      </c>
      <c r="E14" s="76"/>
      <c r="F14" s="25"/>
      <c r="G14" s="25">
        <f>SUM(G12:G13)</f>
        <v>46.349999999999994</v>
      </c>
      <c r="H14" s="25">
        <f t="shared" si="1"/>
        <v>0</v>
      </c>
      <c r="I14" s="27">
        <f t="shared" si="2"/>
        <v>0</v>
      </c>
      <c r="J14" s="27">
        <f>G14/$G$46</f>
        <v>0.34994047262917727</v>
      </c>
      <c r="K14" s="108"/>
    </row>
    <row r="15" spans="1:11" s="1" customFormat="1" x14ac:dyDescent="0.2">
      <c r="A15" s="109" t="s">
        <v>34</v>
      </c>
      <c r="B15" s="75">
        <f>B4*0.65</f>
        <v>292.5</v>
      </c>
      <c r="C15" s="28">
        <v>8.6999999999999994E-2</v>
      </c>
      <c r="D15" s="22">
        <f>B15*C15</f>
        <v>25.447499999999998</v>
      </c>
      <c r="E15" s="73">
        <f t="shared" ref="E15:F17" si="3">B15</f>
        <v>292.5</v>
      </c>
      <c r="F15" s="28">
        <f t="shared" si="3"/>
        <v>8.6999999999999994E-2</v>
      </c>
      <c r="G15" s="22">
        <f>E15*F15</f>
        <v>25.447499999999998</v>
      </c>
      <c r="H15" s="22">
        <f t="shared" si="1"/>
        <v>0</v>
      </c>
      <c r="I15" s="23">
        <f t="shared" si="2"/>
        <v>0</v>
      </c>
      <c r="J15" s="23"/>
      <c r="K15" s="108">
        <f t="shared" ref="K15:K26" si="4">G15/$G$51</f>
        <v>0.18597674691910368</v>
      </c>
    </row>
    <row r="16" spans="1:11" s="1" customFormat="1" x14ac:dyDescent="0.2">
      <c r="A16" s="109" t="s">
        <v>35</v>
      </c>
      <c r="B16" s="75">
        <f>B4*0.17</f>
        <v>76.5</v>
      </c>
      <c r="C16" s="28">
        <v>0.13200000000000001</v>
      </c>
      <c r="D16" s="22">
        <f>B16*C16</f>
        <v>10.098000000000001</v>
      </c>
      <c r="E16" s="73">
        <f t="shared" si="3"/>
        <v>76.5</v>
      </c>
      <c r="F16" s="28">
        <f t="shared" si="3"/>
        <v>0.13200000000000001</v>
      </c>
      <c r="G16" s="22">
        <f>E16*F16</f>
        <v>10.098000000000001</v>
      </c>
      <c r="H16" s="22">
        <f t="shared" si="1"/>
        <v>0</v>
      </c>
      <c r="I16" s="23">
        <f t="shared" si="2"/>
        <v>0</v>
      </c>
      <c r="J16" s="23"/>
      <c r="K16" s="108">
        <f t="shared" si="4"/>
        <v>7.3798730342434782E-2</v>
      </c>
    </row>
    <row r="17" spans="1:11" s="1" customFormat="1" x14ac:dyDescent="0.2">
      <c r="A17" s="109" t="s">
        <v>36</v>
      </c>
      <c r="B17" s="75">
        <f>B4*0.18</f>
        <v>81</v>
      </c>
      <c r="C17" s="28">
        <v>0.18</v>
      </c>
      <c r="D17" s="22">
        <f>B17*C17</f>
        <v>14.58</v>
      </c>
      <c r="E17" s="73">
        <f t="shared" si="3"/>
        <v>81</v>
      </c>
      <c r="F17" s="28">
        <f t="shared" si="3"/>
        <v>0.18</v>
      </c>
      <c r="G17" s="22">
        <f>E17*F17</f>
        <v>14.58</v>
      </c>
      <c r="H17" s="22">
        <f t="shared" si="1"/>
        <v>0</v>
      </c>
      <c r="I17" s="23">
        <f t="shared" si="2"/>
        <v>0</v>
      </c>
      <c r="J17" s="23"/>
      <c r="K17" s="108">
        <f t="shared" si="4"/>
        <v>0.10655431653720529</v>
      </c>
    </row>
    <row r="18" spans="1:11" s="1" customFormat="1" x14ac:dyDescent="0.2">
      <c r="A18" s="61" t="s">
        <v>37</v>
      </c>
      <c r="B18" s="29"/>
      <c r="C18" s="30"/>
      <c r="D18" s="30">
        <f>SUM(D15:D17)</f>
        <v>50.125499999999995</v>
      </c>
      <c r="E18" s="77"/>
      <c r="F18" s="30"/>
      <c r="G18" s="30">
        <f>SUM(G15:G17)</f>
        <v>50.125499999999995</v>
      </c>
      <c r="H18" s="31">
        <f t="shared" si="1"/>
        <v>0</v>
      </c>
      <c r="I18" s="32">
        <f t="shared" si="2"/>
        <v>0</v>
      </c>
      <c r="J18" s="33">
        <f t="shared" ref="J18:J23" si="5">G18/$G$46</f>
        <v>0.37844533248702972</v>
      </c>
      <c r="K18" s="62">
        <f t="shared" si="4"/>
        <v>0.3663297937987437</v>
      </c>
    </row>
    <row r="19" spans="1:11" x14ac:dyDescent="0.2">
      <c r="A19" s="107" t="s">
        <v>38</v>
      </c>
      <c r="B19" s="73">
        <v>1</v>
      </c>
      <c r="C19" s="122">
        <f>VLOOKUP($B$3,'Data for Bill Impacts'!$A$3:$Y$15,7,0)</f>
        <v>44.23967830790393</v>
      </c>
      <c r="D19" s="22">
        <f>B19*C19</f>
        <v>44.23967830790393</v>
      </c>
      <c r="E19" s="73">
        <f t="shared" ref="E19:E41" si="6">B19</f>
        <v>1</v>
      </c>
      <c r="F19" s="122">
        <f>VLOOKUP($B$3,'Data for Bill Impacts'!$A$3:$Y$15,17,0)</f>
        <v>55.319678307903928</v>
      </c>
      <c r="G19" s="22">
        <f>E19*F19</f>
        <v>55.319678307903928</v>
      </c>
      <c r="H19" s="22">
        <f t="shared" si="1"/>
        <v>11.079999999999998</v>
      </c>
      <c r="I19" s="23">
        <f t="shared" si="2"/>
        <v>0.25045390074684221</v>
      </c>
      <c r="J19" s="23">
        <f t="shared" si="5"/>
        <v>0.41766115151589966</v>
      </c>
      <c r="K19" s="108">
        <f t="shared" si="4"/>
        <v>0.40429015865272733</v>
      </c>
    </row>
    <row r="20" spans="1:11" hidden="1" x14ac:dyDescent="0.2">
      <c r="A20" s="107" t="s">
        <v>83</v>
      </c>
      <c r="B20" s="73">
        <v>1</v>
      </c>
      <c r="C20" s="78">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145</v>
      </c>
      <c r="B21" s="73">
        <v>1</v>
      </c>
      <c r="C21" s="78">
        <v>0</v>
      </c>
      <c r="D21" s="22">
        <f t="shared" ref="D21:D22" si="8">B21*C21</f>
        <v>0</v>
      </c>
      <c r="E21" s="73">
        <f t="shared" si="6"/>
        <v>1</v>
      </c>
      <c r="F21" s="122">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-0.02</v>
      </c>
      <c r="D22" s="22">
        <f t="shared" si="8"/>
        <v>-0.02</v>
      </c>
      <c r="E22" s="73">
        <f t="shared" si="6"/>
        <v>1</v>
      </c>
      <c r="F22" s="122">
        <f>VLOOKUP($B$3,'Data for Bill Impacts'!$A$3:$Y$15,22,0)</f>
        <v>-0.02</v>
      </c>
      <c r="G22" s="22">
        <f t="shared" si="7"/>
        <v>-0.02</v>
      </c>
      <c r="H22" s="22">
        <f t="shared" si="1"/>
        <v>0</v>
      </c>
      <c r="I22" s="23">
        <f t="shared" si="2"/>
        <v>0</v>
      </c>
      <c r="J22" s="23">
        <f t="shared" si="5"/>
        <v>-1.5099912519058354E-4</v>
      </c>
      <c r="K22" s="108">
        <f t="shared" si="4"/>
        <v>-1.4616504326091261E-4</v>
      </c>
    </row>
    <row r="23" spans="1:11" x14ac:dyDescent="0.2">
      <c r="A23" s="107" t="s">
        <v>39</v>
      </c>
      <c r="B23" s="73">
        <f>IF($B$9="kWh",$B$4,$B$5)</f>
        <v>450</v>
      </c>
      <c r="C23" s="126">
        <f>VLOOKUP($B$3,'Data for Bill Impacts'!$A$3:$Y$15,10,0)</f>
        <v>2.6800000000000001E-2</v>
      </c>
      <c r="D23" s="22">
        <f>B23*C23</f>
        <v>12.06</v>
      </c>
      <c r="E23" s="73">
        <f t="shared" si="6"/>
        <v>450</v>
      </c>
      <c r="F23" s="78">
        <f>VLOOKUP($B$3,'Data for Bill Impacts'!$A$3:$Y$15,19,0)</f>
        <v>0.02</v>
      </c>
      <c r="G23" s="22">
        <f>E23*F23</f>
        <v>9</v>
      </c>
      <c r="H23" s="22">
        <f t="shared" si="1"/>
        <v>-3.0600000000000005</v>
      </c>
      <c r="I23" s="23">
        <f t="shared" si="2"/>
        <v>-0.2537313432835821</v>
      </c>
      <c r="J23" s="23">
        <f t="shared" si="5"/>
        <v>6.7949606335762594E-2</v>
      </c>
      <c r="K23" s="108">
        <f t="shared" si="4"/>
        <v>6.5774269467410676E-2</v>
      </c>
    </row>
    <row r="24" spans="1:11" x14ac:dyDescent="0.2">
      <c r="A24" s="107" t="s">
        <v>194</v>
      </c>
      <c r="B24" s="73">
        <f>IF($B$9="kWh",$B$4,$B$5)</f>
        <v>450</v>
      </c>
      <c r="C24" s="126">
        <f>VLOOKUP($B$3,'Data for Bill Impacts'!$A$3:$Y$15,14,0)</f>
        <v>2.0000000000000001E-4</v>
      </c>
      <c r="D24" s="22">
        <f>B24*C24</f>
        <v>9.0000000000000011E-2</v>
      </c>
      <c r="E24" s="73">
        <f t="shared" si="6"/>
        <v>450</v>
      </c>
      <c r="F24" s="126">
        <f>VLOOKUP($B$3,'Data for Bill Impacts'!$A$3:$Y$15,23,0)</f>
        <v>2.0000000000000001E-4</v>
      </c>
      <c r="G24" s="22">
        <f>E24*F24</f>
        <v>9.0000000000000011E-2</v>
      </c>
      <c r="H24" s="22">
        <f t="shared" si="1"/>
        <v>0</v>
      </c>
      <c r="I24" s="23">
        <f>IF(ISERROR(H24/D24),0,(H24/D24))</f>
        <v>0</v>
      </c>
      <c r="J24" s="23">
        <f t="shared" ref="J24" si="9">G24/$G$46</f>
        <v>6.7949606335762592E-4</v>
      </c>
      <c r="K24" s="108">
        <f t="shared" si="4"/>
        <v>6.5774269467410687E-4</v>
      </c>
    </row>
    <row r="25" spans="1:11" s="1" customFormat="1" x14ac:dyDescent="0.2">
      <c r="A25" s="110" t="s">
        <v>72</v>
      </c>
      <c r="B25" s="74"/>
      <c r="C25" s="35"/>
      <c r="D25" s="35">
        <f>SUM(D19:D24)</f>
        <v>56.369678307903932</v>
      </c>
      <c r="E25" s="73"/>
      <c r="F25" s="35"/>
      <c r="G25" s="35">
        <f>SUM(G19:G24)</f>
        <v>64.389678307903921</v>
      </c>
      <c r="H25" s="35">
        <f t="shared" si="1"/>
        <v>8.0199999999999889</v>
      </c>
      <c r="I25" s="36">
        <f t="shared" si="2"/>
        <v>0.142275071292636</v>
      </c>
      <c r="J25" s="36">
        <f>G25/$G$46</f>
        <v>0.48613925478982922</v>
      </c>
      <c r="K25" s="111">
        <f t="shared" si="4"/>
        <v>0.47057600577155118</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G26/$G$46</f>
        <v>5.9644654450280495E-3</v>
      </c>
      <c r="K26" s="108">
        <f t="shared" si="4"/>
        <v>5.7735192088060484E-3</v>
      </c>
    </row>
    <row r="27" spans="1:11" s="1" customFormat="1" x14ac:dyDescent="0.2">
      <c r="A27" s="119" t="s">
        <v>75</v>
      </c>
      <c r="B27" s="120">
        <f>B8-B4</f>
        <v>47.25</v>
      </c>
      <c r="C27" s="121">
        <f>IF(B4&gt;B7,C13,C12)</f>
        <v>0.10299999999999999</v>
      </c>
      <c r="D27" s="22">
        <f>B27*C27</f>
        <v>4.8667499999999997</v>
      </c>
      <c r="E27" s="73">
        <f>B27</f>
        <v>47.25</v>
      </c>
      <c r="F27" s="121">
        <f>C27</f>
        <v>0.10299999999999999</v>
      </c>
      <c r="G27" s="22">
        <f>E27*F27</f>
        <v>4.8667499999999997</v>
      </c>
      <c r="H27" s="22">
        <f t="shared" si="1"/>
        <v>0</v>
      </c>
      <c r="I27" s="23">
        <f>IF(ISERROR(H27/D27),0,(H27/D27))</f>
        <v>0</v>
      </c>
      <c r="J27" s="23">
        <f t="shared" ref="J27:J46" si="10">G27/$G$46</f>
        <v>3.6743749626063617E-2</v>
      </c>
      <c r="K27" s="108">
        <f t="shared" ref="K27:K41" si="11">G27/$G$51</f>
        <v>3.556743621450232E-2</v>
      </c>
    </row>
    <row r="28" spans="1:11" s="1" customFormat="1" x14ac:dyDescent="0.2">
      <c r="A28" s="119" t="s">
        <v>74</v>
      </c>
      <c r="B28" s="120">
        <f>B8-B4</f>
        <v>47.25</v>
      </c>
      <c r="C28" s="121">
        <f>0.65*C15+0.17*C16+0.18*C17</f>
        <v>0.11139</v>
      </c>
      <c r="D28" s="22">
        <f>B28*C28</f>
        <v>5.2631775000000003</v>
      </c>
      <c r="E28" s="73">
        <f>B28</f>
        <v>47.25</v>
      </c>
      <c r="F28" s="121">
        <f>C28</f>
        <v>0.11139</v>
      </c>
      <c r="G28" s="22">
        <f>E28*F28</f>
        <v>5.2631775000000003</v>
      </c>
      <c r="H28" s="22">
        <f t="shared" si="1"/>
        <v>0</v>
      </c>
      <c r="I28" s="23">
        <f>IF(ISERROR(H28/D28),0,(H28/D28))</f>
        <v>0</v>
      </c>
      <c r="J28" s="23">
        <f t="shared" si="10"/>
        <v>3.9736759911138127E-2</v>
      </c>
      <c r="K28" s="108">
        <f t="shared" si="11"/>
        <v>3.8464628348868095E-2</v>
      </c>
    </row>
    <row r="29" spans="1:11" s="1" customFormat="1" x14ac:dyDescent="0.2">
      <c r="A29" s="110" t="s">
        <v>78</v>
      </c>
      <c r="B29" s="74"/>
      <c r="C29" s="35"/>
      <c r="D29" s="35">
        <f>SUM(D25,D26:D27)</f>
        <v>62.026428307903927</v>
      </c>
      <c r="E29" s="73"/>
      <c r="F29" s="35"/>
      <c r="G29" s="35">
        <f>SUM(G25,G26:G27)</f>
        <v>70.046428307903923</v>
      </c>
      <c r="H29" s="35">
        <f t="shared" si="1"/>
        <v>8.019999999999996</v>
      </c>
      <c r="I29" s="36">
        <f>IF(ISERROR(H29/D29),0,(H29/D29))</f>
        <v>0.12929972301787399</v>
      </c>
      <c r="J29" s="36">
        <f t="shared" si="10"/>
        <v>0.5288474698609209</v>
      </c>
      <c r="K29" s="111">
        <f t="shared" si="11"/>
        <v>0.51191696119485952</v>
      </c>
    </row>
    <row r="30" spans="1:11" s="1" customFormat="1" x14ac:dyDescent="0.2">
      <c r="A30" s="110" t="s">
        <v>77</v>
      </c>
      <c r="B30" s="74"/>
      <c r="C30" s="35"/>
      <c r="D30" s="35">
        <f>SUM(D25,D26,D28)</f>
        <v>62.422855807903929</v>
      </c>
      <c r="E30" s="73"/>
      <c r="F30" s="35"/>
      <c r="G30" s="35">
        <f>SUM(G25,G26,G28)</f>
        <v>70.442855807903925</v>
      </c>
      <c r="H30" s="35">
        <f t="shared" si="1"/>
        <v>8.019999999999996</v>
      </c>
      <c r="I30" s="36">
        <f>IF(ISERROR(H30/D30),0,(H30/D30))</f>
        <v>0.12847858202258844</v>
      </c>
      <c r="J30" s="36">
        <f t="shared" si="10"/>
        <v>0.5318404801459955</v>
      </c>
      <c r="K30" s="111">
        <f t="shared" si="11"/>
        <v>0.51481415332922531</v>
      </c>
    </row>
    <row r="31" spans="1:11" x14ac:dyDescent="0.2">
      <c r="A31" s="107" t="s">
        <v>40</v>
      </c>
      <c r="B31" s="73">
        <f>B8</f>
        <v>497.25</v>
      </c>
      <c r="C31" s="126">
        <f>VLOOKUP($B$3,'Data for Bill Impacts'!$A$3:$Y$15,15,0)</f>
        <v>6.7400000000000003E-3</v>
      </c>
      <c r="D31" s="22">
        <f>B31*C31</f>
        <v>3.3514650000000001</v>
      </c>
      <c r="E31" s="73">
        <f t="shared" si="6"/>
        <v>497.25</v>
      </c>
      <c r="F31" s="78">
        <f>VLOOKUP($B$3,'Data for Bill Impacts'!$A$3:$Y$15,24,0)</f>
        <v>6.7999999999999996E-3</v>
      </c>
      <c r="G31" s="22">
        <f>E31*F31</f>
        <v>3.3813</v>
      </c>
      <c r="H31" s="22">
        <f t="shared" si="1"/>
        <v>2.9834999999999834E-2</v>
      </c>
      <c r="I31" s="23">
        <f t="shared" si="2"/>
        <v>8.9020771513352616E-3</v>
      </c>
      <c r="J31" s="23">
        <f t="shared" si="10"/>
        <v>2.5528667100346004E-2</v>
      </c>
      <c r="K31" s="108">
        <f t="shared" si="11"/>
        <v>2.4711393038906189E-2</v>
      </c>
    </row>
    <row r="32" spans="1:11" x14ac:dyDescent="0.2">
      <c r="A32" s="107" t="s">
        <v>41</v>
      </c>
      <c r="B32" s="73">
        <f>B8</f>
        <v>497.25</v>
      </c>
      <c r="C32" s="126">
        <f>VLOOKUP($B$3,'Data for Bill Impacts'!$A$3:$Y$15,16,0)</f>
        <v>5.6299999999999996E-3</v>
      </c>
      <c r="D32" s="22">
        <f>B32*C32</f>
        <v>2.7995174999999999</v>
      </c>
      <c r="E32" s="73">
        <f t="shared" si="6"/>
        <v>497.25</v>
      </c>
      <c r="F32" s="78">
        <f>VLOOKUP($B$3,'Data for Bill Impacts'!$A$3:$Y$15,25,0)</f>
        <v>5.4999999999999997E-3</v>
      </c>
      <c r="G32" s="22">
        <f>E32*F32</f>
        <v>2.7348749999999997</v>
      </c>
      <c r="H32" s="22">
        <f t="shared" si="1"/>
        <v>-6.4642500000000158E-2</v>
      </c>
      <c r="I32" s="23">
        <f t="shared" si="2"/>
        <v>-2.3090586145648372E-2</v>
      </c>
      <c r="J32" s="23">
        <f t="shared" si="10"/>
        <v>2.0648186625279855E-2</v>
      </c>
      <c r="K32" s="108">
        <f t="shared" si="11"/>
        <v>1.9987156134409417E-2</v>
      </c>
    </row>
    <row r="33" spans="1:11" s="1" customFormat="1" x14ac:dyDescent="0.2">
      <c r="A33" s="110" t="s">
        <v>76</v>
      </c>
      <c r="B33" s="74"/>
      <c r="C33" s="35"/>
      <c r="D33" s="35">
        <f>SUM(D31:D32)</f>
        <v>6.1509824999999996</v>
      </c>
      <c r="E33" s="73"/>
      <c r="F33" s="35"/>
      <c r="G33" s="35">
        <f>SUM(G31:G32)</f>
        <v>6.1161750000000001</v>
      </c>
      <c r="H33" s="35">
        <f t="shared" si="1"/>
        <v>-3.4807499999999436E-2</v>
      </c>
      <c r="I33" s="36">
        <f t="shared" si="2"/>
        <v>-5.6588520614388738E-3</v>
      </c>
      <c r="J33" s="36">
        <f t="shared" si="10"/>
        <v>4.6176853725625862E-2</v>
      </c>
      <c r="K33" s="111">
        <f t="shared" si="11"/>
        <v>4.4698549173315609E-2</v>
      </c>
    </row>
    <row r="34" spans="1:11" s="1" customFormat="1" x14ac:dyDescent="0.2">
      <c r="A34" s="110" t="s">
        <v>95</v>
      </c>
      <c r="B34" s="74"/>
      <c r="C34" s="35"/>
      <c r="D34" s="35">
        <f>D29+D33</f>
        <v>68.177410807903925</v>
      </c>
      <c r="E34" s="73"/>
      <c r="F34" s="35"/>
      <c r="G34" s="35">
        <f>G29+G33</f>
        <v>76.162603307903922</v>
      </c>
      <c r="H34" s="35">
        <f t="shared" si="1"/>
        <v>7.9851924999999966</v>
      </c>
      <c r="I34" s="36">
        <f t="shared" si="2"/>
        <v>0.11712372771824681</v>
      </c>
      <c r="J34" s="36">
        <f t="shared" si="10"/>
        <v>0.57502432358654676</v>
      </c>
      <c r="K34" s="111">
        <f t="shared" si="11"/>
        <v>0.55661551036817514</v>
      </c>
    </row>
    <row r="35" spans="1:11" s="1" customFormat="1" x14ac:dyDescent="0.2">
      <c r="A35" s="110" t="s">
        <v>96</v>
      </c>
      <c r="B35" s="74"/>
      <c r="C35" s="35"/>
      <c r="D35" s="35">
        <f>D30+D33</f>
        <v>68.573838307903927</v>
      </c>
      <c r="E35" s="73"/>
      <c r="F35" s="35"/>
      <c r="G35" s="35">
        <f>G30+G33</f>
        <v>76.559030807903923</v>
      </c>
      <c r="H35" s="35">
        <f t="shared" si="1"/>
        <v>7.9851924999999966</v>
      </c>
      <c r="I35" s="36">
        <f t="shared" si="2"/>
        <v>0.11644663179193239</v>
      </c>
      <c r="J35" s="36">
        <f t="shared" si="10"/>
        <v>0.57801733387162135</v>
      </c>
      <c r="K35" s="111">
        <f t="shared" si="11"/>
        <v>0.55951270250254093</v>
      </c>
    </row>
    <row r="36" spans="1:11" x14ac:dyDescent="0.2">
      <c r="A36" s="107" t="s">
        <v>42</v>
      </c>
      <c r="B36" s="73">
        <f>B8</f>
        <v>497.25</v>
      </c>
      <c r="C36" s="34">
        <v>3.5999999999999999E-3</v>
      </c>
      <c r="D36" s="22">
        <f>B36*C36</f>
        <v>1.7901</v>
      </c>
      <c r="E36" s="73">
        <f t="shared" si="6"/>
        <v>497.25</v>
      </c>
      <c r="F36" s="34">
        <v>3.5999999999999999E-3</v>
      </c>
      <c r="G36" s="22">
        <f>E36*F36</f>
        <v>1.7901</v>
      </c>
      <c r="H36" s="22">
        <f t="shared" si="1"/>
        <v>0</v>
      </c>
      <c r="I36" s="23">
        <f t="shared" si="2"/>
        <v>0</v>
      </c>
      <c r="J36" s="23">
        <f t="shared" si="10"/>
        <v>1.3515176700183179E-2</v>
      </c>
      <c r="K36" s="108">
        <f t="shared" si="11"/>
        <v>1.3082502197067983E-2</v>
      </c>
    </row>
    <row r="37" spans="1:11" x14ac:dyDescent="0.2">
      <c r="A37" s="107" t="s">
        <v>43</v>
      </c>
      <c r="B37" s="73">
        <f>B8</f>
        <v>497.25</v>
      </c>
      <c r="C37" s="34">
        <v>2.0999999999999999E-3</v>
      </c>
      <c r="D37" s="22">
        <f>B37*C37</f>
        <v>1.044225</v>
      </c>
      <c r="E37" s="73">
        <f t="shared" si="6"/>
        <v>497.25</v>
      </c>
      <c r="F37" s="34">
        <v>2.0999999999999999E-3</v>
      </c>
      <c r="G37" s="22">
        <f>E37*F37</f>
        <v>1.044225</v>
      </c>
      <c r="H37" s="22">
        <f>G37-D37</f>
        <v>0</v>
      </c>
      <c r="I37" s="23">
        <f t="shared" si="2"/>
        <v>0</v>
      </c>
      <c r="J37" s="23">
        <f t="shared" si="10"/>
        <v>7.8838530751068545E-3</v>
      </c>
      <c r="K37" s="108">
        <f t="shared" si="11"/>
        <v>7.631459614956323E-3</v>
      </c>
    </row>
    <row r="38" spans="1:11" x14ac:dyDescent="0.2">
      <c r="A38" s="107" t="s">
        <v>100</v>
      </c>
      <c r="B38" s="73">
        <f>B8</f>
        <v>497.25</v>
      </c>
      <c r="C38" s="34">
        <v>1.1000000000000001E-3</v>
      </c>
      <c r="D38" s="22">
        <f>B38*C38</f>
        <v>0.54697499999999999</v>
      </c>
      <c r="E38" s="73">
        <f t="shared" si="6"/>
        <v>497.25</v>
      </c>
      <c r="F38" s="34">
        <v>1.1000000000000001E-3</v>
      </c>
      <c r="G38" s="22">
        <f>E38*F38</f>
        <v>0.54697499999999999</v>
      </c>
      <c r="H38" s="22">
        <f>G38-D38</f>
        <v>0</v>
      </c>
      <c r="I38" s="23">
        <f t="shared" ref="I38" si="12">IF(ISERROR(H38/D38),0,(H38/D38))</f>
        <v>0</v>
      </c>
      <c r="J38" s="23">
        <f t="shared" ref="J38" si="13">G38/$G$46</f>
        <v>4.1296373250559711E-3</v>
      </c>
      <c r="K38" s="108">
        <f t="shared" ref="K38" si="14">G38/$G$51</f>
        <v>3.997431226881884E-3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10"/>
        <v>1.8874890648822942E-3</v>
      </c>
      <c r="K39" s="108">
        <f t="shared" si="11"/>
        <v>1.8270630407614076E-3</v>
      </c>
    </row>
    <row r="40" spans="1:11" s="1" customFormat="1" x14ac:dyDescent="0.2">
      <c r="A40" s="110" t="s">
        <v>45</v>
      </c>
      <c r="B40" s="74"/>
      <c r="C40" s="35"/>
      <c r="D40" s="35">
        <f>SUM(D36:D39)</f>
        <v>3.6312999999999995</v>
      </c>
      <c r="E40" s="73"/>
      <c r="F40" s="35"/>
      <c r="G40" s="35">
        <f>SUM(G36:G39)</f>
        <v>3.6312999999999995</v>
      </c>
      <c r="H40" s="35">
        <f t="shared" si="1"/>
        <v>0</v>
      </c>
      <c r="I40" s="36">
        <f t="shared" si="2"/>
        <v>0</v>
      </c>
      <c r="J40" s="36">
        <f t="shared" si="10"/>
        <v>2.7416156165228297E-2</v>
      </c>
      <c r="K40" s="111">
        <f t="shared" si="11"/>
        <v>2.6538456079667594E-2</v>
      </c>
    </row>
    <row r="41" spans="1:11" s="1" customFormat="1" ht="13.5" thickBot="1" x14ac:dyDescent="0.25">
      <c r="A41" s="112" t="s">
        <v>46</v>
      </c>
      <c r="B41" s="113">
        <f>B4</f>
        <v>450</v>
      </c>
      <c r="C41" s="114">
        <v>0</v>
      </c>
      <c r="D41" s="115">
        <f>B41*C41</f>
        <v>0</v>
      </c>
      <c r="E41" s="116">
        <f t="shared" si="6"/>
        <v>450</v>
      </c>
      <c r="F41" s="114">
        <f>C41</f>
        <v>0</v>
      </c>
      <c r="G41" s="115">
        <f>E41*F41</f>
        <v>0</v>
      </c>
      <c r="H41" s="115">
        <f t="shared" si="1"/>
        <v>0</v>
      </c>
      <c r="I41" s="117">
        <f t="shared" si="2"/>
        <v>0</v>
      </c>
      <c r="J41" s="117">
        <f t="shared" si="10"/>
        <v>0</v>
      </c>
      <c r="K41" s="118">
        <f t="shared" si="11"/>
        <v>0</v>
      </c>
    </row>
    <row r="42" spans="1:11" s="1" customFormat="1" x14ac:dyDescent="0.2">
      <c r="A42" s="37" t="s">
        <v>137</v>
      </c>
      <c r="B42" s="38"/>
      <c r="C42" s="39"/>
      <c r="D42" s="39">
        <f>SUM(D14,D25,D26,D27,D33,D40,D41)</f>
        <v>118.15871080790393</v>
      </c>
      <c r="E42" s="38"/>
      <c r="F42" s="39"/>
      <c r="G42" s="39">
        <f>SUM(G14,G25,G26,G27,G33,G40,G41)</f>
        <v>126.14390330790391</v>
      </c>
      <c r="H42" s="39">
        <f t="shared" si="1"/>
        <v>7.9851924999999824</v>
      </c>
      <c r="I42" s="40">
        <f>IF(ISERROR(H42/D42),0,(H42/D42))</f>
        <v>6.7580227013325139E-2</v>
      </c>
      <c r="J42" s="40">
        <f t="shared" si="10"/>
        <v>0.95238095238095233</v>
      </c>
      <c r="K42" s="41"/>
    </row>
    <row r="43" spans="1:11" x14ac:dyDescent="0.2">
      <c r="A43" s="150" t="s">
        <v>138</v>
      </c>
      <c r="B43" s="43"/>
      <c r="C43" s="26">
        <v>0.13</v>
      </c>
      <c r="D43" s="26">
        <f>D42*C43</f>
        <v>15.360632405027511</v>
      </c>
      <c r="E43" s="26"/>
      <c r="F43" s="26">
        <f>C43</f>
        <v>0.13</v>
      </c>
      <c r="G43" s="26">
        <f>G42*F43</f>
        <v>16.39870743002751</v>
      </c>
      <c r="H43" s="26">
        <f t="shared" si="1"/>
        <v>1.0380750249999995</v>
      </c>
      <c r="I43" s="44">
        <f t="shared" si="2"/>
        <v>6.758022701332525E-2</v>
      </c>
      <c r="J43" s="44">
        <f t="shared" si="10"/>
        <v>0.12380952380952381</v>
      </c>
      <c r="K43" s="45"/>
    </row>
    <row r="44" spans="1:11" s="1" customFormat="1" x14ac:dyDescent="0.2">
      <c r="A44" s="46" t="s">
        <v>139</v>
      </c>
      <c r="B44" s="24"/>
      <c r="C44" s="25"/>
      <c r="D44" s="25">
        <f>SUM(D42:D43)</f>
        <v>133.51934321293143</v>
      </c>
      <c r="E44" s="25"/>
      <c r="F44" s="25"/>
      <c r="G44" s="25">
        <f>SUM(G42:G43)</f>
        <v>142.54261073793143</v>
      </c>
      <c r="H44" s="25">
        <f t="shared" si="1"/>
        <v>9.0232675249999943</v>
      </c>
      <c r="I44" s="27">
        <f t="shared" si="2"/>
        <v>6.758022701332525E-2</v>
      </c>
      <c r="J44" s="27">
        <f t="shared" si="10"/>
        <v>1.0761904761904761</v>
      </c>
      <c r="K44" s="47"/>
    </row>
    <row r="45" spans="1:11" x14ac:dyDescent="0.2">
      <c r="A45" s="42" t="s">
        <v>140</v>
      </c>
      <c r="B45" s="43"/>
      <c r="C45" s="26">
        <v>-0.08</v>
      </c>
      <c r="D45" s="26">
        <f>D42*C45</f>
        <v>-9.4526968646323137</v>
      </c>
      <c r="E45" s="26"/>
      <c r="F45" s="26">
        <f>C45</f>
        <v>-0.08</v>
      </c>
      <c r="G45" s="26">
        <f>G42*F45</f>
        <v>-10.091512264632312</v>
      </c>
      <c r="H45" s="26">
        <f t="shared" si="1"/>
        <v>-0.63881539999999859</v>
      </c>
      <c r="I45" s="44">
        <f t="shared" si="2"/>
        <v>6.7580227013325139E-2</v>
      </c>
      <c r="J45" s="44">
        <f t="shared" si="10"/>
        <v>-7.6190476190476183E-2</v>
      </c>
      <c r="K45" s="45"/>
    </row>
    <row r="46" spans="1:11" s="1" customFormat="1" ht="13.5" thickBot="1" x14ac:dyDescent="0.25">
      <c r="A46" s="48" t="s">
        <v>141</v>
      </c>
      <c r="B46" s="49"/>
      <c r="C46" s="50"/>
      <c r="D46" s="50">
        <f>SUM(D44:D45)</f>
        <v>124.06664634829912</v>
      </c>
      <c r="E46" s="50"/>
      <c r="F46" s="50"/>
      <c r="G46" s="50">
        <f>SUM(G44:G45)</f>
        <v>132.45109847329911</v>
      </c>
      <c r="H46" s="50">
        <f t="shared" si="1"/>
        <v>8.3844521249999957</v>
      </c>
      <c r="I46" s="51">
        <f t="shared" si="2"/>
        <v>6.7580227013325264E-2</v>
      </c>
      <c r="J46" s="51">
        <f t="shared" si="10"/>
        <v>1</v>
      </c>
      <c r="K46" s="52"/>
    </row>
    <row r="47" spans="1:11" x14ac:dyDescent="0.2">
      <c r="A47" s="53" t="s">
        <v>142</v>
      </c>
      <c r="B47" s="54"/>
      <c r="C47" s="55"/>
      <c r="D47" s="55">
        <f>SUM(D18,D25,D26,D28,D33,D40,D41)</f>
        <v>122.33063830790393</v>
      </c>
      <c r="E47" s="55"/>
      <c r="F47" s="55"/>
      <c r="G47" s="55">
        <f>SUM(G18,G25,G26,G28,G33,G40,G41)</f>
        <v>130.31583080790392</v>
      </c>
      <c r="H47" s="55">
        <f>G47-D47</f>
        <v>7.9851924999999966</v>
      </c>
      <c r="I47" s="56">
        <f>IF(ISERROR(H47/D47),0,(H47/D47))</f>
        <v>6.527549116437549E-2</v>
      </c>
      <c r="J47" s="56"/>
      <c r="K47" s="57">
        <f>G47/$G$51</f>
        <v>0.95238095238095222</v>
      </c>
    </row>
    <row r="48" spans="1:11" x14ac:dyDescent="0.2">
      <c r="A48" s="151" t="s">
        <v>138</v>
      </c>
      <c r="B48" s="59"/>
      <c r="C48" s="31">
        <v>0.13</v>
      </c>
      <c r="D48" s="31">
        <f>D47*C48</f>
        <v>15.902982980027511</v>
      </c>
      <c r="E48" s="31"/>
      <c r="F48" s="31">
        <f>C48</f>
        <v>0.13</v>
      </c>
      <c r="G48" s="31">
        <f>G47*F48</f>
        <v>16.941058005027511</v>
      </c>
      <c r="H48" s="31">
        <f>G48-D48</f>
        <v>1.0380750249999995</v>
      </c>
      <c r="I48" s="32">
        <f>IF(ISERROR(H48/D48),0,(H48/D48))</f>
        <v>6.5275491164375476E-2</v>
      </c>
      <c r="J48" s="32"/>
      <c r="K48" s="60">
        <f>G48/$G$51</f>
        <v>0.1238095238095238</v>
      </c>
    </row>
    <row r="49" spans="1:11" x14ac:dyDescent="0.2">
      <c r="A49" s="61" t="s">
        <v>143</v>
      </c>
      <c r="B49" s="29"/>
      <c r="C49" s="30"/>
      <c r="D49" s="30">
        <f>SUM(D47:D48)</f>
        <v>138.23362128793144</v>
      </c>
      <c r="E49" s="30"/>
      <c r="F49" s="30"/>
      <c r="G49" s="30">
        <f>SUM(G47:G48)</f>
        <v>147.25688881293144</v>
      </c>
      <c r="H49" s="30">
        <f>G49-D49</f>
        <v>9.0232675249999943</v>
      </c>
      <c r="I49" s="33">
        <f>IF(ISERROR(H49/D49),0,(H49/D49))</f>
        <v>6.5275491164375476E-2</v>
      </c>
      <c r="J49" s="33"/>
      <c r="K49" s="62">
        <f>G49/$G$51</f>
        <v>1.0761904761904761</v>
      </c>
    </row>
    <row r="50" spans="1:11" x14ac:dyDescent="0.2">
      <c r="A50" s="58" t="s">
        <v>140</v>
      </c>
      <c r="B50" s="59"/>
      <c r="C50" s="31">
        <v>-0.08</v>
      </c>
      <c r="D50" s="31">
        <f>D47*C50</f>
        <v>-9.7864510646323151</v>
      </c>
      <c r="E50" s="31"/>
      <c r="F50" s="31">
        <f>C50</f>
        <v>-0.08</v>
      </c>
      <c r="G50" s="31">
        <f>G47*F50</f>
        <v>-10.425266464632314</v>
      </c>
      <c r="H50" s="31">
        <f>G50-D50</f>
        <v>-0.63881539999999859</v>
      </c>
      <c r="I50" s="32">
        <f>IF(ISERROR(H50/D50),0,(H50/D50))</f>
        <v>6.5275491164375365E-2</v>
      </c>
      <c r="J50" s="32"/>
      <c r="K50" s="60">
        <f>G50/$G$51</f>
        <v>-7.6190476190476183E-2</v>
      </c>
    </row>
    <row r="51" spans="1:11" ht="13.5" thickBot="1" x14ac:dyDescent="0.25">
      <c r="A51" s="63" t="s">
        <v>144</v>
      </c>
      <c r="B51" s="64"/>
      <c r="C51" s="65"/>
      <c r="D51" s="65">
        <f>SUM(D49:D50)</f>
        <v>128.44717022329914</v>
      </c>
      <c r="E51" s="65"/>
      <c r="F51" s="65"/>
      <c r="G51" s="65">
        <f>SUM(G49:G50)</f>
        <v>136.83162234829913</v>
      </c>
      <c r="H51" s="65">
        <f>G51-D51</f>
        <v>8.3844521249999957</v>
      </c>
      <c r="I51" s="66">
        <f>IF(ISERROR(H51/D51),0,(H51/D51))</f>
        <v>6.5275491164375476E-2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1" tint="0.499984740745262"/>
    <pageSetUpPr fitToPage="1"/>
  </sheetPr>
  <dimension ref="A1:K68"/>
  <sheetViews>
    <sheetView view="pageBreakPreview" topLeftCell="A19" zoomScaleNormal="100" zoomScaleSheetLayoutView="100" workbookViewId="0">
      <selection activeCell="C19" sqref="C19"/>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48" t="s">
        <v>110</v>
      </c>
      <c r="B1" s="349"/>
      <c r="C1" s="349"/>
      <c r="D1" s="349"/>
      <c r="E1" s="349"/>
      <c r="F1" s="349"/>
      <c r="G1" s="349"/>
      <c r="H1" s="349"/>
      <c r="I1" s="349"/>
      <c r="J1" s="349"/>
      <c r="K1" s="350"/>
    </row>
    <row r="3" spans="1:11" x14ac:dyDescent="0.2">
      <c r="A3" s="13" t="s">
        <v>13</v>
      </c>
      <c r="B3" s="13" t="s">
        <v>2</v>
      </c>
    </row>
    <row r="4" spans="1:11" x14ac:dyDescent="0.2">
      <c r="A4" s="15" t="s">
        <v>62</v>
      </c>
      <c r="B4" s="15">
        <v>750</v>
      </c>
    </row>
    <row r="5" spans="1:11" x14ac:dyDescent="0.2">
      <c r="A5" s="15" t="s">
        <v>16</v>
      </c>
      <c r="B5" s="15">
        <f>VLOOKUP($B$3,'Data for Bill Impacts'!$A$3:$Y$15,5,0)</f>
        <v>0</v>
      </c>
    </row>
    <row r="6" spans="1:11" x14ac:dyDescent="0.2">
      <c r="A6" s="15" t="s">
        <v>20</v>
      </c>
      <c r="B6" s="15">
        <f>VLOOKUP($B$3,'Data for Bill Impacts'!$A$3:$Y$15,2,0)</f>
        <v>1.105</v>
      </c>
    </row>
    <row r="7" spans="1:11" x14ac:dyDescent="0.2">
      <c r="A7" s="15" t="s">
        <v>15</v>
      </c>
      <c r="B7" s="15">
        <f>VLOOKUP($B$3,'Data for Bill Impacts'!$A$3:$Y$15,4,0)</f>
        <v>600</v>
      </c>
    </row>
    <row r="8" spans="1:11" x14ac:dyDescent="0.2">
      <c r="A8" s="15" t="s">
        <v>82</v>
      </c>
      <c r="B8" s="193">
        <f>B4*B6</f>
        <v>828.75</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0.10299999999999999</v>
      </c>
      <c r="D12" s="104">
        <f>B12*C12</f>
        <v>61.8</v>
      </c>
      <c r="E12" s="102">
        <f>B12</f>
        <v>600</v>
      </c>
      <c r="F12" s="103">
        <f>C12</f>
        <v>0.10299999999999999</v>
      </c>
      <c r="G12" s="104">
        <f>E12*F12</f>
        <v>61.8</v>
      </c>
      <c r="H12" s="104">
        <f>G12-D12</f>
        <v>0</v>
      </c>
      <c r="I12" s="105">
        <f>IF(ISERROR(H12/D12),0,(H12/D12))</f>
        <v>0</v>
      </c>
      <c r="J12" s="105">
        <f>G12/$G$46</f>
        <v>0.33290699874471391</v>
      </c>
      <c r="K12" s="106"/>
    </row>
    <row r="13" spans="1:11" x14ac:dyDescent="0.2">
      <c r="A13" s="107" t="s">
        <v>32</v>
      </c>
      <c r="B13" s="73">
        <f>IF(B4&gt;B7,(B4)-B7,0)</f>
        <v>150</v>
      </c>
      <c r="C13" s="21">
        <v>0.121</v>
      </c>
      <c r="D13" s="22">
        <f>B13*C13</f>
        <v>18.149999999999999</v>
      </c>
      <c r="E13" s="73">
        <f t="shared" ref="E13" si="0">B13</f>
        <v>150</v>
      </c>
      <c r="F13" s="21">
        <f>C13</f>
        <v>0.121</v>
      </c>
      <c r="G13" s="22">
        <f>E13*F13</f>
        <v>18.149999999999999</v>
      </c>
      <c r="H13" s="22">
        <f t="shared" ref="H13:H46" si="1">G13-D13</f>
        <v>0</v>
      </c>
      <c r="I13" s="23">
        <f t="shared" ref="I13:I46" si="2">IF(ISERROR(H13/D13),0,(H13/D13))</f>
        <v>0</v>
      </c>
      <c r="J13" s="23">
        <f>G13/$G$46</f>
        <v>9.7771230213860152E-2</v>
      </c>
      <c r="K13" s="108"/>
    </row>
    <row r="14" spans="1:11" s="1" customFormat="1" x14ac:dyDescent="0.2">
      <c r="A14" s="46" t="s">
        <v>33</v>
      </c>
      <c r="B14" s="24"/>
      <c r="C14" s="25"/>
      <c r="D14" s="25">
        <f>SUM(D12:D13)</f>
        <v>79.949999999999989</v>
      </c>
      <c r="E14" s="76"/>
      <c r="F14" s="25"/>
      <c r="G14" s="25">
        <f>SUM(G12:G13)</f>
        <v>79.949999999999989</v>
      </c>
      <c r="H14" s="25">
        <f t="shared" si="1"/>
        <v>0</v>
      </c>
      <c r="I14" s="27">
        <f t="shared" si="2"/>
        <v>0</v>
      </c>
      <c r="J14" s="27">
        <f>G14/$G$46</f>
        <v>0.43067822895857399</v>
      </c>
      <c r="K14" s="108"/>
    </row>
    <row r="15" spans="1:11" s="1" customFormat="1" x14ac:dyDescent="0.2">
      <c r="A15" s="109" t="s">
        <v>34</v>
      </c>
      <c r="B15" s="75">
        <f>B4*0.65</f>
        <v>487.5</v>
      </c>
      <c r="C15" s="28">
        <v>8.6999999999999994E-2</v>
      </c>
      <c r="D15" s="22">
        <f>B15*C15</f>
        <v>42.412499999999994</v>
      </c>
      <c r="E15" s="73">
        <f t="shared" ref="E15:F17" si="3">B15</f>
        <v>487.5</v>
      </c>
      <c r="F15" s="28">
        <f t="shared" si="3"/>
        <v>8.6999999999999994E-2</v>
      </c>
      <c r="G15" s="22">
        <f>E15*F15</f>
        <v>42.412499999999994</v>
      </c>
      <c r="H15" s="22">
        <f t="shared" si="1"/>
        <v>0</v>
      </c>
      <c r="I15" s="23">
        <f t="shared" si="2"/>
        <v>0</v>
      </c>
      <c r="J15" s="23"/>
      <c r="K15" s="108">
        <f t="shared" ref="K15:K26" si="4">G15/$G$51</f>
        <v>0.22486290031631681</v>
      </c>
    </row>
    <row r="16" spans="1:11" s="1" customFormat="1" x14ac:dyDescent="0.2">
      <c r="A16" s="109" t="s">
        <v>35</v>
      </c>
      <c r="B16" s="75">
        <f>B4*0.17</f>
        <v>127.50000000000001</v>
      </c>
      <c r="C16" s="28">
        <v>0.13200000000000001</v>
      </c>
      <c r="D16" s="22">
        <f>B16*C16</f>
        <v>16.830000000000002</v>
      </c>
      <c r="E16" s="73">
        <f t="shared" si="3"/>
        <v>127.50000000000001</v>
      </c>
      <c r="F16" s="28">
        <f t="shared" si="3"/>
        <v>0.13200000000000001</v>
      </c>
      <c r="G16" s="22">
        <f>E16*F16</f>
        <v>16.830000000000002</v>
      </c>
      <c r="H16" s="22">
        <f t="shared" si="1"/>
        <v>0</v>
      </c>
      <c r="I16" s="23">
        <f t="shared" si="2"/>
        <v>0</v>
      </c>
      <c r="J16" s="23"/>
      <c r="K16" s="108">
        <f t="shared" si="4"/>
        <v>8.9229416146740057E-2</v>
      </c>
    </row>
    <row r="17" spans="1:11" s="1" customFormat="1" x14ac:dyDescent="0.2">
      <c r="A17" s="109" t="s">
        <v>36</v>
      </c>
      <c r="B17" s="75">
        <f>B4*0.18</f>
        <v>135</v>
      </c>
      <c r="C17" s="28">
        <v>0.18</v>
      </c>
      <c r="D17" s="22">
        <f>B17*C17</f>
        <v>24.3</v>
      </c>
      <c r="E17" s="73">
        <f t="shared" si="3"/>
        <v>135</v>
      </c>
      <c r="F17" s="28">
        <f t="shared" si="3"/>
        <v>0.18</v>
      </c>
      <c r="G17" s="22">
        <f>E17*F17</f>
        <v>24.3</v>
      </c>
      <c r="H17" s="22">
        <f t="shared" si="1"/>
        <v>0</v>
      </c>
      <c r="I17" s="23">
        <f t="shared" si="2"/>
        <v>0</v>
      </c>
      <c r="J17" s="23"/>
      <c r="K17" s="108">
        <f t="shared" si="4"/>
        <v>0.12883391636160327</v>
      </c>
    </row>
    <row r="18" spans="1:11" s="1" customFormat="1" x14ac:dyDescent="0.2">
      <c r="A18" s="61" t="s">
        <v>37</v>
      </c>
      <c r="B18" s="29"/>
      <c r="C18" s="30"/>
      <c r="D18" s="30">
        <f>SUM(D15:D17)</f>
        <v>83.54249999999999</v>
      </c>
      <c r="E18" s="77"/>
      <c r="F18" s="30"/>
      <c r="G18" s="30">
        <f>SUM(G15:G17)</f>
        <v>83.54249999999999</v>
      </c>
      <c r="H18" s="31">
        <f t="shared" si="1"/>
        <v>0</v>
      </c>
      <c r="I18" s="32">
        <f t="shared" si="2"/>
        <v>0</v>
      </c>
      <c r="J18" s="33">
        <f t="shared" ref="J18:J23" si="5">G18/$G$46</f>
        <v>0.45003046832735044</v>
      </c>
      <c r="K18" s="62">
        <f t="shared" si="4"/>
        <v>0.44292623282466009</v>
      </c>
    </row>
    <row r="19" spans="1:11" x14ac:dyDescent="0.2">
      <c r="A19" s="107" t="s">
        <v>38</v>
      </c>
      <c r="B19" s="73">
        <v>1</v>
      </c>
      <c r="C19" s="122">
        <f>VLOOKUP($B$3,'Data for Bill Impacts'!$A$3:$Y$15,7,0)</f>
        <v>44.23967830790393</v>
      </c>
      <c r="D19" s="22">
        <f>B19*C19</f>
        <v>44.23967830790393</v>
      </c>
      <c r="E19" s="73">
        <f t="shared" ref="E19:E41" si="6">B19</f>
        <v>1</v>
      </c>
      <c r="F19" s="122">
        <f>VLOOKUP($B$3,'Data for Bill Impacts'!$A$3:$Y$15,17,0)</f>
        <v>55.319678307903928</v>
      </c>
      <c r="G19" s="22">
        <f>E19*F19</f>
        <v>55.319678307903928</v>
      </c>
      <c r="H19" s="22">
        <f t="shared" si="1"/>
        <v>11.079999999999998</v>
      </c>
      <c r="I19" s="23">
        <f t="shared" si="2"/>
        <v>0.25045390074684221</v>
      </c>
      <c r="J19" s="23">
        <f t="shared" si="5"/>
        <v>0.29799851257293447</v>
      </c>
      <c r="K19" s="108">
        <f t="shared" si="4"/>
        <v>0.29329427194532071</v>
      </c>
    </row>
    <row r="20" spans="1:11" hidden="1" x14ac:dyDescent="0.2">
      <c r="A20" s="107" t="s">
        <v>83</v>
      </c>
      <c r="B20" s="73">
        <v>1</v>
      </c>
      <c r="C20" s="78">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145</v>
      </c>
      <c r="B21" s="73">
        <v>1</v>
      </c>
      <c r="C21" s="78">
        <v>0</v>
      </c>
      <c r="D21" s="22">
        <f t="shared" ref="D21:D22" si="8">B21*C21</f>
        <v>0</v>
      </c>
      <c r="E21" s="73">
        <f t="shared" si="6"/>
        <v>1</v>
      </c>
      <c r="F21" s="122">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-0.02</v>
      </c>
      <c r="D22" s="22">
        <f t="shared" si="8"/>
        <v>-0.02</v>
      </c>
      <c r="E22" s="73">
        <f t="shared" si="6"/>
        <v>1</v>
      </c>
      <c r="F22" s="122">
        <f>VLOOKUP($B$3,'Data for Bill Impacts'!$A$3:$Y$15,22,0)</f>
        <v>-0.02</v>
      </c>
      <c r="G22" s="22">
        <f t="shared" si="7"/>
        <v>-0.02</v>
      </c>
      <c r="H22" s="22">
        <f t="shared" si="1"/>
        <v>0</v>
      </c>
      <c r="I22" s="23">
        <f t="shared" si="2"/>
        <v>0</v>
      </c>
      <c r="J22" s="23">
        <f t="shared" si="5"/>
        <v>-1.0773689279764205E-4</v>
      </c>
      <c r="K22" s="108">
        <f t="shared" si="4"/>
        <v>-1.0603614515358295E-4</v>
      </c>
    </row>
    <row r="23" spans="1:11" x14ac:dyDescent="0.2">
      <c r="A23" s="107" t="s">
        <v>39</v>
      </c>
      <c r="B23" s="73">
        <f>IF($B$9="kWh",$B$4,$B$5)</f>
        <v>750</v>
      </c>
      <c r="C23" s="126">
        <f>VLOOKUP($B$3,'Data for Bill Impacts'!$A$3:$Y$15,10,0)</f>
        <v>2.6800000000000001E-2</v>
      </c>
      <c r="D23" s="22">
        <f>B23*C23</f>
        <v>20.100000000000001</v>
      </c>
      <c r="E23" s="73">
        <f t="shared" si="6"/>
        <v>750</v>
      </c>
      <c r="F23" s="78">
        <f>VLOOKUP($B$3,'Data for Bill Impacts'!$A$3:$Y$15,19,0)</f>
        <v>0.02</v>
      </c>
      <c r="G23" s="22">
        <f>E23*F23</f>
        <v>15</v>
      </c>
      <c r="H23" s="22">
        <f t="shared" si="1"/>
        <v>-5.1000000000000014</v>
      </c>
      <c r="I23" s="23">
        <f t="shared" si="2"/>
        <v>-0.25373134328358216</v>
      </c>
      <c r="J23" s="23">
        <f t="shared" si="5"/>
        <v>8.0802669598231527E-2</v>
      </c>
      <c r="K23" s="108">
        <f t="shared" si="4"/>
        <v>7.9527108865187213E-2</v>
      </c>
    </row>
    <row r="24" spans="1:11" x14ac:dyDescent="0.2">
      <c r="A24" s="107" t="s">
        <v>194</v>
      </c>
      <c r="B24" s="73">
        <f>IF($B$9="kWh",$B$4,$B$5)</f>
        <v>750</v>
      </c>
      <c r="C24" s="126">
        <f>VLOOKUP($B$3,'Data for Bill Impacts'!$A$3:$Y$15,14,0)</f>
        <v>2.0000000000000001E-4</v>
      </c>
      <c r="D24" s="22">
        <f>B24*C24</f>
        <v>0.15</v>
      </c>
      <c r="E24" s="73">
        <f t="shared" si="6"/>
        <v>750</v>
      </c>
      <c r="F24" s="126">
        <f>VLOOKUP($B$3,'Data for Bill Impacts'!$A$3:$Y$15,23,0)</f>
        <v>2.0000000000000001E-4</v>
      </c>
      <c r="G24" s="22">
        <f>E24*F24</f>
        <v>0.15</v>
      </c>
      <c r="H24" s="22">
        <f t="shared" si="1"/>
        <v>0</v>
      </c>
      <c r="I24" s="23">
        <f>IF(ISERROR(H24/D24),0,(H24/D24))</f>
        <v>0</v>
      </c>
      <c r="J24" s="23">
        <f t="shared" ref="J24" si="9">G24/$G$46</f>
        <v>8.0802669598231528E-4</v>
      </c>
      <c r="K24" s="108">
        <f t="shared" si="4"/>
        <v>7.9527108865187204E-4</v>
      </c>
    </row>
    <row r="25" spans="1:11" s="1" customFormat="1" x14ac:dyDescent="0.2">
      <c r="A25" s="110" t="s">
        <v>72</v>
      </c>
      <c r="B25" s="74"/>
      <c r="C25" s="35"/>
      <c r="D25" s="35">
        <f>SUM(D19:D24)</f>
        <v>64.469678307903934</v>
      </c>
      <c r="E25" s="73"/>
      <c r="F25" s="35"/>
      <c r="G25" s="35">
        <f>SUM(G19:G24)</f>
        <v>70.449678307903923</v>
      </c>
      <c r="H25" s="35">
        <f t="shared" si="1"/>
        <v>5.9799999999999898</v>
      </c>
      <c r="I25" s="36">
        <f t="shared" si="2"/>
        <v>9.275678360670285E-2</v>
      </c>
      <c r="J25" s="36">
        <f>G25/$G$46</f>
        <v>0.37950147197435063</v>
      </c>
      <c r="K25" s="111">
        <f t="shared" si="4"/>
        <v>0.37351061575400618</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G26/$G$46</f>
        <v>4.2556072655068611E-3</v>
      </c>
      <c r="K26" s="108">
        <f t="shared" si="4"/>
        <v>4.1884277335665267E-3</v>
      </c>
    </row>
    <row r="27" spans="1:11" s="1" customFormat="1" x14ac:dyDescent="0.2">
      <c r="A27" s="119" t="s">
        <v>75</v>
      </c>
      <c r="B27" s="120">
        <f>B8-B4</f>
        <v>78.75</v>
      </c>
      <c r="C27" s="121">
        <f>IF(B4&gt;B7,C13,C12)</f>
        <v>0.121</v>
      </c>
      <c r="D27" s="22">
        <f>B27*C27</f>
        <v>9.5287500000000005</v>
      </c>
      <c r="E27" s="73">
        <f>B27</f>
        <v>78.75</v>
      </c>
      <c r="F27" s="121">
        <f>C27</f>
        <v>0.121</v>
      </c>
      <c r="G27" s="22">
        <f>E27*F27</f>
        <v>9.5287500000000005</v>
      </c>
      <c r="H27" s="22">
        <f t="shared" si="1"/>
        <v>0</v>
      </c>
      <c r="I27" s="23">
        <f>IF(ISERROR(H27/D27),0,(H27/D27))</f>
        <v>0</v>
      </c>
      <c r="J27" s="23">
        <f t="shared" ref="J27:J46" si="10">G27/$G$46</f>
        <v>5.1329895862276584E-2</v>
      </c>
      <c r="K27" s="108">
        <f t="shared" ref="K27:K41" si="11">G27/$G$51</f>
        <v>5.0519595906610176E-2</v>
      </c>
    </row>
    <row r="28" spans="1:11" s="1" customFormat="1" x14ac:dyDescent="0.2">
      <c r="A28" s="119" t="s">
        <v>74</v>
      </c>
      <c r="B28" s="120">
        <f>B8-B4</f>
        <v>78.75</v>
      </c>
      <c r="C28" s="121">
        <f>0.65*C15+0.17*C16+0.18*C17</f>
        <v>0.11139</v>
      </c>
      <c r="D28" s="22">
        <f>B28*C28</f>
        <v>8.7719625000000008</v>
      </c>
      <c r="E28" s="73">
        <f>B28</f>
        <v>78.75</v>
      </c>
      <c r="F28" s="121">
        <f>C28</f>
        <v>0.11139</v>
      </c>
      <c r="G28" s="22">
        <f>E28*F28</f>
        <v>8.7719625000000008</v>
      </c>
      <c r="H28" s="22">
        <f t="shared" si="1"/>
        <v>0</v>
      </c>
      <c r="I28" s="23">
        <f>IF(ISERROR(H28/D28),0,(H28/D28))</f>
        <v>0</v>
      </c>
      <c r="J28" s="23">
        <f t="shared" si="10"/>
        <v>4.7253199174371811E-2</v>
      </c>
      <c r="K28" s="108">
        <f t="shared" si="11"/>
        <v>4.6507254446589319E-2</v>
      </c>
    </row>
    <row r="29" spans="1:11" s="1" customFormat="1" x14ac:dyDescent="0.2">
      <c r="A29" s="110" t="s">
        <v>78</v>
      </c>
      <c r="B29" s="74"/>
      <c r="C29" s="35"/>
      <c r="D29" s="35">
        <f>SUM(D25,D26:D27)</f>
        <v>74.788428307903942</v>
      </c>
      <c r="E29" s="73"/>
      <c r="F29" s="35"/>
      <c r="G29" s="35">
        <f>SUM(G25,G26:G27)</f>
        <v>80.768428307903932</v>
      </c>
      <c r="H29" s="35">
        <f t="shared" si="1"/>
        <v>5.9799999999999898</v>
      </c>
      <c r="I29" s="36">
        <f>IF(ISERROR(H29/D29),0,(H29/D29))</f>
        <v>7.995889384625561E-2</v>
      </c>
      <c r="J29" s="36">
        <f t="shared" si="10"/>
        <v>0.43508697510213412</v>
      </c>
      <c r="K29" s="111">
        <f t="shared" si="11"/>
        <v>0.42821863939418292</v>
      </c>
    </row>
    <row r="30" spans="1:11" s="1" customFormat="1" x14ac:dyDescent="0.2">
      <c r="A30" s="110" t="s">
        <v>77</v>
      </c>
      <c r="B30" s="74"/>
      <c r="C30" s="35"/>
      <c r="D30" s="35">
        <f>SUM(D25,D26,D28)</f>
        <v>74.031640807903941</v>
      </c>
      <c r="E30" s="73"/>
      <c r="F30" s="35"/>
      <c r="G30" s="35">
        <f>SUM(G25,G26,G28)</f>
        <v>80.01164080790393</v>
      </c>
      <c r="H30" s="35">
        <f t="shared" si="1"/>
        <v>5.9799999999999898</v>
      </c>
      <c r="I30" s="36">
        <f>IF(ISERROR(H30/D30),0,(H30/D30))</f>
        <v>8.0776272614526995E-2</v>
      </c>
      <c r="J30" s="36">
        <f t="shared" si="10"/>
        <v>0.43101027841422934</v>
      </c>
      <c r="K30" s="111">
        <f t="shared" si="11"/>
        <v>0.42420629793416209</v>
      </c>
    </row>
    <row r="31" spans="1:11" x14ac:dyDescent="0.2">
      <c r="A31" s="107" t="s">
        <v>40</v>
      </c>
      <c r="B31" s="73">
        <f>B8</f>
        <v>828.75</v>
      </c>
      <c r="C31" s="126">
        <f>VLOOKUP($B$3,'Data for Bill Impacts'!$A$3:$Y$15,15,0)</f>
        <v>6.7400000000000003E-3</v>
      </c>
      <c r="D31" s="22">
        <f>B31*C31</f>
        <v>5.5857749999999999</v>
      </c>
      <c r="E31" s="73">
        <f t="shared" si="6"/>
        <v>828.75</v>
      </c>
      <c r="F31" s="78">
        <f>VLOOKUP($B$3,'Data for Bill Impacts'!$A$3:$Y$15,24,0)</f>
        <v>6.7999999999999996E-3</v>
      </c>
      <c r="G31" s="22">
        <f>E31*F31</f>
        <v>5.6354999999999995</v>
      </c>
      <c r="H31" s="22">
        <f t="shared" si="1"/>
        <v>4.9724999999999575E-2</v>
      </c>
      <c r="I31" s="23">
        <f t="shared" si="2"/>
        <v>8.9020771513352356E-3</v>
      </c>
      <c r="J31" s="23">
        <f t="shared" si="10"/>
        <v>3.0357562968055585E-2</v>
      </c>
      <c r="K31" s="108">
        <f t="shared" si="11"/>
        <v>2.987833480065083E-2</v>
      </c>
    </row>
    <row r="32" spans="1:11" x14ac:dyDescent="0.2">
      <c r="A32" s="107" t="s">
        <v>41</v>
      </c>
      <c r="B32" s="73">
        <f>B8</f>
        <v>828.75</v>
      </c>
      <c r="C32" s="126">
        <f>VLOOKUP($B$3,'Data for Bill Impacts'!$A$3:$Y$15,16,0)</f>
        <v>5.6299999999999996E-3</v>
      </c>
      <c r="D32" s="22">
        <f>B32*C32</f>
        <v>4.6658624999999994</v>
      </c>
      <c r="E32" s="73">
        <f t="shared" si="6"/>
        <v>828.75</v>
      </c>
      <c r="F32" s="78">
        <f>VLOOKUP($B$3,'Data for Bill Impacts'!$A$3:$Y$15,25,0)</f>
        <v>5.4999999999999997E-3</v>
      </c>
      <c r="G32" s="22">
        <f>E32*F32</f>
        <v>4.5581249999999995</v>
      </c>
      <c r="H32" s="22">
        <f t="shared" si="1"/>
        <v>-0.10773749999999982</v>
      </c>
      <c r="I32" s="23">
        <f t="shared" si="2"/>
        <v>-2.3090586145648278E-2</v>
      </c>
      <c r="J32" s="23">
        <f t="shared" si="10"/>
        <v>2.4553911224162603E-2</v>
      </c>
      <c r="K32" s="108">
        <f t="shared" si="11"/>
        <v>2.416630020640876E-2</v>
      </c>
    </row>
    <row r="33" spans="1:11" s="1" customFormat="1" x14ac:dyDescent="0.2">
      <c r="A33" s="110" t="s">
        <v>76</v>
      </c>
      <c r="B33" s="74"/>
      <c r="C33" s="35"/>
      <c r="D33" s="35">
        <f>SUM(D31:D32)</f>
        <v>10.251637499999999</v>
      </c>
      <c r="E33" s="73"/>
      <c r="F33" s="35"/>
      <c r="G33" s="35">
        <f>SUM(G31:G32)</f>
        <v>10.193624999999999</v>
      </c>
      <c r="H33" s="35">
        <f t="shared" si="1"/>
        <v>-5.8012500000000244E-2</v>
      </c>
      <c r="I33" s="36">
        <f t="shared" si="2"/>
        <v>-5.6588520614389891E-3</v>
      </c>
      <c r="J33" s="36">
        <f t="shared" si="10"/>
        <v>5.4911474192218188E-2</v>
      </c>
      <c r="K33" s="111">
        <f t="shared" si="11"/>
        <v>5.404463500705959E-2</v>
      </c>
    </row>
    <row r="34" spans="1:11" s="1" customFormat="1" x14ac:dyDescent="0.2">
      <c r="A34" s="110" t="s">
        <v>95</v>
      </c>
      <c r="B34" s="74"/>
      <c r="C34" s="35"/>
      <c r="D34" s="35">
        <f>D29+D33</f>
        <v>85.040065807903943</v>
      </c>
      <c r="E34" s="73"/>
      <c r="F34" s="35"/>
      <c r="G34" s="35">
        <f>G29+G33</f>
        <v>90.962053307903929</v>
      </c>
      <c r="H34" s="35">
        <f t="shared" si="1"/>
        <v>5.921987499999986</v>
      </c>
      <c r="I34" s="36">
        <f t="shared" si="2"/>
        <v>6.9637616619172157E-2</v>
      </c>
      <c r="J34" s="36">
        <f t="shared" si="10"/>
        <v>0.48999844929435232</v>
      </c>
      <c r="K34" s="111">
        <f t="shared" si="11"/>
        <v>0.4822632744012425</v>
      </c>
    </row>
    <row r="35" spans="1:11" s="1" customFormat="1" x14ac:dyDescent="0.2">
      <c r="A35" s="110" t="s">
        <v>96</v>
      </c>
      <c r="B35" s="74"/>
      <c r="C35" s="35"/>
      <c r="D35" s="35">
        <f>D30+D33</f>
        <v>84.283278307903942</v>
      </c>
      <c r="E35" s="73"/>
      <c r="F35" s="35"/>
      <c r="G35" s="35">
        <f>G30+G33</f>
        <v>90.205265807903928</v>
      </c>
      <c r="H35" s="35">
        <f t="shared" si="1"/>
        <v>5.921987499999986</v>
      </c>
      <c r="I35" s="36">
        <f t="shared" si="2"/>
        <v>7.0262899342450377E-2</v>
      </c>
      <c r="J35" s="36">
        <f t="shared" si="10"/>
        <v>0.48592175260644754</v>
      </c>
      <c r="K35" s="111">
        <f t="shared" si="11"/>
        <v>0.47825093294122167</v>
      </c>
    </row>
    <row r="36" spans="1:11" x14ac:dyDescent="0.2">
      <c r="A36" s="107" t="s">
        <v>42</v>
      </c>
      <c r="B36" s="73">
        <f>B8</f>
        <v>828.75</v>
      </c>
      <c r="C36" s="34">
        <v>3.5999999999999999E-3</v>
      </c>
      <c r="D36" s="22">
        <f>B36*C36</f>
        <v>2.9834999999999998</v>
      </c>
      <c r="E36" s="73">
        <f t="shared" si="6"/>
        <v>828.75</v>
      </c>
      <c r="F36" s="34">
        <v>3.5999999999999999E-3</v>
      </c>
      <c r="G36" s="22">
        <f>E36*F36</f>
        <v>2.9834999999999998</v>
      </c>
      <c r="H36" s="22">
        <f t="shared" si="1"/>
        <v>0</v>
      </c>
      <c r="I36" s="23">
        <f t="shared" si="2"/>
        <v>0</v>
      </c>
      <c r="J36" s="23">
        <f t="shared" si="10"/>
        <v>1.607165098308825E-2</v>
      </c>
      <c r="K36" s="108">
        <f t="shared" si="11"/>
        <v>1.5817941953285734E-2</v>
      </c>
    </row>
    <row r="37" spans="1:11" x14ac:dyDescent="0.2">
      <c r="A37" s="107" t="s">
        <v>43</v>
      </c>
      <c r="B37" s="73">
        <f>B8</f>
        <v>828.75</v>
      </c>
      <c r="C37" s="34">
        <v>2.0999999999999999E-3</v>
      </c>
      <c r="D37" s="22">
        <f>B37*C37</f>
        <v>1.7403749999999998</v>
      </c>
      <c r="E37" s="73">
        <f t="shared" si="6"/>
        <v>828.75</v>
      </c>
      <c r="F37" s="34">
        <v>2.0999999999999999E-3</v>
      </c>
      <c r="G37" s="22">
        <f>E37*F37</f>
        <v>1.7403749999999998</v>
      </c>
      <c r="H37" s="22">
        <f>G37-D37</f>
        <v>0</v>
      </c>
      <c r="I37" s="23">
        <f t="shared" si="2"/>
        <v>0</v>
      </c>
      <c r="J37" s="23">
        <f t="shared" si="10"/>
        <v>9.3751297401348122E-3</v>
      </c>
      <c r="K37" s="108">
        <f t="shared" si="11"/>
        <v>9.2271328060833449E-3</v>
      </c>
    </row>
    <row r="38" spans="1:11" x14ac:dyDescent="0.2">
      <c r="A38" s="107" t="s">
        <v>100</v>
      </c>
      <c r="B38" s="73">
        <f>B8</f>
        <v>828.75</v>
      </c>
      <c r="C38" s="34">
        <v>1.1000000000000001E-3</v>
      </c>
      <c r="D38" s="22">
        <f>B38*C38</f>
        <v>0.91162500000000002</v>
      </c>
      <c r="E38" s="73">
        <f t="shared" si="6"/>
        <v>828.75</v>
      </c>
      <c r="F38" s="34">
        <v>1.1000000000000001E-3</v>
      </c>
      <c r="G38" s="22">
        <f>E38*F38</f>
        <v>0.91162500000000002</v>
      </c>
      <c r="H38" s="22">
        <f>G38-D38</f>
        <v>0</v>
      </c>
      <c r="I38" s="23">
        <f t="shared" ref="I38" si="12">IF(ISERROR(H38/D38),0,(H38/D38))</f>
        <v>0</v>
      </c>
      <c r="J38" s="23">
        <f t="shared" ref="J38" si="13">G38/$G$46</f>
        <v>4.9107822448325213E-3</v>
      </c>
      <c r="K38" s="108">
        <f t="shared" ref="K38" si="14">G38/$G$51</f>
        <v>4.833260041281753E-3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10"/>
        <v>1.3467111599705255E-3</v>
      </c>
      <c r="K39" s="108">
        <f t="shared" si="11"/>
        <v>1.3254518144197869E-3</v>
      </c>
    </row>
    <row r="40" spans="1:11" s="1" customFormat="1" x14ac:dyDescent="0.2">
      <c r="A40" s="110" t="s">
        <v>45</v>
      </c>
      <c r="B40" s="74"/>
      <c r="C40" s="35"/>
      <c r="D40" s="35">
        <f>SUM(D36:D39)</f>
        <v>5.8854999999999995</v>
      </c>
      <c r="E40" s="73"/>
      <c r="F40" s="35"/>
      <c r="G40" s="35">
        <f>SUM(G36:G39)</f>
        <v>5.8854999999999995</v>
      </c>
      <c r="H40" s="35">
        <f t="shared" si="1"/>
        <v>0</v>
      </c>
      <c r="I40" s="36">
        <f t="shared" si="2"/>
        <v>0</v>
      </c>
      <c r="J40" s="36">
        <f t="shared" si="10"/>
        <v>3.1704274128026108E-2</v>
      </c>
      <c r="K40" s="111">
        <f t="shared" si="11"/>
        <v>3.1203786615070617E-2</v>
      </c>
    </row>
    <row r="41" spans="1:11" s="1" customFormat="1" ht="13.5" thickBot="1" x14ac:dyDescent="0.25">
      <c r="A41" s="112" t="s">
        <v>46</v>
      </c>
      <c r="B41" s="113">
        <f>B4</f>
        <v>750</v>
      </c>
      <c r="C41" s="114">
        <v>0</v>
      </c>
      <c r="D41" s="115">
        <f>B41*C41</f>
        <v>0</v>
      </c>
      <c r="E41" s="116">
        <f t="shared" si="6"/>
        <v>750</v>
      </c>
      <c r="F41" s="114">
        <f>C41</f>
        <v>0</v>
      </c>
      <c r="G41" s="115">
        <f>E41*F41</f>
        <v>0</v>
      </c>
      <c r="H41" s="115">
        <f t="shared" si="1"/>
        <v>0</v>
      </c>
      <c r="I41" s="117">
        <f t="shared" si="2"/>
        <v>0</v>
      </c>
      <c r="J41" s="117">
        <f t="shared" si="10"/>
        <v>0</v>
      </c>
      <c r="K41" s="118">
        <f t="shared" si="11"/>
        <v>0</v>
      </c>
    </row>
    <row r="42" spans="1:11" s="1" customFormat="1" x14ac:dyDescent="0.2">
      <c r="A42" s="37" t="s">
        <v>137</v>
      </c>
      <c r="B42" s="38"/>
      <c r="C42" s="39"/>
      <c r="D42" s="39">
        <f>SUM(D14,D25,D26,D27,D33,D40,D41)</f>
        <v>170.87556580790391</v>
      </c>
      <c r="E42" s="38"/>
      <c r="F42" s="39"/>
      <c r="G42" s="39">
        <f>SUM(G14,G25,G26,G27,G33,G40,G41)</f>
        <v>176.79755330790391</v>
      </c>
      <c r="H42" s="39">
        <f t="shared" si="1"/>
        <v>5.9219875000000002</v>
      </c>
      <c r="I42" s="40">
        <f>IF(ISERROR(H42/D42),0,(H42/D42))</f>
        <v>3.4656725038484562E-2</v>
      </c>
      <c r="J42" s="40">
        <f t="shared" si="10"/>
        <v>0.95238095238095244</v>
      </c>
      <c r="K42" s="41"/>
    </row>
    <row r="43" spans="1:11" x14ac:dyDescent="0.2">
      <c r="A43" s="150" t="s">
        <v>138</v>
      </c>
      <c r="B43" s="43"/>
      <c r="C43" s="26">
        <v>0.13</v>
      </c>
      <c r="D43" s="26">
        <f>D42*C43</f>
        <v>22.21382355502751</v>
      </c>
      <c r="E43" s="26"/>
      <c r="F43" s="26">
        <f>C43</f>
        <v>0.13</v>
      </c>
      <c r="G43" s="26">
        <f>G42*F43</f>
        <v>22.983681930027508</v>
      </c>
      <c r="H43" s="26">
        <f t="shared" si="1"/>
        <v>0.76985837499999832</v>
      </c>
      <c r="I43" s="44">
        <f t="shared" si="2"/>
        <v>3.4656725038484486E-2</v>
      </c>
      <c r="J43" s="44">
        <f t="shared" si="10"/>
        <v>0.12380952380952381</v>
      </c>
      <c r="K43" s="45"/>
    </row>
    <row r="44" spans="1:11" s="1" customFormat="1" x14ac:dyDescent="0.2">
      <c r="A44" s="46" t="s">
        <v>139</v>
      </c>
      <c r="B44" s="24"/>
      <c r="C44" s="25"/>
      <c r="D44" s="25">
        <f>SUM(D42:D43)</f>
        <v>193.08938936293143</v>
      </c>
      <c r="E44" s="25"/>
      <c r="F44" s="25"/>
      <c r="G44" s="25">
        <f>SUM(G42:G43)</f>
        <v>199.78123523793141</v>
      </c>
      <c r="H44" s="25">
        <f t="shared" si="1"/>
        <v>6.6918458749999843</v>
      </c>
      <c r="I44" s="27">
        <f t="shared" si="2"/>
        <v>3.4656725038484479E-2</v>
      </c>
      <c r="J44" s="27">
        <f t="shared" si="10"/>
        <v>1.0761904761904761</v>
      </c>
      <c r="K44" s="47"/>
    </row>
    <row r="45" spans="1:11" x14ac:dyDescent="0.2">
      <c r="A45" s="42" t="s">
        <v>140</v>
      </c>
      <c r="B45" s="43"/>
      <c r="C45" s="26">
        <v>-0.08</v>
      </c>
      <c r="D45" s="26">
        <f>D42*C45</f>
        <v>-13.670045264632313</v>
      </c>
      <c r="E45" s="26"/>
      <c r="F45" s="26">
        <f>C45</f>
        <v>-0.08</v>
      </c>
      <c r="G45" s="26">
        <f>G42*F45</f>
        <v>-14.143804264632314</v>
      </c>
      <c r="H45" s="26">
        <f t="shared" si="1"/>
        <v>-0.47375900000000115</v>
      </c>
      <c r="I45" s="44">
        <f t="shared" si="2"/>
        <v>3.4656725038484645E-2</v>
      </c>
      <c r="J45" s="44">
        <f t="shared" si="10"/>
        <v>-7.6190476190476197E-2</v>
      </c>
      <c r="K45" s="45"/>
    </row>
    <row r="46" spans="1:11" s="1" customFormat="1" ht="13.5" thickBot="1" x14ac:dyDescent="0.25">
      <c r="A46" s="48" t="s">
        <v>141</v>
      </c>
      <c r="B46" s="49"/>
      <c r="C46" s="50"/>
      <c r="D46" s="50">
        <f>SUM(D44:D45)</f>
        <v>179.41934409829912</v>
      </c>
      <c r="E46" s="50"/>
      <c r="F46" s="50"/>
      <c r="G46" s="50">
        <f>SUM(G44:G45)</f>
        <v>185.6374309732991</v>
      </c>
      <c r="H46" s="50">
        <f t="shared" si="1"/>
        <v>6.2180868749999831</v>
      </c>
      <c r="I46" s="51">
        <f t="shared" si="2"/>
        <v>3.4656725038484465E-2</v>
      </c>
      <c r="J46" s="51">
        <f t="shared" si="10"/>
        <v>1</v>
      </c>
      <c r="K46" s="52"/>
    </row>
    <row r="47" spans="1:11" x14ac:dyDescent="0.2">
      <c r="A47" s="53" t="s">
        <v>142</v>
      </c>
      <c r="B47" s="54"/>
      <c r="C47" s="55"/>
      <c r="D47" s="55">
        <f>SUM(D18,D25,D26,D28,D33,D40,D41)</f>
        <v>173.71127830790391</v>
      </c>
      <c r="E47" s="55"/>
      <c r="F47" s="55"/>
      <c r="G47" s="55">
        <f>SUM(G18,G25,G26,G28,G33,G40,G41)</f>
        <v>179.63326580790391</v>
      </c>
      <c r="H47" s="55">
        <f>G47-D47</f>
        <v>5.9219875000000002</v>
      </c>
      <c r="I47" s="56">
        <f>IF(ISERROR(H47/D47),0,(H47/D47))</f>
        <v>3.409097876479416E-2</v>
      </c>
      <c r="J47" s="56"/>
      <c r="K47" s="57">
        <f>G47/$G$51</f>
        <v>0.95238095238095233</v>
      </c>
    </row>
    <row r="48" spans="1:11" x14ac:dyDescent="0.2">
      <c r="A48" s="58" t="s">
        <v>138</v>
      </c>
      <c r="B48" s="59"/>
      <c r="C48" s="31">
        <v>0.13</v>
      </c>
      <c r="D48" s="31">
        <f>D47*C48</f>
        <v>22.582466180027509</v>
      </c>
      <c r="E48" s="31"/>
      <c r="F48" s="31">
        <f>C48</f>
        <v>0.13</v>
      </c>
      <c r="G48" s="31">
        <f>G47*F48</f>
        <v>23.352324555027508</v>
      </c>
      <c r="H48" s="31">
        <f>G48-D48</f>
        <v>0.76985837499999832</v>
      </c>
      <c r="I48" s="32">
        <f>IF(ISERROR(H48/D48),0,(H48/D48))</f>
        <v>3.4090978764794083E-2</v>
      </c>
      <c r="J48" s="32"/>
      <c r="K48" s="60">
        <f>G48/$G$51</f>
        <v>0.1238095238095238</v>
      </c>
    </row>
    <row r="49" spans="1:11" x14ac:dyDescent="0.2">
      <c r="A49" s="61" t="s">
        <v>143</v>
      </c>
      <c r="B49" s="29"/>
      <c r="C49" s="30"/>
      <c r="D49" s="30">
        <f>SUM(D47:D48)</f>
        <v>196.29374448793141</v>
      </c>
      <c r="E49" s="30"/>
      <c r="F49" s="30"/>
      <c r="G49" s="30">
        <f>SUM(G47:G48)</f>
        <v>202.98559036293142</v>
      </c>
      <c r="H49" s="30">
        <f>G49-D49</f>
        <v>6.6918458750000127</v>
      </c>
      <c r="I49" s="33">
        <f>IF(ISERROR(H49/D49),0,(H49/D49))</f>
        <v>3.4090978764794222E-2</v>
      </c>
      <c r="J49" s="33"/>
      <c r="K49" s="62">
        <f>G49/$G$51</f>
        <v>1.0761904761904761</v>
      </c>
    </row>
    <row r="50" spans="1:11" x14ac:dyDescent="0.2">
      <c r="A50" s="58" t="s">
        <v>140</v>
      </c>
      <c r="B50" s="59"/>
      <c r="C50" s="31">
        <v>-0.08</v>
      </c>
      <c r="D50" s="31">
        <f>D47*C50</f>
        <v>-13.896902264632313</v>
      </c>
      <c r="E50" s="31"/>
      <c r="F50" s="31">
        <f>C50</f>
        <v>-0.08</v>
      </c>
      <c r="G50" s="31">
        <f>G47*F50</f>
        <v>-14.370661264632313</v>
      </c>
      <c r="H50" s="31">
        <f>G50-D50</f>
        <v>-0.47375899999999938</v>
      </c>
      <c r="I50" s="32">
        <f>IF(ISERROR(H50/D50),0,(H50/D50))</f>
        <v>3.4090978764794111E-2</v>
      </c>
      <c r="J50" s="32"/>
      <c r="K50" s="60">
        <f>G50/$G$51</f>
        <v>-7.6190476190476183E-2</v>
      </c>
    </row>
    <row r="51" spans="1:11" ht="13.5" thickBot="1" x14ac:dyDescent="0.25">
      <c r="A51" s="63" t="s">
        <v>144</v>
      </c>
      <c r="B51" s="64"/>
      <c r="C51" s="65"/>
      <c r="D51" s="65">
        <f>SUM(D49:D50)</f>
        <v>182.3968422232991</v>
      </c>
      <c r="E51" s="65"/>
      <c r="F51" s="65"/>
      <c r="G51" s="65">
        <f>SUM(G49:G50)</f>
        <v>188.61492909829911</v>
      </c>
      <c r="H51" s="65">
        <f>G51-D51</f>
        <v>6.2180868750000116</v>
      </c>
      <c r="I51" s="66">
        <f>IF(ISERROR(H51/D51),0,(H51/D51))</f>
        <v>3.4090978764794222E-2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c r="K64"/>
    </row>
    <row r="65" spans="6:11" x14ac:dyDescent="0.2">
      <c r="F65" s="69"/>
      <c r="K65"/>
    </row>
    <row r="66" spans="6:11" x14ac:dyDescent="0.2">
      <c r="F66" s="69"/>
      <c r="K66"/>
    </row>
    <row r="67" spans="6:11" x14ac:dyDescent="0.2">
      <c r="F67" s="69"/>
      <c r="K67"/>
    </row>
    <row r="68" spans="6:11" x14ac:dyDescent="0.2">
      <c r="F68" s="69"/>
      <c r="K68"/>
    </row>
  </sheetData>
  <mergeCells count="1">
    <mergeCell ref="A1:K1"/>
  </mergeCell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5">
    <tabColor theme="1" tint="0.499984740745262"/>
    <pageSetUpPr fitToPage="1"/>
  </sheetPr>
  <dimension ref="A1:K68"/>
  <sheetViews>
    <sheetView view="pageBreakPreview" topLeftCell="A19" zoomScale="60" zoomScaleNormal="100" workbookViewId="0">
      <selection activeCell="C19" sqref="C19"/>
    </sheetView>
  </sheetViews>
  <sheetFormatPr defaultRowHeight="12.75" x14ac:dyDescent="0.2"/>
  <cols>
    <col min="1" max="1" width="68.140625" bestFit="1" customWidth="1"/>
    <col min="2" max="2" width="15.5703125" bestFit="1" customWidth="1"/>
    <col min="3" max="3" width="10.5703125" customWidth="1"/>
    <col min="4" max="4" width="21.285156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48" t="s">
        <v>112</v>
      </c>
      <c r="B1" s="349"/>
      <c r="C1" s="349"/>
      <c r="D1" s="349"/>
      <c r="E1" s="349"/>
      <c r="F1" s="349"/>
      <c r="G1" s="349"/>
      <c r="H1" s="349"/>
      <c r="I1" s="349"/>
      <c r="J1" s="349"/>
      <c r="K1" s="350"/>
    </row>
    <row r="3" spans="1:11" x14ac:dyDescent="0.2">
      <c r="A3" s="13" t="s">
        <v>13</v>
      </c>
      <c r="B3" s="13" t="s">
        <v>2</v>
      </c>
    </row>
    <row r="4" spans="1:11" x14ac:dyDescent="0.2">
      <c r="A4" s="15" t="s">
        <v>62</v>
      </c>
      <c r="B4" s="79">
        <f>'Data for Bill Impacts_HONI Avg '!C5</f>
        <v>1152</v>
      </c>
    </row>
    <row r="5" spans="1:11" x14ac:dyDescent="0.2">
      <c r="A5" s="15" t="s">
        <v>16</v>
      </c>
      <c r="B5" s="15">
        <f>VLOOKUP($B$3,'Data for Bill Impacts'!$A$3:$Y$15,5,0)</f>
        <v>0</v>
      </c>
    </row>
    <row r="6" spans="1:11" x14ac:dyDescent="0.2">
      <c r="A6" s="15" t="s">
        <v>20</v>
      </c>
      <c r="B6" s="15">
        <f>VLOOKUP($B$3,'Data for Bill Impacts'!$A$3:$Y$15,2,0)</f>
        <v>1.105</v>
      </c>
    </row>
    <row r="7" spans="1:11" x14ac:dyDescent="0.2">
      <c r="A7" s="15" t="s">
        <v>15</v>
      </c>
      <c r="B7" s="15">
        <f>VLOOKUP($B$3,'Data for Bill Impacts'!$A$3:$Y$15,4,0)</f>
        <v>600</v>
      </c>
    </row>
    <row r="8" spans="1:11" x14ac:dyDescent="0.2">
      <c r="A8" s="15" t="s">
        <v>82</v>
      </c>
      <c r="B8" s="193">
        <f>B4*B6</f>
        <v>1272.96</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0.10299999999999999</v>
      </c>
      <c r="D12" s="104">
        <f>B12*C12</f>
        <v>61.8</v>
      </c>
      <c r="E12" s="102">
        <f>B12</f>
        <v>600</v>
      </c>
      <c r="F12" s="103">
        <f>C12</f>
        <v>0.10299999999999999</v>
      </c>
      <c r="G12" s="104">
        <f>E12*F12</f>
        <v>61.8</v>
      </c>
      <c r="H12" s="104">
        <f>G12-D12</f>
        <v>0</v>
      </c>
      <c r="I12" s="105">
        <f>IF(ISERROR(H12/D12),0,(H12/D12))</f>
        <v>0</v>
      </c>
      <c r="J12" s="105">
        <f>G12/$G$46</f>
        <v>0.23814169662329876</v>
      </c>
      <c r="K12" s="106"/>
    </row>
    <row r="13" spans="1:11" x14ac:dyDescent="0.2">
      <c r="A13" s="107" t="s">
        <v>32</v>
      </c>
      <c r="B13" s="73">
        <f>IF(B4&gt;B7,(B4)-B7,0)</f>
        <v>552</v>
      </c>
      <c r="C13" s="21">
        <v>0.121</v>
      </c>
      <c r="D13" s="22">
        <f>B13*C13</f>
        <v>66.792000000000002</v>
      </c>
      <c r="E13" s="73">
        <f t="shared" ref="E13" si="0">B13</f>
        <v>552</v>
      </c>
      <c r="F13" s="21">
        <f>C13</f>
        <v>0.121</v>
      </c>
      <c r="G13" s="22">
        <f>E13*F13</f>
        <v>66.792000000000002</v>
      </c>
      <c r="H13" s="22">
        <f t="shared" ref="H13:H46" si="1">G13-D13</f>
        <v>0</v>
      </c>
      <c r="I13" s="23">
        <f t="shared" ref="I13:I46" si="2">IF(ISERROR(H13/D13),0,(H13/D13))</f>
        <v>0</v>
      </c>
      <c r="J13" s="23">
        <f>G13/$G$46</f>
        <v>0.25737799677772444</v>
      </c>
      <c r="K13" s="108"/>
    </row>
    <row r="14" spans="1:11" s="1" customFormat="1" x14ac:dyDescent="0.2">
      <c r="A14" s="46" t="s">
        <v>33</v>
      </c>
      <c r="B14" s="24"/>
      <c r="C14" s="25"/>
      <c r="D14" s="25">
        <f>SUM(D12:D13)</f>
        <v>128.59199999999998</v>
      </c>
      <c r="E14" s="76"/>
      <c r="F14" s="25"/>
      <c r="G14" s="25">
        <f>SUM(G12:G13)</f>
        <v>128.59199999999998</v>
      </c>
      <c r="H14" s="25">
        <f t="shared" si="1"/>
        <v>0</v>
      </c>
      <c r="I14" s="27">
        <f t="shared" si="2"/>
        <v>0</v>
      </c>
      <c r="J14" s="27">
        <f>G14/$G$46</f>
        <v>0.49551969340102314</v>
      </c>
      <c r="K14" s="108"/>
    </row>
    <row r="15" spans="1:11" s="1" customFormat="1" x14ac:dyDescent="0.2">
      <c r="A15" s="109" t="s">
        <v>34</v>
      </c>
      <c r="B15" s="75">
        <f>B4*0.65</f>
        <v>748.80000000000007</v>
      </c>
      <c r="C15" s="28">
        <v>8.6999999999999994E-2</v>
      </c>
      <c r="D15" s="22">
        <f>B15*C15</f>
        <v>65.145600000000002</v>
      </c>
      <c r="E15" s="73">
        <f t="shared" ref="E15:F17" si="3">B15</f>
        <v>748.80000000000007</v>
      </c>
      <c r="F15" s="28">
        <f t="shared" si="3"/>
        <v>8.6999999999999994E-2</v>
      </c>
      <c r="G15" s="22">
        <f>E15*F15</f>
        <v>65.145600000000002</v>
      </c>
      <c r="H15" s="22">
        <f t="shared" si="1"/>
        <v>0</v>
      </c>
      <c r="I15" s="23">
        <f t="shared" si="2"/>
        <v>0</v>
      </c>
      <c r="J15" s="23"/>
      <c r="K15" s="108">
        <f t="shared" ref="K15:K26" si="4">G15/$G$51</f>
        <v>0.25249786268823027</v>
      </c>
    </row>
    <row r="16" spans="1:11" s="1" customFormat="1" x14ac:dyDescent="0.2">
      <c r="A16" s="109" t="s">
        <v>35</v>
      </c>
      <c r="B16" s="75">
        <f>B4*0.17</f>
        <v>195.84</v>
      </c>
      <c r="C16" s="28">
        <v>0.13200000000000001</v>
      </c>
      <c r="D16" s="22">
        <f>B16*C16</f>
        <v>25.85088</v>
      </c>
      <c r="E16" s="73">
        <f t="shared" si="3"/>
        <v>195.84</v>
      </c>
      <c r="F16" s="28">
        <f t="shared" si="3"/>
        <v>0.13200000000000001</v>
      </c>
      <c r="G16" s="22">
        <f>E16*F16</f>
        <v>25.85088</v>
      </c>
      <c r="H16" s="22">
        <f t="shared" si="1"/>
        <v>0</v>
      </c>
      <c r="I16" s="23">
        <f t="shared" si="2"/>
        <v>0</v>
      </c>
      <c r="J16" s="23"/>
      <c r="K16" s="108">
        <f t="shared" si="4"/>
        <v>0.10019543835055504</v>
      </c>
    </row>
    <row r="17" spans="1:11" s="1" customFormat="1" x14ac:dyDescent="0.2">
      <c r="A17" s="109" t="s">
        <v>36</v>
      </c>
      <c r="B17" s="75">
        <f>B4*0.18</f>
        <v>207.35999999999999</v>
      </c>
      <c r="C17" s="28">
        <v>0.18</v>
      </c>
      <c r="D17" s="22">
        <f>B17*C17</f>
        <v>37.324799999999996</v>
      </c>
      <c r="E17" s="73">
        <f t="shared" si="3"/>
        <v>207.35999999999999</v>
      </c>
      <c r="F17" s="28">
        <f t="shared" si="3"/>
        <v>0.18</v>
      </c>
      <c r="G17" s="22">
        <f>E17*F17</f>
        <v>37.324799999999996</v>
      </c>
      <c r="H17" s="22">
        <f t="shared" si="1"/>
        <v>0</v>
      </c>
      <c r="I17" s="23">
        <f t="shared" si="2"/>
        <v>0</v>
      </c>
      <c r="J17" s="23"/>
      <c r="K17" s="108">
        <f t="shared" si="4"/>
        <v>0.14466721045267303</v>
      </c>
    </row>
    <row r="18" spans="1:11" s="1" customFormat="1" x14ac:dyDescent="0.2">
      <c r="A18" s="61" t="s">
        <v>37</v>
      </c>
      <c r="B18" s="29"/>
      <c r="C18" s="30"/>
      <c r="D18" s="30">
        <f>SUM(D15:D17)</f>
        <v>128.32128</v>
      </c>
      <c r="E18" s="77"/>
      <c r="F18" s="30"/>
      <c r="G18" s="30">
        <f>SUM(G15:G17)</f>
        <v>128.32128</v>
      </c>
      <c r="H18" s="31">
        <f t="shared" si="1"/>
        <v>0</v>
      </c>
      <c r="I18" s="32">
        <f t="shared" si="2"/>
        <v>0</v>
      </c>
      <c r="J18" s="33">
        <f t="shared" ref="J18:J23" si="5">G18/$G$46</f>
        <v>0.49447649404649474</v>
      </c>
      <c r="K18" s="62">
        <f t="shared" si="4"/>
        <v>0.49736051149145838</v>
      </c>
    </row>
    <row r="19" spans="1:11" x14ac:dyDescent="0.2">
      <c r="A19" s="107" t="s">
        <v>38</v>
      </c>
      <c r="B19" s="73">
        <v>1</v>
      </c>
      <c r="C19" s="122">
        <f>VLOOKUP($B$3,'Data for Bill Impacts'!$A$3:$Y$15,7,0)</f>
        <v>44.23967830790393</v>
      </c>
      <c r="D19" s="22">
        <f>B19*C19</f>
        <v>44.23967830790393</v>
      </c>
      <c r="E19" s="73">
        <f t="shared" ref="E19:E41" si="6">B19</f>
        <v>1</v>
      </c>
      <c r="F19" s="122">
        <f>VLOOKUP($B$3,'Data for Bill Impacts'!$A$3:$Y$15,17,0)</f>
        <v>55.319678307903928</v>
      </c>
      <c r="G19" s="22">
        <f>E19*F19</f>
        <v>55.319678307903928</v>
      </c>
      <c r="H19" s="22">
        <f t="shared" si="1"/>
        <v>11.079999999999998</v>
      </c>
      <c r="I19" s="23">
        <f t="shared" si="2"/>
        <v>0.25045390074684221</v>
      </c>
      <c r="J19" s="23">
        <f t="shared" si="5"/>
        <v>0.21317025969092782</v>
      </c>
      <c r="K19" s="108">
        <f t="shared" si="4"/>
        <v>0.21441356802832726</v>
      </c>
    </row>
    <row r="20" spans="1:11" hidden="1" x14ac:dyDescent="0.2">
      <c r="A20" s="107" t="s">
        <v>83</v>
      </c>
      <c r="B20" s="73">
        <v>1</v>
      </c>
      <c r="C20" s="78">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145</v>
      </c>
      <c r="B21" s="73">
        <v>1</v>
      </c>
      <c r="C21" s="78">
        <v>0</v>
      </c>
      <c r="D21" s="22">
        <f t="shared" ref="D21:D22" si="8">B21*C21</f>
        <v>0</v>
      </c>
      <c r="E21" s="73">
        <f t="shared" si="6"/>
        <v>1</v>
      </c>
      <c r="F21" s="122">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-0.02</v>
      </c>
      <c r="D22" s="22">
        <f t="shared" si="8"/>
        <v>-0.02</v>
      </c>
      <c r="E22" s="73">
        <f t="shared" si="6"/>
        <v>1</v>
      </c>
      <c r="F22" s="122">
        <f>VLOOKUP($B$3,'Data for Bill Impacts'!$A$3:$Y$15,22,0)</f>
        <v>-0.02</v>
      </c>
      <c r="G22" s="22">
        <f t="shared" si="7"/>
        <v>-0.02</v>
      </c>
      <c r="H22" s="22">
        <f t="shared" si="1"/>
        <v>0</v>
      </c>
      <c r="I22" s="23">
        <f t="shared" si="2"/>
        <v>0</v>
      </c>
      <c r="J22" s="23">
        <f t="shared" si="5"/>
        <v>-7.7068510234077267E-5</v>
      </c>
      <c r="K22" s="108">
        <f t="shared" si="4"/>
        <v>-7.7518009716152821E-5</v>
      </c>
    </row>
    <row r="23" spans="1:11" x14ac:dyDescent="0.2">
      <c r="A23" s="107" t="s">
        <v>39</v>
      </c>
      <c r="B23" s="73">
        <f>IF($B$9="kWh",$B$4,$B$5)</f>
        <v>1152</v>
      </c>
      <c r="C23" s="126">
        <f>VLOOKUP($B$3,'Data for Bill Impacts'!$A$3:$Y$15,10,0)</f>
        <v>2.6800000000000001E-2</v>
      </c>
      <c r="D23" s="22">
        <f>B23*C23</f>
        <v>30.8736</v>
      </c>
      <c r="E23" s="73">
        <f t="shared" si="6"/>
        <v>1152</v>
      </c>
      <c r="F23" s="78">
        <f>VLOOKUP($B$3,'Data for Bill Impacts'!$A$3:$Y$15,19,0)</f>
        <v>0.02</v>
      </c>
      <c r="G23" s="22">
        <f>E23*F23</f>
        <v>23.04</v>
      </c>
      <c r="H23" s="22">
        <f t="shared" si="1"/>
        <v>-7.8336000000000006</v>
      </c>
      <c r="I23" s="23">
        <f t="shared" si="2"/>
        <v>-0.2537313432835821</v>
      </c>
      <c r="J23" s="23">
        <f t="shared" si="5"/>
        <v>8.8782923789657006E-2</v>
      </c>
      <c r="K23" s="108">
        <f t="shared" si="4"/>
        <v>8.9300747193008054E-2</v>
      </c>
    </row>
    <row r="24" spans="1:11" x14ac:dyDescent="0.2">
      <c r="A24" s="107" t="s">
        <v>194</v>
      </c>
      <c r="B24" s="73">
        <f>IF($B$9="kWh",$B$4,$B$5)</f>
        <v>1152</v>
      </c>
      <c r="C24" s="126">
        <f>VLOOKUP($B$3,'Data for Bill Impacts'!$A$3:$Y$15,14,0)</f>
        <v>2.0000000000000001E-4</v>
      </c>
      <c r="D24" s="22">
        <f>B24*C24</f>
        <v>0.23040000000000002</v>
      </c>
      <c r="E24" s="73">
        <f t="shared" si="6"/>
        <v>1152</v>
      </c>
      <c r="F24" s="126">
        <f>VLOOKUP($B$3,'Data for Bill Impacts'!$A$3:$Y$15,23,0)</f>
        <v>2.0000000000000001E-4</v>
      </c>
      <c r="G24" s="22">
        <f>E24*F24</f>
        <v>0.23040000000000002</v>
      </c>
      <c r="H24" s="22">
        <f t="shared" si="1"/>
        <v>0</v>
      </c>
      <c r="I24" s="23">
        <f>IF(ISERROR(H24/D24),0,(H24/D24))</f>
        <v>0</v>
      </c>
      <c r="J24" s="23">
        <f t="shared" ref="J24" si="9">G24/$G$46</f>
        <v>8.878292378965702E-4</v>
      </c>
      <c r="K24" s="108">
        <f t="shared" si="4"/>
        <v>8.9300747193008065E-4</v>
      </c>
    </row>
    <row r="25" spans="1:11" s="1" customFormat="1" x14ac:dyDescent="0.2">
      <c r="A25" s="110" t="s">
        <v>72</v>
      </c>
      <c r="B25" s="74"/>
      <c r="C25" s="35"/>
      <c r="D25" s="35">
        <f>SUM(D19:D24)</f>
        <v>75.323678307903933</v>
      </c>
      <c r="E25" s="73"/>
      <c r="F25" s="35"/>
      <c r="G25" s="35">
        <f>SUM(G19:G24)</f>
        <v>78.570078307903927</v>
      </c>
      <c r="H25" s="35">
        <f t="shared" si="1"/>
        <v>3.2463999999999942</v>
      </c>
      <c r="I25" s="36">
        <f t="shared" si="2"/>
        <v>4.3099329094491927E-2</v>
      </c>
      <c r="J25" s="36">
        <f>G25/$G$46</f>
        <v>0.30276394420824732</v>
      </c>
      <c r="K25" s="111">
        <f t="shared" si="4"/>
        <v>0.30452980468354923</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G26/$G$46</f>
        <v>3.0442061542460524E-3</v>
      </c>
      <c r="K26" s="108">
        <f t="shared" si="4"/>
        <v>3.0619613837880367E-3</v>
      </c>
    </row>
    <row r="27" spans="1:11" s="1" customFormat="1" x14ac:dyDescent="0.2">
      <c r="A27" s="119" t="s">
        <v>75</v>
      </c>
      <c r="B27" s="120">
        <f>B8-B4</f>
        <v>120.96000000000004</v>
      </c>
      <c r="C27" s="121">
        <f>IF(B4&gt;B7,C13,C12)</f>
        <v>0.121</v>
      </c>
      <c r="D27" s="22">
        <f>B27*C27</f>
        <v>14.636160000000004</v>
      </c>
      <c r="E27" s="73">
        <f>B27</f>
        <v>120.96000000000004</v>
      </c>
      <c r="F27" s="121">
        <f>C27</f>
        <v>0.121</v>
      </c>
      <c r="G27" s="22">
        <f>E27*F27</f>
        <v>14.636160000000004</v>
      </c>
      <c r="H27" s="22">
        <f t="shared" si="1"/>
        <v>0</v>
      </c>
      <c r="I27" s="23">
        <f>IF(ISERROR(H27/D27),0,(H27/D27))</f>
        <v>0</v>
      </c>
      <c r="J27" s="23">
        <f t="shared" ref="J27:J46" si="10">G27/$G$46</f>
        <v>5.6399352337379631E-2</v>
      </c>
      <c r="K27" s="108">
        <f t="shared" ref="K27:K41" si="11">G27/$G$51</f>
        <v>5.6728299654358383E-2</v>
      </c>
    </row>
    <row r="28" spans="1:11" s="1" customFormat="1" x14ac:dyDescent="0.2">
      <c r="A28" s="119" t="s">
        <v>74</v>
      </c>
      <c r="B28" s="120">
        <f>B8-B4</f>
        <v>120.96000000000004</v>
      </c>
      <c r="C28" s="121">
        <f>0.65*C15+0.17*C16+0.18*C17</f>
        <v>0.11139</v>
      </c>
      <c r="D28" s="22">
        <f>B28*C28</f>
        <v>13.473734400000005</v>
      </c>
      <c r="E28" s="73">
        <f>B28</f>
        <v>120.96000000000004</v>
      </c>
      <c r="F28" s="121">
        <f>C28</f>
        <v>0.11139</v>
      </c>
      <c r="G28" s="22">
        <f>E28*F28</f>
        <v>13.473734400000005</v>
      </c>
      <c r="H28" s="22">
        <f t="shared" si="1"/>
        <v>0</v>
      </c>
      <c r="I28" s="23">
        <f>IF(ISERROR(H28/D28),0,(H28/D28))</f>
        <v>0</v>
      </c>
      <c r="J28" s="23">
        <f t="shared" si="10"/>
        <v>5.1920031874881964E-2</v>
      </c>
      <c r="K28" s="108">
        <f t="shared" si="11"/>
        <v>5.2222853706603144E-2</v>
      </c>
    </row>
    <row r="29" spans="1:11" s="1" customFormat="1" x14ac:dyDescent="0.2">
      <c r="A29" s="110" t="s">
        <v>78</v>
      </c>
      <c r="B29" s="74"/>
      <c r="C29" s="35"/>
      <c r="D29" s="35">
        <f>SUM(D25,D26:D27)</f>
        <v>90.749838307903943</v>
      </c>
      <c r="E29" s="73"/>
      <c r="F29" s="35"/>
      <c r="G29" s="35">
        <f>SUM(G25,G26:G27)</f>
        <v>93.996238307903937</v>
      </c>
      <c r="H29" s="35">
        <f t="shared" si="1"/>
        <v>3.2463999999999942</v>
      </c>
      <c r="I29" s="36">
        <f>IF(ISERROR(H29/D29),0,(H29/D29))</f>
        <v>3.5773066492805483E-2</v>
      </c>
      <c r="J29" s="36">
        <f t="shared" si="10"/>
        <v>0.36220750269987301</v>
      </c>
      <c r="K29" s="111">
        <f t="shared" si="11"/>
        <v>0.36432006572169567</v>
      </c>
    </row>
    <row r="30" spans="1:11" s="1" customFormat="1" x14ac:dyDescent="0.2">
      <c r="A30" s="110" t="s">
        <v>77</v>
      </c>
      <c r="B30" s="74"/>
      <c r="C30" s="35"/>
      <c r="D30" s="35">
        <f>SUM(D25,D26,D28)</f>
        <v>89.587412707903951</v>
      </c>
      <c r="E30" s="73"/>
      <c r="F30" s="35"/>
      <c r="G30" s="35">
        <f>SUM(G25,G26,G28)</f>
        <v>92.833812707903945</v>
      </c>
      <c r="H30" s="35">
        <f t="shared" si="1"/>
        <v>3.2463999999999942</v>
      </c>
      <c r="I30" s="36">
        <f>IF(ISERROR(H30/D30),0,(H30/D30))</f>
        <v>3.6237233578613852E-2</v>
      </c>
      <c r="J30" s="36">
        <f t="shared" si="10"/>
        <v>0.3577281822373754</v>
      </c>
      <c r="K30" s="111">
        <f t="shared" si="11"/>
        <v>0.35981461977394047</v>
      </c>
    </row>
    <row r="31" spans="1:11" x14ac:dyDescent="0.2">
      <c r="A31" s="107" t="s">
        <v>40</v>
      </c>
      <c r="B31" s="73">
        <f>B8</f>
        <v>1272.96</v>
      </c>
      <c r="C31" s="126">
        <f>VLOOKUP($B$3,'Data for Bill Impacts'!$A$3:$Y$15,15,0)</f>
        <v>6.7400000000000003E-3</v>
      </c>
      <c r="D31" s="22">
        <f>B31*C31</f>
        <v>8.5797504</v>
      </c>
      <c r="E31" s="73">
        <f t="shared" si="6"/>
        <v>1272.96</v>
      </c>
      <c r="F31" s="78">
        <f>VLOOKUP($B$3,'Data for Bill Impacts'!$A$3:$Y$15,24,0)</f>
        <v>6.7999999999999996E-3</v>
      </c>
      <c r="G31" s="22">
        <f>E31*F31</f>
        <v>8.6561279999999989</v>
      </c>
      <c r="H31" s="22">
        <f t="shared" si="1"/>
        <v>7.6377599999998935E-2</v>
      </c>
      <c r="I31" s="23">
        <f t="shared" si="2"/>
        <v>8.902077151335187E-3</v>
      </c>
      <c r="J31" s="23">
        <f t="shared" si="10"/>
        <v>3.3355744467774139E-2</v>
      </c>
      <c r="K31" s="108">
        <f t="shared" si="11"/>
        <v>3.3550290720413121E-2</v>
      </c>
    </row>
    <row r="32" spans="1:11" x14ac:dyDescent="0.2">
      <c r="A32" s="107" t="s">
        <v>41</v>
      </c>
      <c r="B32" s="73">
        <f>B8</f>
        <v>1272.96</v>
      </c>
      <c r="C32" s="126">
        <f>VLOOKUP($B$3,'Data for Bill Impacts'!$A$3:$Y$15,16,0)</f>
        <v>5.6299999999999996E-3</v>
      </c>
      <c r="D32" s="22">
        <f>B32*C32</f>
        <v>7.1667647999999993</v>
      </c>
      <c r="E32" s="73">
        <f t="shared" si="6"/>
        <v>1272.96</v>
      </c>
      <c r="F32" s="78">
        <f>VLOOKUP($B$3,'Data for Bill Impacts'!$A$3:$Y$15,25,0)</f>
        <v>5.4999999999999997E-3</v>
      </c>
      <c r="G32" s="22">
        <f>E32*F32</f>
        <v>7.0012799999999995</v>
      </c>
      <c r="H32" s="22">
        <f t="shared" si="1"/>
        <v>-0.16548479999999977</v>
      </c>
      <c r="I32" s="23">
        <f t="shared" si="2"/>
        <v>-2.3090586145648281E-2</v>
      </c>
      <c r="J32" s="23">
        <f t="shared" si="10"/>
        <v>2.6978910966582025E-2</v>
      </c>
      <c r="K32" s="108">
        <f t="shared" si="11"/>
        <v>2.7136264553275322E-2</v>
      </c>
    </row>
    <row r="33" spans="1:11" s="1" customFormat="1" x14ac:dyDescent="0.2">
      <c r="A33" s="110" t="s">
        <v>76</v>
      </c>
      <c r="B33" s="74"/>
      <c r="C33" s="35"/>
      <c r="D33" s="35">
        <f>SUM(D31:D32)</f>
        <v>15.746515199999999</v>
      </c>
      <c r="E33" s="73"/>
      <c r="F33" s="35"/>
      <c r="G33" s="35">
        <f>SUM(G31:G32)</f>
        <v>15.657407999999998</v>
      </c>
      <c r="H33" s="35">
        <f t="shared" si="1"/>
        <v>-8.910720000000083E-2</v>
      </c>
      <c r="I33" s="36">
        <f t="shared" si="2"/>
        <v>-5.6588520614390186E-3</v>
      </c>
      <c r="J33" s="36">
        <f t="shared" si="10"/>
        <v>6.0334655434356156E-2</v>
      </c>
      <c r="K33" s="111">
        <f t="shared" si="11"/>
        <v>6.0686555273688443E-2</v>
      </c>
    </row>
    <row r="34" spans="1:11" s="1" customFormat="1" x14ac:dyDescent="0.2">
      <c r="A34" s="110" t="s">
        <v>95</v>
      </c>
      <c r="B34" s="74"/>
      <c r="C34" s="35"/>
      <c r="D34" s="35">
        <f>D29+D33</f>
        <v>106.49635350790395</v>
      </c>
      <c r="E34" s="73"/>
      <c r="F34" s="35"/>
      <c r="G34" s="35">
        <f>G29+G33</f>
        <v>109.65364630790394</v>
      </c>
      <c r="H34" s="35">
        <f t="shared" si="1"/>
        <v>3.1572927999999933</v>
      </c>
      <c r="I34" s="36">
        <f t="shared" si="2"/>
        <v>2.9646956876938187E-2</v>
      </c>
      <c r="J34" s="36">
        <f t="shared" si="10"/>
        <v>0.42254215813422918</v>
      </c>
      <c r="K34" s="111">
        <f t="shared" si="11"/>
        <v>0.42500662099538417</v>
      </c>
    </row>
    <row r="35" spans="1:11" s="1" customFormat="1" x14ac:dyDescent="0.2">
      <c r="A35" s="110" t="s">
        <v>96</v>
      </c>
      <c r="B35" s="74"/>
      <c r="C35" s="35"/>
      <c r="D35" s="35">
        <f>D30+D33</f>
        <v>105.33392790790396</v>
      </c>
      <c r="E35" s="73"/>
      <c r="F35" s="35"/>
      <c r="G35" s="35">
        <f>G30+G33</f>
        <v>108.49122070790395</v>
      </c>
      <c r="H35" s="35">
        <f t="shared" si="1"/>
        <v>3.1572927999999933</v>
      </c>
      <c r="I35" s="36">
        <f t="shared" si="2"/>
        <v>2.9974129539349297E-2</v>
      </c>
      <c r="J35" s="36">
        <f t="shared" si="10"/>
        <v>0.41806283767173158</v>
      </c>
      <c r="K35" s="111">
        <f t="shared" si="11"/>
        <v>0.42050117504762896</v>
      </c>
    </row>
    <row r="36" spans="1:11" x14ac:dyDescent="0.2">
      <c r="A36" s="107" t="s">
        <v>42</v>
      </c>
      <c r="B36" s="73">
        <f>B8</f>
        <v>1272.96</v>
      </c>
      <c r="C36" s="34">
        <v>3.5999999999999999E-3</v>
      </c>
      <c r="D36" s="22">
        <f>B36*C36</f>
        <v>4.5826560000000001</v>
      </c>
      <c r="E36" s="73">
        <f t="shared" si="6"/>
        <v>1272.96</v>
      </c>
      <c r="F36" s="34">
        <v>3.5999999999999999E-3</v>
      </c>
      <c r="G36" s="22">
        <f>E36*F36</f>
        <v>4.5826560000000001</v>
      </c>
      <c r="H36" s="22">
        <f t="shared" si="1"/>
        <v>0</v>
      </c>
      <c r="I36" s="23">
        <f t="shared" si="2"/>
        <v>0</v>
      </c>
      <c r="J36" s="23">
        <f t="shared" si="10"/>
        <v>1.765892354176278E-2</v>
      </c>
      <c r="K36" s="108">
        <f t="shared" si="11"/>
        <v>1.7761918616689302E-2</v>
      </c>
    </row>
    <row r="37" spans="1:11" x14ac:dyDescent="0.2">
      <c r="A37" s="107" t="s">
        <v>43</v>
      </c>
      <c r="B37" s="73">
        <f>B8</f>
        <v>1272.96</v>
      </c>
      <c r="C37" s="34">
        <v>2.0999999999999999E-3</v>
      </c>
      <c r="D37" s="22">
        <f>B37*C37</f>
        <v>2.673216</v>
      </c>
      <c r="E37" s="73">
        <f t="shared" si="6"/>
        <v>1272.96</v>
      </c>
      <c r="F37" s="34">
        <v>2.0999999999999999E-3</v>
      </c>
      <c r="G37" s="22">
        <f>E37*F37</f>
        <v>2.673216</v>
      </c>
      <c r="H37" s="22">
        <f>G37-D37</f>
        <v>0</v>
      </c>
      <c r="I37" s="23">
        <f t="shared" si="2"/>
        <v>0</v>
      </c>
      <c r="J37" s="23">
        <f t="shared" si="10"/>
        <v>1.0301038732694955E-2</v>
      </c>
      <c r="K37" s="108">
        <f t="shared" si="11"/>
        <v>1.0361119193068759E-2</v>
      </c>
    </row>
    <row r="38" spans="1:11" x14ac:dyDescent="0.2">
      <c r="A38" s="107" t="s">
        <v>100</v>
      </c>
      <c r="B38" s="73">
        <f>B8</f>
        <v>1272.96</v>
      </c>
      <c r="C38" s="34">
        <v>1.1000000000000001E-3</v>
      </c>
      <c r="D38" s="22">
        <f>B38*C38</f>
        <v>1.4002560000000002</v>
      </c>
      <c r="E38" s="73">
        <f t="shared" si="6"/>
        <v>1272.96</v>
      </c>
      <c r="F38" s="34">
        <v>1.1000000000000001E-3</v>
      </c>
      <c r="G38" s="22">
        <f>E38*F38</f>
        <v>1.4002560000000002</v>
      </c>
      <c r="H38" s="22">
        <f>G38-D38</f>
        <v>0</v>
      </c>
      <c r="I38" s="23">
        <f t="shared" si="2"/>
        <v>0</v>
      </c>
      <c r="J38" s="23">
        <f t="shared" si="10"/>
        <v>5.3957821933164054E-3</v>
      </c>
      <c r="K38" s="108">
        <f t="shared" si="11"/>
        <v>5.4272529106550648E-3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10"/>
        <v>9.6335637792596587E-4</v>
      </c>
      <c r="K39" s="108">
        <f t="shared" si="11"/>
        <v>9.6897512145191034E-4</v>
      </c>
    </row>
    <row r="40" spans="1:11" s="1" customFormat="1" x14ac:dyDescent="0.2">
      <c r="A40" s="110" t="s">
        <v>45</v>
      </c>
      <c r="B40" s="74"/>
      <c r="C40" s="35"/>
      <c r="D40" s="35">
        <f>SUM(D36:D39)</f>
        <v>8.9061280000000007</v>
      </c>
      <c r="E40" s="73"/>
      <c r="F40" s="35"/>
      <c r="G40" s="35">
        <f>SUM(G36:G39)</f>
        <v>8.9061280000000007</v>
      </c>
      <c r="H40" s="35">
        <f t="shared" si="1"/>
        <v>0</v>
      </c>
      <c r="I40" s="36">
        <f t="shared" si="2"/>
        <v>0</v>
      </c>
      <c r="J40" s="36">
        <f t="shared" si="10"/>
        <v>3.4319100845700105E-2</v>
      </c>
      <c r="K40" s="111">
        <f t="shared" si="11"/>
        <v>3.4519265841865036E-2</v>
      </c>
    </row>
    <row r="41" spans="1:11" s="1" customFormat="1" ht="13.5" thickBot="1" x14ac:dyDescent="0.25">
      <c r="A41" s="112" t="s">
        <v>46</v>
      </c>
      <c r="B41" s="113">
        <f>B4</f>
        <v>1152</v>
      </c>
      <c r="C41" s="114">
        <v>0</v>
      </c>
      <c r="D41" s="115">
        <f>B41*C41</f>
        <v>0</v>
      </c>
      <c r="E41" s="116">
        <f t="shared" si="6"/>
        <v>1152</v>
      </c>
      <c r="F41" s="114">
        <f>C41</f>
        <v>0</v>
      </c>
      <c r="G41" s="115">
        <f>E41*F41</f>
        <v>0</v>
      </c>
      <c r="H41" s="115">
        <f t="shared" si="1"/>
        <v>0</v>
      </c>
      <c r="I41" s="117">
        <f t="shared" si="2"/>
        <v>0</v>
      </c>
      <c r="J41" s="117">
        <f t="shared" si="10"/>
        <v>0</v>
      </c>
      <c r="K41" s="118">
        <f t="shared" si="11"/>
        <v>0</v>
      </c>
    </row>
    <row r="42" spans="1:11" s="1" customFormat="1" x14ac:dyDescent="0.2">
      <c r="A42" s="37" t="s">
        <v>137</v>
      </c>
      <c r="B42" s="38"/>
      <c r="C42" s="39"/>
      <c r="D42" s="39">
        <f>SUM(D14,D25,D26,D27,D33,D40,D41)</f>
        <v>243.99448150790391</v>
      </c>
      <c r="E42" s="38"/>
      <c r="F42" s="39"/>
      <c r="G42" s="39">
        <f>SUM(G14,G25,G26,G27,G33,G40,G41)</f>
        <v>247.15177430790391</v>
      </c>
      <c r="H42" s="39">
        <f t="shared" si="1"/>
        <v>3.1572927999999933</v>
      </c>
      <c r="I42" s="40">
        <f>IF(ISERROR(H42/D42),0,(H42/D42))</f>
        <v>1.2940017251569342E-2</v>
      </c>
      <c r="J42" s="40">
        <f t="shared" si="10"/>
        <v>0.95238095238095233</v>
      </c>
      <c r="K42" s="41"/>
    </row>
    <row r="43" spans="1:11" x14ac:dyDescent="0.2">
      <c r="A43" s="150" t="s">
        <v>138</v>
      </c>
      <c r="B43" s="43"/>
      <c r="C43" s="26">
        <v>0.13</v>
      </c>
      <c r="D43" s="26">
        <f>D42*C43</f>
        <v>31.719282596027512</v>
      </c>
      <c r="E43" s="26"/>
      <c r="F43" s="26">
        <f>C43</f>
        <v>0.13</v>
      </c>
      <c r="G43" s="26">
        <f>G42*F43</f>
        <v>32.129730660027512</v>
      </c>
      <c r="H43" s="26">
        <f t="shared" si="1"/>
        <v>0.41044806400000056</v>
      </c>
      <c r="I43" s="44">
        <f t="shared" si="2"/>
        <v>1.2940017251569385E-2</v>
      </c>
      <c r="J43" s="44">
        <f t="shared" si="10"/>
        <v>0.12380952380952383</v>
      </c>
      <c r="K43" s="45"/>
    </row>
    <row r="44" spans="1:11" s="1" customFormat="1" x14ac:dyDescent="0.2">
      <c r="A44" s="46" t="s">
        <v>139</v>
      </c>
      <c r="B44" s="24"/>
      <c r="C44" s="25"/>
      <c r="D44" s="25">
        <f>SUM(D42:D43)</f>
        <v>275.71376410393145</v>
      </c>
      <c r="E44" s="25"/>
      <c r="F44" s="25"/>
      <c r="G44" s="25">
        <f>SUM(G42:G43)</f>
        <v>279.28150496793143</v>
      </c>
      <c r="H44" s="25">
        <f t="shared" si="1"/>
        <v>3.5677408639999726</v>
      </c>
      <c r="I44" s="27">
        <f t="shared" si="2"/>
        <v>1.2940017251569269E-2</v>
      </c>
      <c r="J44" s="27">
        <f t="shared" si="10"/>
        <v>1.0761904761904761</v>
      </c>
      <c r="K44" s="47"/>
    </row>
    <row r="45" spans="1:11" x14ac:dyDescent="0.2">
      <c r="A45" s="42" t="s">
        <v>140</v>
      </c>
      <c r="B45" s="43"/>
      <c r="C45" s="26">
        <v>-0.08</v>
      </c>
      <c r="D45" s="26">
        <f>D42*C45</f>
        <v>-19.519558520632312</v>
      </c>
      <c r="E45" s="26"/>
      <c r="F45" s="26">
        <f>C45</f>
        <v>-0.08</v>
      </c>
      <c r="G45" s="26">
        <f>G42*F45</f>
        <v>-19.772141944632313</v>
      </c>
      <c r="H45" s="26">
        <f t="shared" si="1"/>
        <v>-0.25258342400000089</v>
      </c>
      <c r="I45" s="44">
        <f t="shared" si="2"/>
        <v>1.2940017251569414E-2</v>
      </c>
      <c r="J45" s="44">
        <f t="shared" si="10"/>
        <v>-7.6190476190476197E-2</v>
      </c>
      <c r="K45" s="45"/>
    </row>
    <row r="46" spans="1:11" s="1" customFormat="1" ht="13.5" thickBot="1" x14ac:dyDescent="0.25">
      <c r="A46" s="48" t="s">
        <v>141</v>
      </c>
      <c r="B46" s="49"/>
      <c r="C46" s="50"/>
      <c r="D46" s="50">
        <f>SUM(D44:D45)</f>
        <v>256.19420558329915</v>
      </c>
      <c r="E46" s="50"/>
      <c r="F46" s="50"/>
      <c r="G46" s="50">
        <f>SUM(G44:G45)</f>
        <v>259.5093630232991</v>
      </c>
      <c r="H46" s="50">
        <f t="shared" si="1"/>
        <v>3.3151574399999504</v>
      </c>
      <c r="I46" s="51">
        <f t="shared" si="2"/>
        <v>1.2940017251569173E-2</v>
      </c>
      <c r="J46" s="51">
        <f t="shared" si="10"/>
        <v>1</v>
      </c>
      <c r="K46" s="52"/>
    </row>
    <row r="47" spans="1:11" x14ac:dyDescent="0.2">
      <c r="A47" s="53" t="s">
        <v>142</v>
      </c>
      <c r="B47" s="54"/>
      <c r="C47" s="55"/>
      <c r="D47" s="55">
        <f>SUM(D18,D25,D26,D28,D33,D40,D41)</f>
        <v>242.56133590790395</v>
      </c>
      <c r="E47" s="55"/>
      <c r="F47" s="55"/>
      <c r="G47" s="55">
        <f>SUM(G18,G25,G26,G28,G33,G40,G41)</f>
        <v>245.71862870790395</v>
      </c>
      <c r="H47" s="55">
        <f>G47-D47</f>
        <v>3.1572927999999933</v>
      </c>
      <c r="I47" s="56">
        <f>IF(ISERROR(H47/D47),0,(H47/D47))</f>
        <v>1.3016471846934248E-2</v>
      </c>
      <c r="J47" s="56"/>
      <c r="K47" s="57">
        <f>G47/$G$51</f>
        <v>0.95238095238095233</v>
      </c>
    </row>
    <row r="48" spans="1:11" x14ac:dyDescent="0.2">
      <c r="A48" s="58" t="s">
        <v>138</v>
      </c>
      <c r="B48" s="59"/>
      <c r="C48" s="31">
        <v>0.13</v>
      </c>
      <c r="D48" s="31">
        <f>D47*C48</f>
        <v>31.532973668027516</v>
      </c>
      <c r="E48" s="31"/>
      <c r="F48" s="31">
        <f>C48</f>
        <v>0.13</v>
      </c>
      <c r="G48" s="31">
        <f>G47*F48</f>
        <v>31.943421732027513</v>
      </c>
      <c r="H48" s="31">
        <f>G48-D48</f>
        <v>0.410448063999997</v>
      </c>
      <c r="I48" s="32">
        <f>IF(ISERROR(H48/D48),0,(H48/D48))</f>
        <v>1.3016471846934181E-2</v>
      </c>
      <c r="J48" s="32"/>
      <c r="K48" s="60">
        <f>G48/$G$51</f>
        <v>0.1238095238095238</v>
      </c>
    </row>
    <row r="49" spans="1:11" x14ac:dyDescent="0.2">
      <c r="A49" s="61" t="s">
        <v>143</v>
      </c>
      <c r="B49" s="29"/>
      <c r="C49" s="30"/>
      <c r="D49" s="30">
        <f>SUM(D47:D48)</f>
        <v>274.09430957593145</v>
      </c>
      <c r="E49" s="30"/>
      <c r="F49" s="30"/>
      <c r="G49" s="30">
        <f>SUM(G47:G48)</f>
        <v>277.66205043993148</v>
      </c>
      <c r="H49" s="30">
        <f>G49-D49</f>
        <v>3.5677408640000294</v>
      </c>
      <c r="I49" s="33">
        <f>IF(ISERROR(H49/D49),0,(H49/D49))</f>
        <v>1.3016471846934385E-2</v>
      </c>
      <c r="J49" s="33"/>
      <c r="K49" s="62">
        <f>G49/$G$51</f>
        <v>1.0761904761904761</v>
      </c>
    </row>
    <row r="50" spans="1:11" x14ac:dyDescent="0.2">
      <c r="A50" s="58" t="s">
        <v>140</v>
      </c>
      <c r="B50" s="59"/>
      <c r="C50" s="31">
        <v>-0.08</v>
      </c>
      <c r="D50" s="31">
        <f>D47*C50</f>
        <v>-19.404906872632317</v>
      </c>
      <c r="E50" s="31"/>
      <c r="F50" s="31">
        <f>C50</f>
        <v>-0.08</v>
      </c>
      <c r="G50" s="31">
        <f>G47*F50</f>
        <v>-19.657490296632314</v>
      </c>
      <c r="H50" s="31">
        <f>G50-D50</f>
        <v>-0.25258342399999734</v>
      </c>
      <c r="I50" s="32">
        <f>IF(ISERROR(H50/D50),0,(H50/D50))</f>
        <v>1.3016471846934139E-2</v>
      </c>
      <c r="J50" s="32"/>
      <c r="K50" s="60">
        <f>G50/$G$51</f>
        <v>-7.6190476190476183E-2</v>
      </c>
    </row>
    <row r="51" spans="1:11" ht="13.5" thickBot="1" x14ac:dyDescent="0.25">
      <c r="A51" s="63" t="s">
        <v>144</v>
      </c>
      <c r="B51" s="64"/>
      <c r="C51" s="65"/>
      <c r="D51" s="65">
        <f>SUM(D49:D50)</f>
        <v>254.68940270329912</v>
      </c>
      <c r="E51" s="65"/>
      <c r="F51" s="65"/>
      <c r="G51" s="65">
        <f>SUM(G49:G50)</f>
        <v>258.00456014329916</v>
      </c>
      <c r="H51" s="65">
        <f>G51-D51</f>
        <v>3.3151574400000356</v>
      </c>
      <c r="I51" s="66">
        <f>IF(ISERROR(H51/D51),0,(H51/D51))</f>
        <v>1.3016471846934418E-2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c r="K64"/>
    </row>
    <row r="65" spans="6:11" x14ac:dyDescent="0.2">
      <c r="F65" s="69"/>
      <c r="K65"/>
    </row>
    <row r="66" spans="6:11" x14ac:dyDescent="0.2">
      <c r="F66" s="69"/>
      <c r="K66"/>
    </row>
    <row r="67" spans="6:11" x14ac:dyDescent="0.2">
      <c r="F67" s="69"/>
      <c r="K67"/>
    </row>
    <row r="68" spans="6:11" x14ac:dyDescent="0.2">
      <c r="F68" s="69"/>
      <c r="K68"/>
    </row>
  </sheetData>
  <mergeCells count="1">
    <mergeCell ref="A1:K1"/>
  </mergeCell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1" tint="0.499984740745262"/>
    <pageSetUpPr fitToPage="1"/>
  </sheetPr>
  <dimension ref="A1:K68"/>
  <sheetViews>
    <sheetView view="pageBreakPreview" topLeftCell="A19" zoomScaleNormal="100" zoomScaleSheetLayoutView="100" workbookViewId="0">
      <selection activeCell="C19" sqref="C19"/>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48" t="s">
        <v>111</v>
      </c>
      <c r="B1" s="349"/>
      <c r="C1" s="349"/>
      <c r="D1" s="349"/>
      <c r="E1" s="349"/>
      <c r="F1" s="349"/>
      <c r="G1" s="349"/>
      <c r="H1" s="349"/>
      <c r="I1" s="349"/>
      <c r="J1" s="349"/>
      <c r="K1" s="350"/>
    </row>
    <row r="3" spans="1:11" x14ac:dyDescent="0.2">
      <c r="A3" s="13" t="s">
        <v>13</v>
      </c>
      <c r="B3" s="13" t="s">
        <v>2</v>
      </c>
    </row>
    <row r="4" spans="1:11" x14ac:dyDescent="0.2">
      <c r="A4" s="15" t="s">
        <v>62</v>
      </c>
      <c r="B4" s="15">
        <v>2300</v>
      </c>
    </row>
    <row r="5" spans="1:11" x14ac:dyDescent="0.2">
      <c r="A5" s="15" t="s">
        <v>16</v>
      </c>
      <c r="B5" s="15">
        <f>VLOOKUP($B$3,'Data for Bill Impacts'!$A$3:$Y$15,5,0)</f>
        <v>0</v>
      </c>
    </row>
    <row r="6" spans="1:11" x14ac:dyDescent="0.2">
      <c r="A6" s="15" t="s">
        <v>20</v>
      </c>
      <c r="B6" s="15">
        <f>VLOOKUP($B$3,'Data for Bill Impacts'!$A$3:$Y$15,2,0)</f>
        <v>1.105</v>
      </c>
    </row>
    <row r="7" spans="1:11" x14ac:dyDescent="0.2">
      <c r="A7" s="15" t="s">
        <v>15</v>
      </c>
      <c r="B7" s="15">
        <f>VLOOKUP($B$3,'Data for Bill Impacts'!$A$3:$Y$15,4,0)</f>
        <v>600</v>
      </c>
    </row>
    <row r="8" spans="1:11" x14ac:dyDescent="0.2">
      <c r="A8" s="15" t="s">
        <v>82</v>
      </c>
      <c r="B8" s="193">
        <f>B4*B6</f>
        <v>2541.5</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0.10299999999999999</v>
      </c>
      <c r="D12" s="104">
        <f>B12*C12</f>
        <v>61.8</v>
      </c>
      <c r="E12" s="102">
        <f>B12</f>
        <v>600</v>
      </c>
      <c r="F12" s="103">
        <f>C12</f>
        <v>0.10299999999999999</v>
      </c>
      <c r="G12" s="104">
        <f>E12*F12</f>
        <v>61.8</v>
      </c>
      <c r="H12" s="104">
        <f>G12-D12</f>
        <v>0</v>
      </c>
      <c r="I12" s="105">
        <f>IF(ISERROR(H12/D12),0,(H12/D12))</f>
        <v>0</v>
      </c>
      <c r="J12" s="105">
        <f>G12/$G$46</f>
        <v>0.13135883581456378</v>
      </c>
      <c r="K12" s="106"/>
    </row>
    <row r="13" spans="1:11" x14ac:dyDescent="0.2">
      <c r="A13" s="107" t="s">
        <v>32</v>
      </c>
      <c r="B13" s="73">
        <f>IF(B4&gt;B7,(B4)-B7,0)</f>
        <v>1700</v>
      </c>
      <c r="C13" s="21">
        <v>0.121</v>
      </c>
      <c r="D13" s="22">
        <f>B13*C13</f>
        <v>205.7</v>
      </c>
      <c r="E13" s="73">
        <f t="shared" ref="E13" si="0">B13</f>
        <v>1700</v>
      </c>
      <c r="F13" s="21">
        <f>C13</f>
        <v>0.121</v>
      </c>
      <c r="G13" s="22">
        <f>E13*F13</f>
        <v>205.7</v>
      </c>
      <c r="H13" s="22">
        <f t="shared" ref="H13:H46" si="1">G13-D13</f>
        <v>0</v>
      </c>
      <c r="I13" s="23">
        <f t="shared" ref="I13:I46" si="2">IF(ISERROR(H13/D13),0,(H13/D13))</f>
        <v>0</v>
      </c>
      <c r="J13" s="23">
        <f>G13/$G$46</f>
        <v>0.43722512179701895</v>
      </c>
      <c r="K13" s="108"/>
    </row>
    <row r="14" spans="1:11" s="1" customFormat="1" x14ac:dyDescent="0.2">
      <c r="A14" s="46" t="s">
        <v>33</v>
      </c>
      <c r="B14" s="24"/>
      <c r="C14" s="25"/>
      <c r="D14" s="25">
        <f>SUM(D12:D13)</f>
        <v>267.5</v>
      </c>
      <c r="E14" s="76"/>
      <c r="F14" s="25"/>
      <c r="G14" s="25">
        <f>SUM(G12:G13)</f>
        <v>267.5</v>
      </c>
      <c r="H14" s="25">
        <f t="shared" si="1"/>
        <v>0</v>
      </c>
      <c r="I14" s="27">
        <f t="shared" si="2"/>
        <v>0</v>
      </c>
      <c r="J14" s="27">
        <f>G14/$G$46</f>
        <v>0.56858395761158276</v>
      </c>
      <c r="K14" s="108"/>
    </row>
    <row r="15" spans="1:11" s="1" customFormat="1" x14ac:dyDescent="0.2">
      <c r="A15" s="109" t="s">
        <v>34</v>
      </c>
      <c r="B15" s="75">
        <f>B4*0.65</f>
        <v>1495</v>
      </c>
      <c r="C15" s="28">
        <v>8.6999999999999994E-2</v>
      </c>
      <c r="D15" s="22">
        <f>B15*C15</f>
        <v>130.065</v>
      </c>
      <c r="E15" s="73">
        <f t="shared" ref="E15:F17" si="3">B15</f>
        <v>1495</v>
      </c>
      <c r="F15" s="28">
        <f t="shared" si="3"/>
        <v>8.6999999999999994E-2</v>
      </c>
      <c r="G15" s="22">
        <f>E15*F15</f>
        <v>130.065</v>
      </c>
      <c r="H15" s="22">
        <f t="shared" si="1"/>
        <v>0</v>
      </c>
      <c r="I15" s="23">
        <f t="shared" si="2"/>
        <v>0</v>
      </c>
      <c r="J15" s="23"/>
      <c r="K15" s="108">
        <f t="shared" ref="K15:K26" si="4">G15/$G$51</f>
        <v>0.28512895860638932</v>
      </c>
    </row>
    <row r="16" spans="1:11" s="1" customFormat="1" x14ac:dyDescent="0.2">
      <c r="A16" s="109" t="s">
        <v>35</v>
      </c>
      <c r="B16" s="75">
        <f>B4*0.17</f>
        <v>391</v>
      </c>
      <c r="C16" s="28">
        <v>0.13200000000000001</v>
      </c>
      <c r="D16" s="22">
        <f>B16*C16</f>
        <v>51.612000000000002</v>
      </c>
      <c r="E16" s="73">
        <f t="shared" si="3"/>
        <v>391</v>
      </c>
      <c r="F16" s="28">
        <f t="shared" si="3"/>
        <v>0.13200000000000001</v>
      </c>
      <c r="G16" s="22">
        <f>E16*F16</f>
        <v>51.612000000000002</v>
      </c>
      <c r="H16" s="22">
        <f t="shared" si="1"/>
        <v>0</v>
      </c>
      <c r="I16" s="23">
        <f t="shared" si="2"/>
        <v>0</v>
      </c>
      <c r="J16" s="23"/>
      <c r="K16" s="108">
        <f t="shared" si="4"/>
        <v>0.11314401116051949</v>
      </c>
    </row>
    <row r="17" spans="1:11" s="1" customFormat="1" x14ac:dyDescent="0.2">
      <c r="A17" s="109" t="s">
        <v>36</v>
      </c>
      <c r="B17" s="75">
        <f>B4*0.18</f>
        <v>414</v>
      </c>
      <c r="C17" s="28">
        <v>0.18</v>
      </c>
      <c r="D17" s="22">
        <f>B17*C17</f>
        <v>74.52</v>
      </c>
      <c r="E17" s="73">
        <f t="shared" si="3"/>
        <v>414</v>
      </c>
      <c r="F17" s="28">
        <f t="shared" si="3"/>
        <v>0.18</v>
      </c>
      <c r="G17" s="22">
        <f>E17*F17</f>
        <v>74.52</v>
      </c>
      <c r="H17" s="22">
        <f t="shared" si="1"/>
        <v>0</v>
      </c>
      <c r="I17" s="23">
        <f t="shared" si="2"/>
        <v>0</v>
      </c>
      <c r="J17" s="23"/>
      <c r="K17" s="108">
        <f t="shared" si="4"/>
        <v>0.16336301076652546</v>
      </c>
    </row>
    <row r="18" spans="1:11" s="1" customFormat="1" x14ac:dyDescent="0.2">
      <c r="A18" s="61" t="s">
        <v>37</v>
      </c>
      <c r="B18" s="29"/>
      <c r="C18" s="30"/>
      <c r="D18" s="30">
        <f>SUM(D15:D17)</f>
        <v>256.197</v>
      </c>
      <c r="E18" s="77"/>
      <c r="F18" s="30"/>
      <c r="G18" s="30">
        <f>SUM(G15:G17)</f>
        <v>256.197</v>
      </c>
      <c r="H18" s="31">
        <f t="shared" si="1"/>
        <v>0</v>
      </c>
      <c r="I18" s="32">
        <f t="shared" si="2"/>
        <v>0</v>
      </c>
      <c r="J18" s="33">
        <f t="shared" ref="J18:J23" si="5">G18/$G$46</f>
        <v>0.54455889416155023</v>
      </c>
      <c r="K18" s="62">
        <f t="shared" si="4"/>
        <v>0.56163598053343433</v>
      </c>
    </row>
    <row r="19" spans="1:11" x14ac:dyDescent="0.2">
      <c r="A19" s="107" t="s">
        <v>38</v>
      </c>
      <c r="B19" s="73">
        <v>1</v>
      </c>
      <c r="C19" s="122">
        <f>VLOOKUP($B$3,'Data for Bill Impacts'!$A$3:$Y$15,7,0)</f>
        <v>44.23967830790393</v>
      </c>
      <c r="D19" s="22">
        <f>B19*C19</f>
        <v>44.23967830790393</v>
      </c>
      <c r="E19" s="73">
        <f t="shared" ref="E19:E41" si="6">B19</f>
        <v>1</v>
      </c>
      <c r="F19" s="122">
        <f>VLOOKUP($B$3,'Data for Bill Impacts'!$A$3:$Y$15,17,0)</f>
        <v>55.319678307903928</v>
      </c>
      <c r="G19" s="22">
        <f>E19*F19</f>
        <v>55.319678307903928</v>
      </c>
      <c r="H19" s="22">
        <f t="shared" si="1"/>
        <v>11.079999999999998</v>
      </c>
      <c r="I19" s="23">
        <f t="shared" si="2"/>
        <v>0.25045390074684221</v>
      </c>
      <c r="J19" s="23">
        <f t="shared" si="5"/>
        <v>0.1175846042097482</v>
      </c>
      <c r="K19" s="108">
        <f t="shared" si="4"/>
        <v>0.1212719968198448</v>
      </c>
    </row>
    <row r="20" spans="1:11" hidden="1" x14ac:dyDescent="0.2">
      <c r="A20" s="107" t="s">
        <v>83</v>
      </c>
      <c r="B20" s="73">
        <v>1</v>
      </c>
      <c r="C20" s="78">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145</v>
      </c>
      <c r="B21" s="73">
        <v>1</v>
      </c>
      <c r="C21" s="78">
        <v>0</v>
      </c>
      <c r="D21" s="22">
        <f t="shared" ref="D21:D22" si="8">B21*C21</f>
        <v>0</v>
      </c>
      <c r="E21" s="73">
        <f t="shared" si="6"/>
        <v>1</v>
      </c>
      <c r="F21" s="122">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-0.02</v>
      </c>
      <c r="D22" s="22">
        <f t="shared" si="8"/>
        <v>-0.02</v>
      </c>
      <c r="E22" s="73">
        <f t="shared" si="6"/>
        <v>1</v>
      </c>
      <c r="F22" s="122">
        <f>VLOOKUP($B$3,'Data for Bill Impacts'!$A$3:$Y$15,22,0)</f>
        <v>-0.02</v>
      </c>
      <c r="G22" s="22">
        <f t="shared" si="7"/>
        <v>-0.02</v>
      </c>
      <c r="H22" s="22">
        <f t="shared" si="1"/>
        <v>0</v>
      </c>
      <c r="I22" s="23">
        <f t="shared" si="2"/>
        <v>0</v>
      </c>
      <c r="J22" s="23">
        <f t="shared" si="5"/>
        <v>-4.2510950101800584E-5</v>
      </c>
      <c r="K22" s="108">
        <f t="shared" si="4"/>
        <v>-4.3844071595954231E-5</v>
      </c>
    </row>
    <row r="23" spans="1:11" x14ac:dyDescent="0.2">
      <c r="A23" s="107" t="s">
        <v>39</v>
      </c>
      <c r="B23" s="73">
        <f>IF($B$9="kWh",$B$4,$B$5)</f>
        <v>2300</v>
      </c>
      <c r="C23" s="126">
        <f>VLOOKUP($B$3,'Data for Bill Impacts'!$A$3:$Y$15,10,0)</f>
        <v>2.6800000000000001E-2</v>
      </c>
      <c r="D23" s="22">
        <f>B23*C23</f>
        <v>61.64</v>
      </c>
      <c r="E23" s="73">
        <f t="shared" si="6"/>
        <v>2300</v>
      </c>
      <c r="F23" s="78">
        <f>VLOOKUP($B$3,'Data for Bill Impacts'!$A$3:$Y$15,19,0)</f>
        <v>0.02</v>
      </c>
      <c r="G23" s="22">
        <f>E23*F23</f>
        <v>46</v>
      </c>
      <c r="H23" s="22">
        <f t="shared" si="1"/>
        <v>-15.64</v>
      </c>
      <c r="I23" s="23">
        <f t="shared" si="2"/>
        <v>-0.2537313432835821</v>
      </c>
      <c r="J23" s="23">
        <f t="shared" si="5"/>
        <v>9.7775185234141346E-2</v>
      </c>
      <c r="K23" s="108">
        <f t="shared" si="4"/>
        <v>0.10084136467069472</v>
      </c>
    </row>
    <row r="24" spans="1:11" x14ac:dyDescent="0.2">
      <c r="A24" s="107" t="s">
        <v>194</v>
      </c>
      <c r="B24" s="73">
        <f>IF($B$9="kWh",$B$4,$B$5)</f>
        <v>2300</v>
      </c>
      <c r="C24" s="126">
        <f>VLOOKUP($B$3,'Data for Bill Impacts'!$A$3:$Y$15,14,0)</f>
        <v>2.0000000000000001E-4</v>
      </c>
      <c r="D24" s="22">
        <f>B24*C24</f>
        <v>0.46</v>
      </c>
      <c r="E24" s="73">
        <f t="shared" si="6"/>
        <v>2300</v>
      </c>
      <c r="F24" s="126">
        <f>VLOOKUP($B$3,'Data for Bill Impacts'!$A$3:$Y$15,23,0)</f>
        <v>2.0000000000000001E-4</v>
      </c>
      <c r="G24" s="22">
        <f>E24*F24</f>
        <v>0.46</v>
      </c>
      <c r="H24" s="22">
        <f t="shared" si="1"/>
        <v>0</v>
      </c>
      <c r="I24" s="23">
        <f>IF(ISERROR(H24/D24),0,(H24/D24))</f>
        <v>0</v>
      </c>
      <c r="J24" s="23">
        <f t="shared" ref="J24" si="9">G24/$G$46</f>
        <v>9.7775185234141339E-4</v>
      </c>
      <c r="K24" s="108">
        <f t="shared" si="4"/>
        <v>1.0084136467069474E-3</v>
      </c>
    </row>
    <row r="25" spans="1:11" s="1" customFormat="1" x14ac:dyDescent="0.2">
      <c r="A25" s="110" t="s">
        <v>72</v>
      </c>
      <c r="B25" s="74"/>
      <c r="C25" s="35"/>
      <c r="D25" s="35">
        <f>SUM(D19:D24)</f>
        <v>106.31967830790391</v>
      </c>
      <c r="E25" s="73"/>
      <c r="F25" s="35"/>
      <c r="G25" s="35">
        <f>SUM(G19:G24)</f>
        <v>101.75967830790391</v>
      </c>
      <c r="H25" s="35">
        <f t="shared" si="1"/>
        <v>-4.5600000000000023</v>
      </c>
      <c r="I25" s="36">
        <f t="shared" si="2"/>
        <v>-4.2889520289876644E-2</v>
      </c>
      <c r="J25" s="36">
        <f>G25/$G$46</f>
        <v>0.21629503034612912</v>
      </c>
      <c r="K25" s="111">
        <f t="shared" si="4"/>
        <v>0.22307793106565049</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G26/$G$46</f>
        <v>1.6791825290211231E-3</v>
      </c>
      <c r="K26" s="108">
        <f t="shared" si="4"/>
        <v>1.7318408280401921E-3</v>
      </c>
    </row>
    <row r="27" spans="1:11" s="1" customFormat="1" x14ac:dyDescent="0.2">
      <c r="A27" s="119" t="s">
        <v>75</v>
      </c>
      <c r="B27" s="120">
        <f>B8-B4</f>
        <v>241.5</v>
      </c>
      <c r="C27" s="121">
        <f>IF(B4&gt;B7,C13,C12)</f>
        <v>0.121</v>
      </c>
      <c r="D27" s="22">
        <f>B27*C27</f>
        <v>29.221499999999999</v>
      </c>
      <c r="E27" s="73">
        <f>B27</f>
        <v>241.5</v>
      </c>
      <c r="F27" s="121">
        <f>C27</f>
        <v>0.121</v>
      </c>
      <c r="G27" s="22">
        <f>E27*F27</f>
        <v>29.221499999999999</v>
      </c>
      <c r="H27" s="22">
        <f t="shared" si="1"/>
        <v>0</v>
      </c>
      <c r="I27" s="23">
        <f>IF(ISERROR(H27/D27),0,(H27/D27))</f>
        <v>0</v>
      </c>
      <c r="J27" s="23">
        <f t="shared" ref="J27:J46" si="10">G27/$G$46</f>
        <v>6.2111686419988286E-2</v>
      </c>
      <c r="K27" s="108">
        <f t="shared" ref="K27:K41" si="11">G27/$G$51</f>
        <v>6.4059476907058821E-2</v>
      </c>
    </row>
    <row r="28" spans="1:11" s="1" customFormat="1" x14ac:dyDescent="0.2">
      <c r="A28" s="119" t="s">
        <v>74</v>
      </c>
      <c r="B28" s="120">
        <f>B8-B4</f>
        <v>241.5</v>
      </c>
      <c r="C28" s="121">
        <f>0.65*C15+0.17*C16+0.18*C17</f>
        <v>0.11139</v>
      </c>
      <c r="D28" s="22">
        <f>B28*C28</f>
        <v>26.900684999999999</v>
      </c>
      <c r="E28" s="73">
        <f>B28</f>
        <v>241.5</v>
      </c>
      <c r="F28" s="121">
        <f>C28</f>
        <v>0.11139</v>
      </c>
      <c r="G28" s="22">
        <f>E28*F28</f>
        <v>26.900684999999999</v>
      </c>
      <c r="H28" s="22">
        <f t="shared" si="1"/>
        <v>0</v>
      </c>
      <c r="I28" s="23">
        <f>IF(ISERROR(H28/D28),0,(H28/D28))</f>
        <v>0</v>
      </c>
      <c r="J28" s="23">
        <f t="shared" si="10"/>
        <v>5.7178683886962768E-2</v>
      </c>
      <c r="K28" s="108">
        <f t="shared" si="11"/>
        <v>5.89717779560106E-2</v>
      </c>
    </row>
    <row r="29" spans="1:11" s="1" customFormat="1" x14ac:dyDescent="0.2">
      <c r="A29" s="110" t="s">
        <v>78</v>
      </c>
      <c r="B29" s="74"/>
      <c r="C29" s="35"/>
      <c r="D29" s="35">
        <f>SUM(D25,D26:D27)</f>
        <v>136.33117830790391</v>
      </c>
      <c r="E29" s="73"/>
      <c r="F29" s="35"/>
      <c r="G29" s="35">
        <f>SUM(G25,G26:G27)</f>
        <v>131.77117830790391</v>
      </c>
      <c r="H29" s="35">
        <f t="shared" si="1"/>
        <v>-4.5600000000000023</v>
      </c>
      <c r="I29" s="36">
        <f>IF(ISERROR(H29/D29),0,(H29/D29))</f>
        <v>-3.3447961475849962E-2</v>
      </c>
      <c r="J29" s="36">
        <f t="shared" si="10"/>
        <v>0.2800858992951385</v>
      </c>
      <c r="K29" s="111">
        <f t="shared" si="11"/>
        <v>0.28886924880074949</v>
      </c>
    </row>
    <row r="30" spans="1:11" s="1" customFormat="1" x14ac:dyDescent="0.2">
      <c r="A30" s="110" t="s">
        <v>77</v>
      </c>
      <c r="B30" s="74"/>
      <c r="C30" s="35"/>
      <c r="D30" s="35">
        <f>SUM(D25,D26,D28)</f>
        <v>134.01036330790393</v>
      </c>
      <c r="E30" s="73"/>
      <c r="F30" s="35"/>
      <c r="G30" s="35">
        <f>SUM(G25,G26,G28)</f>
        <v>129.45036330790393</v>
      </c>
      <c r="H30" s="35">
        <f t="shared" si="1"/>
        <v>-4.5600000000000023</v>
      </c>
      <c r="I30" s="36">
        <f>IF(ISERROR(H30/D30),0,(H30/D30))</f>
        <v>-3.4027219145155871E-2</v>
      </c>
      <c r="J30" s="36">
        <f t="shared" si="10"/>
        <v>0.27515289676211302</v>
      </c>
      <c r="K30" s="111">
        <f t="shared" si="11"/>
        <v>0.28378154984970133</v>
      </c>
    </row>
    <row r="31" spans="1:11" x14ac:dyDescent="0.2">
      <c r="A31" s="107" t="s">
        <v>40</v>
      </c>
      <c r="B31" s="73">
        <f>B8</f>
        <v>2541.5</v>
      </c>
      <c r="C31" s="126">
        <f>VLOOKUP($B$3,'Data for Bill Impacts'!$A$3:$Y$15,15,0)</f>
        <v>6.7400000000000003E-3</v>
      </c>
      <c r="D31" s="22">
        <f>B31*C31</f>
        <v>17.129709999999999</v>
      </c>
      <c r="E31" s="73">
        <f t="shared" si="6"/>
        <v>2541.5</v>
      </c>
      <c r="F31" s="78">
        <f>VLOOKUP($B$3,'Data for Bill Impacts'!$A$3:$Y$15,24,0)</f>
        <v>6.7999999999999996E-3</v>
      </c>
      <c r="G31" s="22">
        <f>E31*F31</f>
        <v>17.2822</v>
      </c>
      <c r="H31" s="22">
        <f t="shared" si="1"/>
        <v>0.15249000000000024</v>
      </c>
      <c r="I31" s="23">
        <f t="shared" si="2"/>
        <v>8.9020771513353258E-3</v>
      </c>
      <c r="J31" s="23">
        <f t="shared" si="10"/>
        <v>3.6734137092466902E-2</v>
      </c>
      <c r="K31" s="108">
        <f t="shared" si="11"/>
        <v>3.7886100706780008E-2</v>
      </c>
    </row>
    <row r="32" spans="1:11" x14ac:dyDescent="0.2">
      <c r="A32" s="107" t="s">
        <v>41</v>
      </c>
      <c r="B32" s="73">
        <f>B8</f>
        <v>2541.5</v>
      </c>
      <c r="C32" s="126">
        <f>VLOOKUP($B$3,'Data for Bill Impacts'!$A$3:$Y$15,16,0)</f>
        <v>5.6299999999999996E-3</v>
      </c>
      <c r="D32" s="22">
        <f>B32*C32</f>
        <v>14.308644999999999</v>
      </c>
      <c r="E32" s="73">
        <f t="shared" si="6"/>
        <v>2541.5</v>
      </c>
      <c r="F32" s="78">
        <f>VLOOKUP($B$3,'Data for Bill Impacts'!$A$3:$Y$15,25,0)</f>
        <v>5.4999999999999997E-3</v>
      </c>
      <c r="G32" s="22">
        <f>E32*F32</f>
        <v>13.978249999999999</v>
      </c>
      <c r="H32" s="22">
        <f t="shared" si="1"/>
        <v>-0.33039499999999933</v>
      </c>
      <c r="I32" s="23">
        <f t="shared" si="2"/>
        <v>-2.3090586145648268E-2</v>
      </c>
      <c r="J32" s="23">
        <f t="shared" si="10"/>
        <v>2.97114344130247E-2</v>
      </c>
      <c r="K32" s="108">
        <f t="shared" si="11"/>
        <v>3.0643169689307359E-2</v>
      </c>
    </row>
    <row r="33" spans="1:11" s="1" customFormat="1" x14ac:dyDescent="0.2">
      <c r="A33" s="110" t="s">
        <v>76</v>
      </c>
      <c r="B33" s="74"/>
      <c r="C33" s="35"/>
      <c r="D33" s="35">
        <f>SUM(D31:D32)</f>
        <v>31.438354999999998</v>
      </c>
      <c r="E33" s="73"/>
      <c r="F33" s="35"/>
      <c r="G33" s="35">
        <f>SUM(G31:G32)</f>
        <v>31.260449999999999</v>
      </c>
      <c r="H33" s="35">
        <f t="shared" si="1"/>
        <v>-0.17790499999999909</v>
      </c>
      <c r="I33" s="36">
        <f t="shared" si="2"/>
        <v>-5.6588520614389371E-3</v>
      </c>
      <c r="J33" s="36">
        <f t="shared" si="10"/>
        <v>6.6445571505491602E-2</v>
      </c>
      <c r="K33" s="111">
        <f t="shared" si="11"/>
        <v>6.8529270396087361E-2</v>
      </c>
    </row>
    <row r="34" spans="1:11" s="1" customFormat="1" x14ac:dyDescent="0.2">
      <c r="A34" s="110" t="s">
        <v>95</v>
      </c>
      <c r="B34" s="74"/>
      <c r="C34" s="35"/>
      <c r="D34" s="35">
        <f>D29+D33</f>
        <v>167.76953330790391</v>
      </c>
      <c r="E34" s="73"/>
      <c r="F34" s="35"/>
      <c r="G34" s="35">
        <f>G29+G33</f>
        <v>163.0316283079039</v>
      </c>
      <c r="H34" s="35">
        <f t="shared" si="1"/>
        <v>-4.737905000000012</v>
      </c>
      <c r="I34" s="36">
        <f t="shared" si="2"/>
        <v>-2.8240556593220261E-2</v>
      </c>
      <c r="J34" s="36">
        <f t="shared" si="10"/>
        <v>0.34653147080063013</v>
      </c>
      <c r="K34" s="111">
        <f t="shared" si="11"/>
        <v>0.35739851919683685</v>
      </c>
    </row>
    <row r="35" spans="1:11" s="1" customFormat="1" x14ac:dyDescent="0.2">
      <c r="A35" s="110" t="s">
        <v>96</v>
      </c>
      <c r="B35" s="74"/>
      <c r="C35" s="35"/>
      <c r="D35" s="35">
        <f>D30+D33</f>
        <v>165.44871830790393</v>
      </c>
      <c r="E35" s="73"/>
      <c r="F35" s="35"/>
      <c r="G35" s="35">
        <f>G30+G33</f>
        <v>160.71081330790392</v>
      </c>
      <c r="H35" s="35">
        <f t="shared" si="1"/>
        <v>-4.737905000000012</v>
      </c>
      <c r="I35" s="36">
        <f t="shared" si="2"/>
        <v>-2.8636698116830738E-2</v>
      </c>
      <c r="J35" s="36">
        <f t="shared" si="10"/>
        <v>0.34159846826760465</v>
      </c>
      <c r="K35" s="111">
        <f t="shared" si="11"/>
        <v>0.35231082024578864</v>
      </c>
    </row>
    <row r="36" spans="1:11" x14ac:dyDescent="0.2">
      <c r="A36" s="107" t="s">
        <v>42</v>
      </c>
      <c r="B36" s="73">
        <f>B8</f>
        <v>2541.5</v>
      </c>
      <c r="C36" s="34">
        <v>3.5999999999999999E-3</v>
      </c>
      <c r="D36" s="22">
        <f>B36*C36</f>
        <v>9.1494</v>
      </c>
      <c r="E36" s="73">
        <f t="shared" si="6"/>
        <v>2541.5</v>
      </c>
      <c r="F36" s="34">
        <v>3.5999999999999999E-3</v>
      </c>
      <c r="G36" s="22">
        <f>E36*F36</f>
        <v>9.1494</v>
      </c>
      <c r="H36" s="22">
        <f t="shared" si="1"/>
        <v>0</v>
      </c>
      <c r="I36" s="23">
        <f t="shared" si="2"/>
        <v>0</v>
      </c>
      <c r="J36" s="23">
        <f t="shared" si="10"/>
        <v>1.9447484343070712E-2</v>
      </c>
      <c r="K36" s="108">
        <f t="shared" si="11"/>
        <v>2.005734743300118E-2</v>
      </c>
    </row>
    <row r="37" spans="1:11" x14ac:dyDescent="0.2">
      <c r="A37" s="107" t="s">
        <v>43</v>
      </c>
      <c r="B37" s="73">
        <f>B8</f>
        <v>2541.5</v>
      </c>
      <c r="C37" s="34">
        <v>2.0999999999999999E-3</v>
      </c>
      <c r="D37" s="22">
        <f>B37*C37</f>
        <v>5.3371499999999994</v>
      </c>
      <c r="E37" s="73">
        <f t="shared" si="6"/>
        <v>2541.5</v>
      </c>
      <c r="F37" s="34">
        <v>2.0999999999999999E-3</v>
      </c>
      <c r="G37" s="22">
        <f>E37*F37</f>
        <v>5.3371499999999994</v>
      </c>
      <c r="H37" s="22">
        <f>G37-D37</f>
        <v>0</v>
      </c>
      <c r="I37" s="23">
        <f t="shared" si="2"/>
        <v>0</v>
      </c>
      <c r="J37" s="23">
        <f t="shared" si="10"/>
        <v>1.1344365866791249E-2</v>
      </c>
      <c r="K37" s="108">
        <f t="shared" si="11"/>
        <v>1.1700119335917355E-2</v>
      </c>
    </row>
    <row r="38" spans="1:11" x14ac:dyDescent="0.2">
      <c r="A38" s="107" t="s">
        <v>100</v>
      </c>
      <c r="B38" s="73">
        <f>B8</f>
        <v>2541.5</v>
      </c>
      <c r="C38" s="34">
        <v>1.1000000000000001E-3</v>
      </c>
      <c r="D38" s="22">
        <f>B38*C38</f>
        <v>2.7956500000000002</v>
      </c>
      <c r="E38" s="73">
        <f t="shared" si="6"/>
        <v>2541.5</v>
      </c>
      <c r="F38" s="34">
        <v>1.1000000000000001E-3</v>
      </c>
      <c r="G38" s="22">
        <f>E38*F38</f>
        <v>2.7956500000000002</v>
      </c>
      <c r="H38" s="22">
        <f>G38-D38</f>
        <v>0</v>
      </c>
      <c r="I38" s="23">
        <f t="shared" ref="I38" si="12">IF(ISERROR(H38/D38),0,(H38/D38))</f>
        <v>0</v>
      </c>
      <c r="J38" s="23">
        <f t="shared" ref="J38" si="13">G38/$G$46</f>
        <v>5.9422868826049403E-3</v>
      </c>
      <c r="K38" s="108">
        <f t="shared" ref="K38" si="14">G38/$G$51</f>
        <v>6.1286339378614722E-3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10"/>
        <v>5.3138687627250726E-4</v>
      </c>
      <c r="K39" s="108">
        <f t="shared" si="11"/>
        <v>5.4805089494942784E-4</v>
      </c>
    </row>
    <row r="40" spans="1:11" s="1" customFormat="1" x14ac:dyDescent="0.2">
      <c r="A40" s="110" t="s">
        <v>45</v>
      </c>
      <c r="B40" s="74"/>
      <c r="C40" s="35"/>
      <c r="D40" s="35">
        <f>SUM(D36:D39)</f>
        <v>17.5322</v>
      </c>
      <c r="E40" s="73"/>
      <c r="F40" s="35"/>
      <c r="G40" s="35">
        <f>SUM(G36:G39)</f>
        <v>17.5322</v>
      </c>
      <c r="H40" s="35">
        <f t="shared" si="1"/>
        <v>0</v>
      </c>
      <c r="I40" s="36">
        <f t="shared" si="2"/>
        <v>0</v>
      </c>
      <c r="J40" s="36">
        <f t="shared" si="10"/>
        <v>3.726552396873941E-2</v>
      </c>
      <c r="K40" s="111">
        <f t="shared" si="11"/>
        <v>3.8434151601729437E-2</v>
      </c>
    </row>
    <row r="41" spans="1:11" s="1" customFormat="1" ht="13.5" thickBot="1" x14ac:dyDescent="0.25">
      <c r="A41" s="112" t="s">
        <v>46</v>
      </c>
      <c r="B41" s="113">
        <f>B4</f>
        <v>2300</v>
      </c>
      <c r="C41" s="114">
        <v>0</v>
      </c>
      <c r="D41" s="115">
        <f>B41*C41</f>
        <v>0</v>
      </c>
      <c r="E41" s="116">
        <f t="shared" si="6"/>
        <v>2300</v>
      </c>
      <c r="F41" s="114">
        <f>C41</f>
        <v>0</v>
      </c>
      <c r="G41" s="115">
        <f>E41*F41</f>
        <v>0</v>
      </c>
      <c r="H41" s="115">
        <f t="shared" si="1"/>
        <v>0</v>
      </c>
      <c r="I41" s="117">
        <f t="shared" si="2"/>
        <v>0</v>
      </c>
      <c r="J41" s="117">
        <f t="shared" si="10"/>
        <v>0</v>
      </c>
      <c r="K41" s="118">
        <f t="shared" si="11"/>
        <v>0</v>
      </c>
    </row>
    <row r="42" spans="1:11" s="1" customFormat="1" x14ac:dyDescent="0.2">
      <c r="A42" s="37" t="s">
        <v>137</v>
      </c>
      <c r="B42" s="38"/>
      <c r="C42" s="39"/>
      <c r="D42" s="39">
        <f>SUM(D14,D25,D26,D27,D33,D40,D41)</f>
        <v>452.80173330790393</v>
      </c>
      <c r="E42" s="38"/>
      <c r="F42" s="39"/>
      <c r="G42" s="39">
        <f>SUM(G14,G25,G26,G27,G33,G40,G41)</f>
        <v>448.06382830790392</v>
      </c>
      <c r="H42" s="39">
        <f t="shared" si="1"/>
        <v>-4.737905000000012</v>
      </c>
      <c r="I42" s="40">
        <f>IF(ISERROR(H42/D42),0,(H42/D42))</f>
        <v>-1.0463531058919886E-2</v>
      </c>
      <c r="J42" s="40">
        <f t="shared" si="10"/>
        <v>0.95238095238095233</v>
      </c>
      <c r="K42" s="41"/>
    </row>
    <row r="43" spans="1:11" x14ac:dyDescent="0.2">
      <c r="A43" s="150" t="s">
        <v>138</v>
      </c>
      <c r="B43" s="43"/>
      <c r="C43" s="26">
        <v>0.13</v>
      </c>
      <c r="D43" s="26">
        <f>D42*C43</f>
        <v>58.864225330027516</v>
      </c>
      <c r="E43" s="26"/>
      <c r="F43" s="26">
        <f>C43</f>
        <v>0.13</v>
      </c>
      <c r="G43" s="26">
        <f>G42*F43</f>
        <v>58.248297680027513</v>
      </c>
      <c r="H43" s="26">
        <f t="shared" si="1"/>
        <v>-0.61592765000000327</v>
      </c>
      <c r="I43" s="44">
        <f t="shared" si="2"/>
        <v>-1.0463531058919914E-2</v>
      </c>
      <c r="J43" s="44">
        <f t="shared" si="10"/>
        <v>0.12380952380952381</v>
      </c>
      <c r="K43" s="45"/>
    </row>
    <row r="44" spans="1:11" s="1" customFormat="1" x14ac:dyDescent="0.2">
      <c r="A44" s="46" t="s">
        <v>139</v>
      </c>
      <c r="B44" s="24"/>
      <c r="C44" s="25"/>
      <c r="D44" s="25">
        <f>SUM(D42:D43)</f>
        <v>511.66595863793145</v>
      </c>
      <c r="E44" s="25"/>
      <c r="F44" s="25"/>
      <c r="G44" s="25">
        <f>SUM(G42:G43)</f>
        <v>506.31212598793144</v>
      </c>
      <c r="H44" s="25">
        <f t="shared" si="1"/>
        <v>-5.3538326500000153</v>
      </c>
      <c r="I44" s="27">
        <f t="shared" si="2"/>
        <v>-1.046353105891989E-2</v>
      </c>
      <c r="J44" s="27">
        <f t="shared" si="10"/>
        <v>1.0761904761904761</v>
      </c>
      <c r="K44" s="47"/>
    </row>
    <row r="45" spans="1:11" x14ac:dyDescent="0.2">
      <c r="A45" s="42" t="s">
        <v>140</v>
      </c>
      <c r="B45" s="43"/>
      <c r="C45" s="26">
        <v>-0.08</v>
      </c>
      <c r="D45" s="26">
        <f>D42*C45</f>
        <v>-36.224138664632314</v>
      </c>
      <c r="E45" s="26"/>
      <c r="F45" s="26">
        <f>C45</f>
        <v>-0.08</v>
      </c>
      <c r="G45" s="26">
        <f>G42*F45</f>
        <v>-35.845106264632314</v>
      </c>
      <c r="H45" s="26">
        <f t="shared" si="1"/>
        <v>0.37903239999999983</v>
      </c>
      <c r="I45" s="44">
        <f t="shared" si="2"/>
        <v>-1.0463531058919855E-2</v>
      </c>
      <c r="J45" s="44">
        <f t="shared" si="10"/>
        <v>-7.6190476190476183E-2</v>
      </c>
      <c r="K45" s="45"/>
    </row>
    <row r="46" spans="1:11" s="1" customFormat="1" ht="13.5" thickBot="1" x14ac:dyDescent="0.25">
      <c r="A46" s="48" t="s">
        <v>141</v>
      </c>
      <c r="B46" s="49"/>
      <c r="C46" s="50"/>
      <c r="D46" s="50">
        <f>SUM(D44:D45)</f>
        <v>475.44181997329912</v>
      </c>
      <c r="E46" s="50"/>
      <c r="F46" s="50"/>
      <c r="G46" s="50">
        <f>SUM(G44:G45)</f>
        <v>470.46701972329913</v>
      </c>
      <c r="H46" s="50">
        <f t="shared" si="1"/>
        <v>-4.974800249999987</v>
      </c>
      <c r="I46" s="51">
        <f t="shared" si="2"/>
        <v>-1.0463531058919832E-2</v>
      </c>
      <c r="J46" s="51">
        <f t="shared" si="10"/>
        <v>1</v>
      </c>
      <c r="K46" s="52"/>
    </row>
    <row r="47" spans="1:11" x14ac:dyDescent="0.2">
      <c r="A47" s="53" t="s">
        <v>142</v>
      </c>
      <c r="B47" s="54"/>
      <c r="C47" s="55"/>
      <c r="D47" s="55">
        <f>SUM(D18,D25,D26,D28,D33,D40,D41)</f>
        <v>439.17791830790395</v>
      </c>
      <c r="E47" s="55"/>
      <c r="F47" s="55"/>
      <c r="G47" s="55">
        <f>SUM(G18,G25,G26,G28,G33,G40,G41)</f>
        <v>434.44001330790394</v>
      </c>
      <c r="H47" s="55">
        <f>G47-D47</f>
        <v>-4.737905000000012</v>
      </c>
      <c r="I47" s="56">
        <f>IF(ISERROR(H47/D47),0,(H47/D47))</f>
        <v>-1.0788122085587888E-2</v>
      </c>
      <c r="J47" s="56"/>
      <c r="K47" s="57">
        <f>G47/$G$51</f>
        <v>0.95238095238095244</v>
      </c>
    </row>
    <row r="48" spans="1:11" x14ac:dyDescent="0.2">
      <c r="A48" s="58" t="s">
        <v>138</v>
      </c>
      <c r="B48" s="59"/>
      <c r="C48" s="31">
        <v>0.13</v>
      </c>
      <c r="D48" s="31">
        <f>D47*C48</f>
        <v>57.093129380027513</v>
      </c>
      <c r="E48" s="31"/>
      <c r="F48" s="31">
        <f>C48</f>
        <v>0.13</v>
      </c>
      <c r="G48" s="31">
        <f>G47*F48</f>
        <v>56.477201730027517</v>
      </c>
      <c r="H48" s="31">
        <f>G48-D48</f>
        <v>-0.61592764999999616</v>
      </c>
      <c r="I48" s="32">
        <f>IF(ISERROR(H48/D48),0,(H48/D48))</f>
        <v>-1.0788122085587794E-2</v>
      </c>
      <c r="J48" s="32"/>
      <c r="K48" s="60">
        <f>G48/$G$51</f>
        <v>0.12380952380952383</v>
      </c>
    </row>
    <row r="49" spans="1:11" x14ac:dyDescent="0.2">
      <c r="A49" s="61" t="s">
        <v>143</v>
      </c>
      <c r="B49" s="29"/>
      <c r="C49" s="30"/>
      <c r="D49" s="30">
        <f>SUM(D47:D48)</f>
        <v>496.27104768793146</v>
      </c>
      <c r="E49" s="30"/>
      <c r="F49" s="30"/>
      <c r="G49" s="30">
        <f>SUM(G47:G48)</f>
        <v>490.91721503793144</v>
      </c>
      <c r="H49" s="30">
        <f>G49-D49</f>
        <v>-5.3538326500000153</v>
      </c>
      <c r="I49" s="33">
        <f>IF(ISERROR(H49/D49),0,(H49/D49))</f>
        <v>-1.0788122085587892E-2</v>
      </c>
      <c r="J49" s="33"/>
      <c r="K49" s="62">
        <f>G49/$G$51</f>
        <v>1.0761904761904761</v>
      </c>
    </row>
    <row r="50" spans="1:11" x14ac:dyDescent="0.2">
      <c r="A50" s="58" t="s">
        <v>140</v>
      </c>
      <c r="B50" s="59"/>
      <c r="C50" s="31">
        <v>-0.08</v>
      </c>
      <c r="D50" s="31">
        <f>D47*C50</f>
        <v>-35.134233464632317</v>
      </c>
      <c r="E50" s="31"/>
      <c r="F50" s="31">
        <f>C50</f>
        <v>-0.08</v>
      </c>
      <c r="G50" s="31">
        <f>G47*F50</f>
        <v>-34.755201064632317</v>
      </c>
      <c r="H50" s="31">
        <f>G50-D50</f>
        <v>0.37903239999999983</v>
      </c>
      <c r="I50" s="32">
        <f>IF(ISERROR(H50/D50),0,(H50/D50))</f>
        <v>-1.0788122085587855E-2</v>
      </c>
      <c r="J50" s="32"/>
      <c r="K50" s="60">
        <f>G50/$G$51</f>
        <v>-7.6190476190476197E-2</v>
      </c>
    </row>
    <row r="51" spans="1:11" ht="13.5" thickBot="1" x14ac:dyDescent="0.25">
      <c r="A51" s="63" t="s">
        <v>144</v>
      </c>
      <c r="B51" s="64"/>
      <c r="C51" s="65"/>
      <c r="D51" s="65">
        <f>SUM(D49:D50)</f>
        <v>461.13681422329915</v>
      </c>
      <c r="E51" s="65"/>
      <c r="F51" s="65"/>
      <c r="G51" s="65">
        <f>SUM(G49:G50)</f>
        <v>456.16201397329911</v>
      </c>
      <c r="H51" s="65">
        <f>G51-D51</f>
        <v>-4.9748002500000439</v>
      </c>
      <c r="I51" s="66">
        <f>IF(ISERROR(H51/D51),0,(H51/D51))</f>
        <v>-1.0788122085587956E-2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1" tint="0.499984740745262"/>
    <pageSetUpPr fitToPage="1"/>
  </sheetPr>
  <dimension ref="A1:K68"/>
  <sheetViews>
    <sheetView view="pageBreakPreview" topLeftCell="A19" zoomScaleNormal="100" zoomScaleSheetLayoutView="100" workbookViewId="0">
      <selection activeCell="C19" sqref="C19"/>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48" t="s">
        <v>109</v>
      </c>
      <c r="B1" s="349"/>
      <c r="C1" s="349"/>
      <c r="D1" s="349"/>
      <c r="E1" s="349"/>
      <c r="F1" s="349"/>
      <c r="G1" s="349"/>
      <c r="H1" s="349"/>
      <c r="I1" s="349"/>
      <c r="J1" s="349"/>
      <c r="K1" s="350"/>
    </row>
    <row r="3" spans="1:11" x14ac:dyDescent="0.2">
      <c r="A3" s="13" t="s">
        <v>13</v>
      </c>
      <c r="B3" s="13" t="s">
        <v>3</v>
      </c>
    </row>
    <row r="4" spans="1:11" x14ac:dyDescent="0.2">
      <c r="A4" s="15" t="s">
        <v>62</v>
      </c>
      <c r="B4" s="15">
        <v>50</v>
      </c>
    </row>
    <row r="5" spans="1:11" x14ac:dyDescent="0.2">
      <c r="A5" s="15" t="s">
        <v>16</v>
      </c>
      <c r="B5" s="15">
        <f>VLOOKUP($B$3,'Data for Bill Impacts'!$A$3:$Y$15,5,0)</f>
        <v>0</v>
      </c>
    </row>
    <row r="6" spans="1:11" x14ac:dyDescent="0.2">
      <c r="A6" s="15" t="s">
        <v>20</v>
      </c>
      <c r="B6" s="15">
        <f>VLOOKUP($B$3,'Data for Bill Impacts'!$A$3:$Y$15,2,0)</f>
        <v>1.1040000000000001</v>
      </c>
    </row>
    <row r="7" spans="1:11" x14ac:dyDescent="0.2">
      <c r="A7" s="15" t="s">
        <v>15</v>
      </c>
      <c r="B7" s="15">
        <f>VLOOKUP($B$3,'Data for Bill Impacts'!$A$3:$Y$15,4,0)</f>
        <v>600</v>
      </c>
    </row>
    <row r="8" spans="1:11" x14ac:dyDescent="0.2">
      <c r="A8" s="15" t="s">
        <v>82</v>
      </c>
      <c r="B8" s="193">
        <f>B4*B6</f>
        <v>55.2</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50</v>
      </c>
      <c r="C12" s="103">
        <v>0.10299999999999999</v>
      </c>
      <c r="D12" s="104">
        <f>B12*C12</f>
        <v>5.1499999999999995</v>
      </c>
      <c r="E12" s="102">
        <f>B12</f>
        <v>50</v>
      </c>
      <c r="F12" s="103">
        <f>C12</f>
        <v>0.10299999999999999</v>
      </c>
      <c r="G12" s="104">
        <f>E12*F12</f>
        <v>5.1499999999999995</v>
      </c>
      <c r="H12" s="104">
        <f>G12-D12</f>
        <v>0</v>
      </c>
      <c r="I12" s="105">
        <f>IF(ISERROR(H12/D12),0,(H12/D12))</f>
        <v>0</v>
      </c>
      <c r="J12" s="105">
        <f>G12/$G$46</f>
        <v>7.5848131598364024E-2</v>
      </c>
      <c r="K12" s="106"/>
    </row>
    <row r="13" spans="1:11" x14ac:dyDescent="0.2">
      <c r="A13" s="107" t="s">
        <v>32</v>
      </c>
      <c r="B13" s="73">
        <f>IF(B4&gt;B7,(B4)-B7,0)</f>
        <v>0</v>
      </c>
      <c r="C13" s="21">
        <v>0.121</v>
      </c>
      <c r="D13" s="22">
        <f>B13*C13</f>
        <v>0</v>
      </c>
      <c r="E13" s="73">
        <f t="shared" ref="E13" si="0">B13</f>
        <v>0</v>
      </c>
      <c r="F13" s="21">
        <f>C13</f>
        <v>0.121</v>
      </c>
      <c r="G13" s="22">
        <f>E13*F13</f>
        <v>0</v>
      </c>
      <c r="H13" s="22">
        <f t="shared" ref="H13:H46" si="1">G13-D13</f>
        <v>0</v>
      </c>
      <c r="I13" s="23">
        <f t="shared" ref="I13:I46" si="2">IF(ISERROR(H13/D13),0,(H13/D13))</f>
        <v>0</v>
      </c>
      <c r="J13" s="23">
        <f>G13/$G$46</f>
        <v>0</v>
      </c>
      <c r="K13" s="108"/>
    </row>
    <row r="14" spans="1:11" s="1" customFormat="1" x14ac:dyDescent="0.2">
      <c r="A14" s="46" t="s">
        <v>33</v>
      </c>
      <c r="B14" s="24"/>
      <c r="C14" s="25"/>
      <c r="D14" s="25">
        <f>SUM(D12:D13)</f>
        <v>5.1499999999999995</v>
      </c>
      <c r="E14" s="76"/>
      <c r="F14" s="25"/>
      <c r="G14" s="25">
        <f>SUM(G12:G13)</f>
        <v>5.1499999999999995</v>
      </c>
      <c r="H14" s="25">
        <f t="shared" si="1"/>
        <v>0</v>
      </c>
      <c r="I14" s="27">
        <f t="shared" si="2"/>
        <v>0</v>
      </c>
      <c r="J14" s="27">
        <f>G14/$G$46</f>
        <v>7.5848131598364024E-2</v>
      </c>
      <c r="K14" s="108"/>
    </row>
    <row r="15" spans="1:11" s="1" customFormat="1" x14ac:dyDescent="0.2">
      <c r="A15" s="109" t="s">
        <v>34</v>
      </c>
      <c r="B15" s="75">
        <f>B4*0.65</f>
        <v>32.5</v>
      </c>
      <c r="C15" s="28">
        <v>8.6999999999999994E-2</v>
      </c>
      <c r="D15" s="22">
        <f>B15*C15</f>
        <v>2.8274999999999997</v>
      </c>
      <c r="E15" s="73">
        <f t="shared" ref="E15:F17" si="3">B15</f>
        <v>32.5</v>
      </c>
      <c r="F15" s="28">
        <f t="shared" si="3"/>
        <v>8.6999999999999994E-2</v>
      </c>
      <c r="G15" s="22">
        <f>E15*F15</f>
        <v>2.8274999999999997</v>
      </c>
      <c r="H15" s="22">
        <f t="shared" si="1"/>
        <v>0</v>
      </c>
      <c r="I15" s="23">
        <f t="shared" si="2"/>
        <v>0</v>
      </c>
      <c r="J15" s="23"/>
      <c r="K15" s="108">
        <f t="shared" ref="K15:K26" si="4">G15/$G$51</f>
        <v>4.1346712570920256E-2</v>
      </c>
    </row>
    <row r="16" spans="1:11" s="1" customFormat="1" x14ac:dyDescent="0.2">
      <c r="A16" s="109" t="s">
        <v>35</v>
      </c>
      <c r="B16" s="75">
        <f>B4*0.17</f>
        <v>8.5</v>
      </c>
      <c r="C16" s="28">
        <v>0.13200000000000001</v>
      </c>
      <c r="D16" s="22">
        <f>B16*C16</f>
        <v>1.1220000000000001</v>
      </c>
      <c r="E16" s="73">
        <f t="shared" si="3"/>
        <v>8.5</v>
      </c>
      <c r="F16" s="28">
        <f t="shared" si="3"/>
        <v>0.13200000000000001</v>
      </c>
      <c r="G16" s="22">
        <f>E16*F16</f>
        <v>1.1220000000000001</v>
      </c>
      <c r="H16" s="22">
        <f t="shared" si="1"/>
        <v>0</v>
      </c>
      <c r="I16" s="23">
        <f t="shared" si="2"/>
        <v>0</v>
      </c>
      <c r="J16" s="23"/>
      <c r="K16" s="108">
        <f t="shared" si="4"/>
        <v>1.6407077455198066E-2</v>
      </c>
    </row>
    <row r="17" spans="1:11" s="1" customFormat="1" x14ac:dyDescent="0.2">
      <c r="A17" s="109" t="s">
        <v>36</v>
      </c>
      <c r="B17" s="75">
        <f>B4*0.18</f>
        <v>9</v>
      </c>
      <c r="C17" s="28">
        <v>0.18</v>
      </c>
      <c r="D17" s="22">
        <f>B17*C17</f>
        <v>1.6199999999999999</v>
      </c>
      <c r="E17" s="73">
        <f t="shared" si="3"/>
        <v>9</v>
      </c>
      <c r="F17" s="28">
        <f t="shared" si="3"/>
        <v>0.18</v>
      </c>
      <c r="G17" s="22">
        <f>E17*F17</f>
        <v>1.6199999999999999</v>
      </c>
      <c r="H17" s="22">
        <f t="shared" si="1"/>
        <v>0</v>
      </c>
      <c r="I17" s="23">
        <f t="shared" si="2"/>
        <v>0</v>
      </c>
      <c r="J17" s="23"/>
      <c r="K17" s="108">
        <f t="shared" si="4"/>
        <v>2.3689363170606832E-2</v>
      </c>
    </row>
    <row r="18" spans="1:11" s="1" customFormat="1" x14ac:dyDescent="0.2">
      <c r="A18" s="61" t="s">
        <v>37</v>
      </c>
      <c r="B18" s="29"/>
      <c r="C18" s="30"/>
      <c r="D18" s="30">
        <f>SUM(D15:D17)</f>
        <v>5.5694999999999997</v>
      </c>
      <c r="E18" s="77"/>
      <c r="F18" s="30"/>
      <c r="G18" s="30">
        <f>SUM(G15:G17)</f>
        <v>5.5694999999999997</v>
      </c>
      <c r="H18" s="31">
        <f t="shared" si="1"/>
        <v>0</v>
      </c>
      <c r="I18" s="32">
        <f t="shared" si="2"/>
        <v>0</v>
      </c>
      <c r="J18" s="33">
        <f t="shared" ref="J18:J23" si="5">G18/$G$46</f>
        <v>8.2026440570308431E-2</v>
      </c>
      <c r="K18" s="62">
        <f t="shared" si="4"/>
        <v>8.1443153196725154E-2</v>
      </c>
    </row>
    <row r="19" spans="1:11" x14ac:dyDescent="0.2">
      <c r="A19" s="107" t="s">
        <v>38</v>
      </c>
      <c r="B19" s="73">
        <v>1</v>
      </c>
      <c r="C19" s="78">
        <f>VLOOKUP($B$3,'Data for Bill Impacts'!$A$3:$Y$15,7,0)</f>
        <v>50.12</v>
      </c>
      <c r="D19" s="22">
        <f>B19*C19</f>
        <v>50.12</v>
      </c>
      <c r="E19" s="73">
        <f t="shared" ref="E19:E41" si="6">B19</f>
        <v>1</v>
      </c>
      <c r="F19" s="78">
        <f>VLOOKUP($B$3,'Data for Bill Impacts'!$A$3:$Y$15,17,0)</f>
        <v>55.4</v>
      </c>
      <c r="G19" s="22">
        <f>E19*F19</f>
        <v>55.4</v>
      </c>
      <c r="H19" s="22">
        <f t="shared" si="1"/>
        <v>5.2800000000000011</v>
      </c>
      <c r="I19" s="23">
        <f t="shared" si="2"/>
        <v>0.1053471667996808</v>
      </c>
      <c r="J19" s="23">
        <f t="shared" si="5"/>
        <v>0.8159197069027897</v>
      </c>
      <c r="K19" s="108">
        <f t="shared" si="4"/>
        <v>0.81011772818001138</v>
      </c>
    </row>
    <row r="20" spans="1:11" hidden="1" x14ac:dyDescent="0.2">
      <c r="A20" s="107" t="s">
        <v>83</v>
      </c>
      <c r="B20" s="73">
        <v>1</v>
      </c>
      <c r="C20" s="78">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145</v>
      </c>
      <c r="B21" s="73">
        <v>1</v>
      </c>
      <c r="C21" s="78">
        <v>0</v>
      </c>
      <c r="D21" s="22">
        <f t="shared" ref="D21:D22" si="8">B21*C21</f>
        <v>0</v>
      </c>
      <c r="E21" s="73">
        <f t="shared" si="6"/>
        <v>1</v>
      </c>
      <c r="F21" s="122">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v>
      </c>
      <c r="D22" s="22">
        <f t="shared" si="8"/>
        <v>0</v>
      </c>
      <c r="E22" s="73">
        <f t="shared" si="6"/>
        <v>1</v>
      </c>
      <c r="F22" s="122">
        <f>VLOOKUP($B$3,'Data for Bill Impacts'!$A$3:$Y$15,22,0)</f>
        <v>0</v>
      </c>
      <c r="G22" s="22">
        <f t="shared" si="7"/>
        <v>0</v>
      </c>
      <c r="H22" s="22">
        <f t="shared" si="1"/>
        <v>0</v>
      </c>
      <c r="I22" s="23">
        <f t="shared" si="2"/>
        <v>0</v>
      </c>
      <c r="J22" s="23">
        <f t="shared" si="5"/>
        <v>0</v>
      </c>
      <c r="K22" s="108">
        <f t="shared" si="4"/>
        <v>0</v>
      </c>
    </row>
    <row r="23" spans="1:11" x14ac:dyDescent="0.2">
      <c r="A23" s="107" t="s">
        <v>39</v>
      </c>
      <c r="B23" s="73">
        <f>IF($B$9="kWh",$B$4,$B$5)</f>
        <v>50</v>
      </c>
      <c r="C23" s="126">
        <f>VLOOKUP($B$3,'Data for Bill Impacts'!$A$3:$Y$15,10,0)</f>
        <v>4.3900000000000002E-2</v>
      </c>
      <c r="D23" s="22">
        <f>B23*C23</f>
        <v>2.1950000000000003</v>
      </c>
      <c r="E23" s="73">
        <f t="shared" si="6"/>
        <v>50</v>
      </c>
      <c r="F23" s="78">
        <f>VLOOKUP($B$3,'Data for Bill Impacts'!$A$3:$Y$15,19,0)</f>
        <v>3.15E-2</v>
      </c>
      <c r="G23" s="22">
        <f>E23*F23</f>
        <v>1.575</v>
      </c>
      <c r="H23" s="22">
        <f t="shared" si="1"/>
        <v>-0.62000000000000033</v>
      </c>
      <c r="I23" s="23">
        <f t="shared" si="2"/>
        <v>-0.28246013667425979</v>
      </c>
      <c r="J23" s="23">
        <f t="shared" si="5"/>
        <v>2.3196273255810359E-2</v>
      </c>
      <c r="K23" s="108">
        <f t="shared" si="4"/>
        <v>2.3031325304756642E-2</v>
      </c>
    </row>
    <row r="24" spans="1:11" x14ac:dyDescent="0.2">
      <c r="A24" s="107" t="s">
        <v>194</v>
      </c>
      <c r="B24" s="73">
        <f>IF($B$9="kWh",$B$4,$B$5)</f>
        <v>50</v>
      </c>
      <c r="C24" s="126">
        <f>VLOOKUP($B$3,'Data for Bill Impacts'!$A$3:$Y$15,14,0)</f>
        <v>2.0000000000000001E-4</v>
      </c>
      <c r="D24" s="22">
        <f>B24*C24</f>
        <v>0.01</v>
      </c>
      <c r="E24" s="73">
        <f t="shared" si="6"/>
        <v>50</v>
      </c>
      <c r="F24" s="126">
        <f>VLOOKUP($B$3,'Data for Bill Impacts'!$A$3:$Y$15,23,0)</f>
        <v>2.0000000000000001E-4</v>
      </c>
      <c r="G24" s="22">
        <f>E24*F24</f>
        <v>0.01</v>
      </c>
      <c r="H24" s="22">
        <f t="shared" si="1"/>
        <v>0</v>
      </c>
      <c r="I24" s="23">
        <f>IF(ISERROR(H24/D24),0,(H24/D24))</f>
        <v>0</v>
      </c>
      <c r="J24" s="23">
        <f t="shared" ref="J24" si="9">G24/$G$46</f>
        <v>1.4727792543371655E-4</v>
      </c>
      <c r="K24" s="108">
        <f t="shared" si="4"/>
        <v>1.4623063685559773E-4</v>
      </c>
    </row>
    <row r="25" spans="1:11" s="1" customFormat="1" x14ac:dyDescent="0.2">
      <c r="A25" s="110" t="s">
        <v>72</v>
      </c>
      <c r="B25" s="74"/>
      <c r="C25" s="35"/>
      <c r="D25" s="35">
        <f>SUM(D19:D24)</f>
        <v>52.324999999999996</v>
      </c>
      <c r="E25" s="73"/>
      <c r="F25" s="35"/>
      <c r="G25" s="35">
        <f>SUM(G19:G24)</f>
        <v>56.984999999999999</v>
      </c>
      <c r="H25" s="35">
        <f t="shared" si="1"/>
        <v>4.6600000000000037</v>
      </c>
      <c r="I25" s="36">
        <f t="shared" si="2"/>
        <v>8.9058767319636967E-2</v>
      </c>
      <c r="J25" s="36">
        <f>G25/$G$46</f>
        <v>0.83926325808403379</v>
      </c>
      <c r="K25" s="111">
        <f t="shared" si="4"/>
        <v>0.83329528412162368</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G26/$G$46</f>
        <v>1.1634956109263609E-2</v>
      </c>
      <c r="K26" s="108">
        <f t="shared" si="4"/>
        <v>1.1552220311592221E-2</v>
      </c>
    </row>
    <row r="27" spans="1:11" s="1" customFormat="1" x14ac:dyDescent="0.2">
      <c r="A27" s="119" t="s">
        <v>75</v>
      </c>
      <c r="B27" s="120">
        <f>B8-B4</f>
        <v>5.2000000000000028</v>
      </c>
      <c r="C27" s="121">
        <f>IF(B4&gt;B7,C13,C12)</f>
        <v>0.10299999999999999</v>
      </c>
      <c r="D27" s="22">
        <f>B27*C27</f>
        <v>0.5356000000000003</v>
      </c>
      <c r="E27" s="73">
        <f>B27</f>
        <v>5.2000000000000028</v>
      </c>
      <c r="F27" s="121">
        <f>C27</f>
        <v>0.10299999999999999</v>
      </c>
      <c r="G27" s="22">
        <f>E27*F27</f>
        <v>0.5356000000000003</v>
      </c>
      <c r="H27" s="22">
        <f t="shared" si="1"/>
        <v>0</v>
      </c>
      <c r="I27" s="23">
        <f>IF(ISERROR(H27/D27),0,(H27/D27))</f>
        <v>0</v>
      </c>
      <c r="J27" s="23">
        <f t="shared" ref="J27:J46" si="10">G27/$G$46</f>
        <v>7.8882056862298634E-3</v>
      </c>
      <c r="K27" s="108">
        <f t="shared" ref="K27:K41" si="11">G27/$G$51</f>
        <v>7.8321129099858181E-3</v>
      </c>
    </row>
    <row r="28" spans="1:11" s="1" customFormat="1" x14ac:dyDescent="0.2">
      <c r="A28" s="119" t="s">
        <v>74</v>
      </c>
      <c r="B28" s="120">
        <f>B8-B4</f>
        <v>5.2000000000000028</v>
      </c>
      <c r="C28" s="121">
        <f>0.65*C15+0.17*C16+0.18*C17</f>
        <v>0.11139</v>
      </c>
      <c r="D28" s="22">
        <f>B28*C28</f>
        <v>0.5792280000000003</v>
      </c>
      <c r="E28" s="73">
        <f>B28</f>
        <v>5.2000000000000028</v>
      </c>
      <c r="F28" s="121">
        <f>C28</f>
        <v>0.11139</v>
      </c>
      <c r="G28" s="22">
        <f>E28*F28</f>
        <v>0.5792280000000003</v>
      </c>
      <c r="H28" s="22">
        <f t="shared" si="1"/>
        <v>0</v>
      </c>
      <c r="I28" s="23">
        <f>IF(ISERROR(H28/D28),0,(H28/D28))</f>
        <v>0</v>
      </c>
      <c r="J28" s="23">
        <f t="shared" si="10"/>
        <v>8.5307498193120824E-3</v>
      </c>
      <c r="K28" s="108">
        <f t="shared" si="11"/>
        <v>8.4700879324594198E-3</v>
      </c>
    </row>
    <row r="29" spans="1:11" s="1" customFormat="1" x14ac:dyDescent="0.2">
      <c r="A29" s="110" t="s">
        <v>78</v>
      </c>
      <c r="B29" s="74"/>
      <c r="C29" s="35"/>
      <c r="D29" s="35">
        <f>SUM(D25,D26:D27)</f>
        <v>53.650599999999997</v>
      </c>
      <c r="E29" s="73"/>
      <c r="F29" s="35"/>
      <c r="G29" s="35">
        <f>SUM(G25,G26:G27)</f>
        <v>58.310600000000001</v>
      </c>
      <c r="H29" s="35">
        <f t="shared" si="1"/>
        <v>4.6600000000000037</v>
      </c>
      <c r="I29" s="36">
        <f>IF(ISERROR(H29/D29),0,(H29/D29))</f>
        <v>8.6858301677893698E-2</v>
      </c>
      <c r="J29" s="36">
        <f t="shared" si="10"/>
        <v>0.85878641987952731</v>
      </c>
      <c r="K29" s="111">
        <f t="shared" si="11"/>
        <v>0.85267961734320175</v>
      </c>
    </row>
    <row r="30" spans="1:11" s="1" customFormat="1" x14ac:dyDescent="0.2">
      <c r="A30" s="110" t="s">
        <v>77</v>
      </c>
      <c r="B30" s="74"/>
      <c r="C30" s="35"/>
      <c r="D30" s="35">
        <f>SUM(D25,D26,D28)</f>
        <v>53.694227999999995</v>
      </c>
      <c r="E30" s="73"/>
      <c r="F30" s="35"/>
      <c r="G30" s="35">
        <f>SUM(G25,G26,G28)</f>
        <v>58.354227999999999</v>
      </c>
      <c r="H30" s="35">
        <f t="shared" si="1"/>
        <v>4.6600000000000037</v>
      </c>
      <c r="I30" s="36">
        <f>IF(ISERROR(H30/D30),0,(H30/D30))</f>
        <v>8.6787726978773294E-2</v>
      </c>
      <c r="J30" s="36">
        <f t="shared" si="10"/>
        <v>0.85942896401260949</v>
      </c>
      <c r="K30" s="111">
        <f t="shared" si="11"/>
        <v>0.85331759236567528</v>
      </c>
    </row>
    <row r="31" spans="1:11" x14ac:dyDescent="0.2">
      <c r="A31" s="107" t="s">
        <v>40</v>
      </c>
      <c r="B31" s="73">
        <f>B8</f>
        <v>55.2</v>
      </c>
      <c r="C31" s="126">
        <f>VLOOKUP($B$3,'Data for Bill Impacts'!$A$3:$Y$15,15,0)</f>
        <v>5.6559999999999996E-3</v>
      </c>
      <c r="D31" s="22">
        <f>B31*C31</f>
        <v>0.31221119999999997</v>
      </c>
      <c r="E31" s="73">
        <f t="shared" si="6"/>
        <v>55.2</v>
      </c>
      <c r="F31" s="78">
        <f>VLOOKUP($B$3,'Data for Bill Impacts'!$A$3:$Y$15,24,0)</f>
        <v>5.7999999999999996E-3</v>
      </c>
      <c r="G31" s="22">
        <f>E31*F31</f>
        <v>0.32016</v>
      </c>
      <c r="H31" s="22">
        <f t="shared" si="1"/>
        <v>7.9488000000000336E-3</v>
      </c>
      <c r="I31" s="23">
        <f t="shared" si="2"/>
        <v>2.5459688826025569E-2</v>
      </c>
      <c r="J31" s="23">
        <f t="shared" si="10"/>
        <v>4.7152500606858693E-3</v>
      </c>
      <c r="K31" s="108">
        <f t="shared" si="11"/>
        <v>4.6817200695688172E-3</v>
      </c>
    </row>
    <row r="32" spans="1:11" x14ac:dyDescent="0.2">
      <c r="A32" s="107" t="s">
        <v>41</v>
      </c>
      <c r="B32" s="73">
        <f>B8</f>
        <v>55.2</v>
      </c>
      <c r="C32" s="126">
        <f>VLOOKUP($B$3,'Data for Bill Impacts'!$A$3:$Y$15,16,0)</f>
        <v>4.8209999999999998E-3</v>
      </c>
      <c r="D32" s="22">
        <f>B32*C32</f>
        <v>0.2661192</v>
      </c>
      <c r="E32" s="73">
        <f t="shared" si="6"/>
        <v>55.2</v>
      </c>
      <c r="F32" s="78">
        <f>VLOOKUP($B$3,'Data for Bill Impacts'!$A$3:$Y$15,25,0)</f>
        <v>4.7000000000000002E-3</v>
      </c>
      <c r="G32" s="22">
        <f>E32*F32</f>
        <v>0.25944</v>
      </c>
      <c r="H32" s="22">
        <f t="shared" si="1"/>
        <v>-6.6791999999999963E-3</v>
      </c>
      <c r="I32" s="23">
        <f t="shared" si="2"/>
        <v>-2.5098527276498639E-2</v>
      </c>
      <c r="J32" s="23">
        <f t="shared" si="10"/>
        <v>3.8209784974523424E-3</v>
      </c>
      <c r="K32" s="108">
        <f t="shared" si="11"/>
        <v>3.7938076425816278E-3</v>
      </c>
    </row>
    <row r="33" spans="1:11" s="1" customFormat="1" x14ac:dyDescent="0.2">
      <c r="A33" s="110" t="s">
        <v>76</v>
      </c>
      <c r="B33" s="74"/>
      <c r="C33" s="35"/>
      <c r="D33" s="35">
        <f>SUM(D31:D32)</f>
        <v>0.57833040000000002</v>
      </c>
      <c r="E33" s="73"/>
      <c r="F33" s="35"/>
      <c r="G33" s="35">
        <f>SUM(G31:G32)</f>
        <v>0.5796</v>
      </c>
      <c r="H33" s="35">
        <f t="shared" si="1"/>
        <v>1.2695999999999819E-3</v>
      </c>
      <c r="I33" s="36">
        <f t="shared" si="2"/>
        <v>2.1952849098023927E-3</v>
      </c>
      <c r="J33" s="36">
        <f t="shared" si="10"/>
        <v>8.5362285581382126E-3</v>
      </c>
      <c r="K33" s="111">
        <f t="shared" si="11"/>
        <v>8.4755277121504446E-3</v>
      </c>
    </row>
    <row r="34" spans="1:11" s="1" customFormat="1" x14ac:dyDescent="0.2">
      <c r="A34" s="110" t="s">
        <v>95</v>
      </c>
      <c r="B34" s="74"/>
      <c r="C34" s="35"/>
      <c r="D34" s="35">
        <f>D29+D33</f>
        <v>54.228930399999996</v>
      </c>
      <c r="E34" s="73"/>
      <c r="F34" s="35"/>
      <c r="G34" s="35">
        <f>G29+G33</f>
        <v>58.8902</v>
      </c>
      <c r="H34" s="35">
        <f t="shared" si="1"/>
        <v>4.6612696000000042</v>
      </c>
      <c r="I34" s="36">
        <f t="shared" si="2"/>
        <v>8.5955403612386294E-2</v>
      </c>
      <c r="J34" s="36">
        <f t="shared" si="10"/>
        <v>0.86732264843766549</v>
      </c>
      <c r="K34" s="111">
        <f t="shared" si="11"/>
        <v>0.86115514505535218</v>
      </c>
    </row>
    <row r="35" spans="1:11" s="1" customFormat="1" x14ac:dyDescent="0.2">
      <c r="A35" s="110" t="s">
        <v>96</v>
      </c>
      <c r="B35" s="74"/>
      <c r="C35" s="35"/>
      <c r="D35" s="35">
        <f>D30+D33</f>
        <v>54.272558399999994</v>
      </c>
      <c r="E35" s="73"/>
      <c r="F35" s="35"/>
      <c r="G35" s="35">
        <f>G30+G33</f>
        <v>58.933827999999998</v>
      </c>
      <c r="H35" s="35">
        <f t="shared" si="1"/>
        <v>4.6612696000000042</v>
      </c>
      <c r="I35" s="36">
        <f t="shared" si="2"/>
        <v>8.5886306771195159E-2</v>
      </c>
      <c r="J35" s="36">
        <f t="shared" si="10"/>
        <v>0.86796519257074767</v>
      </c>
      <c r="K35" s="111">
        <f t="shared" si="11"/>
        <v>0.86179312007782571</v>
      </c>
    </row>
    <row r="36" spans="1:11" x14ac:dyDescent="0.2">
      <c r="A36" s="107" t="s">
        <v>42</v>
      </c>
      <c r="B36" s="73">
        <f>B8</f>
        <v>55.2</v>
      </c>
      <c r="C36" s="34">
        <v>3.5999999999999999E-3</v>
      </c>
      <c r="D36" s="22">
        <f>B36*C36</f>
        <v>0.19872000000000001</v>
      </c>
      <c r="E36" s="73">
        <f t="shared" si="6"/>
        <v>55.2</v>
      </c>
      <c r="F36" s="34">
        <v>3.5999999999999999E-3</v>
      </c>
      <c r="G36" s="22">
        <f>E36*F36</f>
        <v>0.19872000000000001</v>
      </c>
      <c r="H36" s="22">
        <f t="shared" si="1"/>
        <v>0</v>
      </c>
      <c r="I36" s="23">
        <f t="shared" si="2"/>
        <v>0</v>
      </c>
      <c r="J36" s="23">
        <f t="shared" si="10"/>
        <v>2.9267069342188154E-3</v>
      </c>
      <c r="K36" s="108">
        <f t="shared" si="11"/>
        <v>2.9058952155944381E-3</v>
      </c>
    </row>
    <row r="37" spans="1:11" x14ac:dyDescent="0.2">
      <c r="A37" s="107" t="s">
        <v>43</v>
      </c>
      <c r="B37" s="73">
        <f>B8</f>
        <v>55.2</v>
      </c>
      <c r="C37" s="34">
        <v>2.0999999999999999E-3</v>
      </c>
      <c r="D37" s="22">
        <f>B37*C37</f>
        <v>0.11592</v>
      </c>
      <c r="E37" s="73">
        <f t="shared" si="6"/>
        <v>55.2</v>
      </c>
      <c r="F37" s="34">
        <v>2.0999999999999999E-3</v>
      </c>
      <c r="G37" s="22">
        <f>E37*F37</f>
        <v>0.11592</v>
      </c>
      <c r="H37" s="22">
        <f>G37-D37</f>
        <v>0</v>
      </c>
      <c r="I37" s="23">
        <f t="shared" si="2"/>
        <v>0</v>
      </c>
      <c r="J37" s="23">
        <f t="shared" si="10"/>
        <v>1.7072457116276423E-3</v>
      </c>
      <c r="K37" s="108">
        <f t="shared" si="11"/>
        <v>1.6951055424300888E-3</v>
      </c>
    </row>
    <row r="38" spans="1:11" x14ac:dyDescent="0.2">
      <c r="A38" s="107" t="s">
        <v>100</v>
      </c>
      <c r="B38" s="73">
        <f>B8</f>
        <v>55.2</v>
      </c>
      <c r="C38" s="34">
        <v>1.1000000000000001E-3</v>
      </c>
      <c r="D38" s="22">
        <f>B38*C38</f>
        <v>6.072000000000001E-2</v>
      </c>
      <c r="E38" s="73">
        <f t="shared" si="6"/>
        <v>55.2</v>
      </c>
      <c r="F38" s="34">
        <v>1.1000000000000001E-3</v>
      </c>
      <c r="G38" s="22">
        <f>E38*F38</f>
        <v>6.072000000000001E-2</v>
      </c>
      <c r="H38" s="22">
        <f>G38-D38</f>
        <v>0</v>
      </c>
      <c r="I38" s="23">
        <f t="shared" ref="I38" si="12">IF(ISERROR(H38/D38),0,(H38/D38))</f>
        <v>0</v>
      </c>
      <c r="J38" s="23">
        <f t="shared" ref="J38" si="13">G38/$G$46</f>
        <v>8.9427156323352707E-4</v>
      </c>
      <c r="K38" s="108">
        <f t="shared" ref="K38" si="14">G38/$G$51</f>
        <v>8.8791242698718956E-4</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10"/>
        <v>3.6819481358429142E-3</v>
      </c>
      <c r="K39" s="108">
        <f t="shared" si="11"/>
        <v>3.6557659213899431E-3</v>
      </c>
    </row>
    <row r="40" spans="1:11" s="1" customFormat="1" x14ac:dyDescent="0.2">
      <c r="A40" s="110" t="s">
        <v>45</v>
      </c>
      <c r="B40" s="74"/>
      <c r="C40" s="35"/>
      <c r="D40" s="35">
        <f>SUM(D36:D39)</f>
        <v>0.62536000000000003</v>
      </c>
      <c r="E40" s="73"/>
      <c r="F40" s="35"/>
      <c r="G40" s="35">
        <f>SUM(G36:G39)</f>
        <v>0.62536000000000003</v>
      </c>
      <c r="H40" s="35">
        <f t="shared" si="1"/>
        <v>0</v>
      </c>
      <c r="I40" s="36">
        <f t="shared" si="2"/>
        <v>0</v>
      </c>
      <c r="J40" s="36">
        <f t="shared" si="10"/>
        <v>9.2101723449228984E-3</v>
      </c>
      <c r="K40" s="111">
        <f t="shared" si="11"/>
        <v>9.1446791064016594E-3</v>
      </c>
    </row>
    <row r="41" spans="1:11" s="1" customFormat="1" ht="13.5" thickBot="1" x14ac:dyDescent="0.25">
      <c r="A41" s="112" t="s">
        <v>46</v>
      </c>
      <c r="B41" s="113">
        <f>B4</f>
        <v>50</v>
      </c>
      <c r="C41" s="114">
        <v>0</v>
      </c>
      <c r="D41" s="115">
        <f>B41*C41</f>
        <v>0</v>
      </c>
      <c r="E41" s="116">
        <f t="shared" si="6"/>
        <v>50</v>
      </c>
      <c r="F41" s="114">
        <f>C41</f>
        <v>0</v>
      </c>
      <c r="G41" s="115">
        <f>E41*F41</f>
        <v>0</v>
      </c>
      <c r="H41" s="115">
        <f t="shared" si="1"/>
        <v>0</v>
      </c>
      <c r="I41" s="117">
        <f t="shared" si="2"/>
        <v>0</v>
      </c>
      <c r="J41" s="117">
        <f t="shared" si="10"/>
        <v>0</v>
      </c>
      <c r="K41" s="118">
        <f t="shared" si="11"/>
        <v>0</v>
      </c>
    </row>
    <row r="42" spans="1:11" s="1" customFormat="1" x14ac:dyDescent="0.2">
      <c r="A42" s="37" t="s">
        <v>137</v>
      </c>
      <c r="B42" s="38"/>
      <c r="C42" s="39"/>
      <c r="D42" s="39">
        <f>SUM(D14,D25,D26,D27,D33,D40,D41)</f>
        <v>60.004290399999995</v>
      </c>
      <c r="E42" s="38"/>
      <c r="F42" s="39"/>
      <c r="G42" s="39">
        <f>SUM(G14,G25,G26,G27,G33,G40,G41)</f>
        <v>64.665559999999999</v>
      </c>
      <c r="H42" s="39">
        <f t="shared" si="1"/>
        <v>4.6612696000000042</v>
      </c>
      <c r="I42" s="40">
        <f>IF(ISERROR(H42/D42),0,(H42/D42))</f>
        <v>7.7682271866346492E-2</v>
      </c>
      <c r="J42" s="40">
        <f t="shared" si="10"/>
        <v>0.95238095238095244</v>
      </c>
      <c r="K42" s="41"/>
    </row>
    <row r="43" spans="1:11" x14ac:dyDescent="0.2">
      <c r="A43" s="150" t="s">
        <v>138</v>
      </c>
      <c r="B43" s="43"/>
      <c r="C43" s="26">
        <v>0.13</v>
      </c>
      <c r="D43" s="26">
        <f>D42*C43</f>
        <v>7.8005577519999996</v>
      </c>
      <c r="E43" s="26"/>
      <c r="F43" s="26">
        <f>C43</f>
        <v>0.13</v>
      </c>
      <c r="G43" s="26">
        <f>G42*F43</f>
        <v>8.4065227999999994</v>
      </c>
      <c r="H43" s="26">
        <f t="shared" si="1"/>
        <v>0.60596504799999984</v>
      </c>
      <c r="I43" s="44">
        <f t="shared" si="2"/>
        <v>7.7682271866346395E-2</v>
      </c>
      <c r="J43" s="44">
        <f t="shared" si="10"/>
        <v>0.1238095238095238</v>
      </c>
      <c r="K43" s="45"/>
    </row>
    <row r="44" spans="1:11" s="1" customFormat="1" x14ac:dyDescent="0.2">
      <c r="A44" s="46" t="s">
        <v>139</v>
      </c>
      <c r="B44" s="24"/>
      <c r="C44" s="25"/>
      <c r="D44" s="25">
        <f>SUM(D42:D43)</f>
        <v>67.804848151999991</v>
      </c>
      <c r="E44" s="25"/>
      <c r="F44" s="25"/>
      <c r="G44" s="25">
        <f>SUM(G42:G43)</f>
        <v>73.072082800000004</v>
      </c>
      <c r="H44" s="25">
        <f t="shared" si="1"/>
        <v>5.267234648000013</v>
      </c>
      <c r="I44" s="27">
        <f t="shared" si="2"/>
        <v>7.7682271866346617E-2</v>
      </c>
      <c r="J44" s="27">
        <f t="shared" si="10"/>
        <v>1.0761904761904764</v>
      </c>
      <c r="K44" s="47"/>
    </row>
    <row r="45" spans="1:11" x14ac:dyDescent="0.2">
      <c r="A45" s="42" t="s">
        <v>140</v>
      </c>
      <c r="B45" s="43"/>
      <c r="C45" s="26">
        <v>-0.08</v>
      </c>
      <c r="D45" s="26">
        <f>D42*C45</f>
        <v>-4.8003432319999995</v>
      </c>
      <c r="E45" s="26"/>
      <c r="F45" s="26">
        <f>C45</f>
        <v>-0.08</v>
      </c>
      <c r="G45" s="26">
        <f>G42*F45</f>
        <v>-5.1732448</v>
      </c>
      <c r="H45" s="26">
        <f t="shared" si="1"/>
        <v>-0.37290156800000052</v>
      </c>
      <c r="I45" s="44">
        <f t="shared" si="2"/>
        <v>7.7682271866346533E-2</v>
      </c>
      <c r="J45" s="44">
        <f t="shared" si="10"/>
        <v>-7.6190476190476197E-2</v>
      </c>
      <c r="K45" s="45"/>
    </row>
    <row r="46" spans="1:11" s="1" customFormat="1" ht="13.5" thickBot="1" x14ac:dyDescent="0.25">
      <c r="A46" s="48" t="s">
        <v>141</v>
      </c>
      <c r="B46" s="49"/>
      <c r="C46" s="50"/>
      <c r="D46" s="50">
        <f>SUM(D44:D45)</f>
        <v>63.004504919999988</v>
      </c>
      <c r="E46" s="50"/>
      <c r="F46" s="50"/>
      <c r="G46" s="50">
        <f>SUM(G44:G45)</f>
        <v>67.898837999999998</v>
      </c>
      <c r="H46" s="50">
        <f t="shared" si="1"/>
        <v>4.8943330800000098</v>
      </c>
      <c r="I46" s="51">
        <f t="shared" si="2"/>
        <v>7.7682271866346575E-2</v>
      </c>
      <c r="J46" s="51">
        <f t="shared" si="10"/>
        <v>1</v>
      </c>
      <c r="K46" s="52"/>
    </row>
    <row r="47" spans="1:11" x14ac:dyDescent="0.2">
      <c r="A47" s="53" t="s">
        <v>142</v>
      </c>
      <c r="B47" s="54"/>
      <c r="C47" s="55"/>
      <c r="D47" s="55">
        <f>SUM(D18,D25,D26,D28,D33,D40,D41)</f>
        <v>60.467418399999993</v>
      </c>
      <c r="E47" s="55"/>
      <c r="F47" s="55"/>
      <c r="G47" s="55">
        <f>SUM(G18,G25,G26,G28,G33,G40,G41)</f>
        <v>65.128687999999997</v>
      </c>
      <c r="H47" s="55">
        <f>G47-D47</f>
        <v>4.6612696000000042</v>
      </c>
      <c r="I47" s="56">
        <f>IF(ISERROR(H47/D47),0,(H47/D47))</f>
        <v>7.708729301398462E-2</v>
      </c>
      <c r="J47" s="56"/>
      <c r="K47" s="57">
        <f>G47/$G$51</f>
        <v>0.95238095238095255</v>
      </c>
    </row>
    <row r="48" spans="1:11" x14ac:dyDescent="0.2">
      <c r="A48" s="58" t="s">
        <v>138</v>
      </c>
      <c r="B48" s="59"/>
      <c r="C48" s="31">
        <v>0.13</v>
      </c>
      <c r="D48" s="31">
        <f>D47*C48</f>
        <v>7.8607643919999992</v>
      </c>
      <c r="E48" s="31"/>
      <c r="F48" s="31">
        <f>C48</f>
        <v>0.13</v>
      </c>
      <c r="G48" s="31">
        <f>G47*F48</f>
        <v>8.4667294399999999</v>
      </c>
      <c r="H48" s="31">
        <f>G48-D48</f>
        <v>0.60596504800000073</v>
      </c>
      <c r="I48" s="32">
        <f>IF(ISERROR(H48/D48),0,(H48/D48))</f>
        <v>7.7087293013984634E-2</v>
      </c>
      <c r="J48" s="32"/>
      <c r="K48" s="60">
        <f>G48/$G$51</f>
        <v>0.12380952380952383</v>
      </c>
    </row>
    <row r="49" spans="1:11" x14ac:dyDescent="0.2">
      <c r="A49" s="61" t="s">
        <v>143</v>
      </c>
      <c r="B49" s="29"/>
      <c r="C49" s="30"/>
      <c r="D49" s="30">
        <f>SUM(D47:D48)</f>
        <v>68.328182791999993</v>
      </c>
      <c r="E49" s="30"/>
      <c r="F49" s="30"/>
      <c r="G49" s="30">
        <f>SUM(G47:G48)</f>
        <v>73.595417439999991</v>
      </c>
      <c r="H49" s="30">
        <f>G49-D49</f>
        <v>5.2672346479999987</v>
      </c>
      <c r="I49" s="33">
        <f>IF(ISERROR(H49/D49),0,(H49/D49))</f>
        <v>7.7087293013984523E-2</v>
      </c>
      <c r="J49" s="33"/>
      <c r="K49" s="62">
        <f>G49/$G$51</f>
        <v>1.0761904761904764</v>
      </c>
    </row>
    <row r="50" spans="1:11" x14ac:dyDescent="0.2">
      <c r="A50" s="58" t="s">
        <v>140</v>
      </c>
      <c r="B50" s="59"/>
      <c r="C50" s="31">
        <v>-0.08</v>
      </c>
      <c r="D50" s="31">
        <f>D47*C50</f>
        <v>-4.8373934719999996</v>
      </c>
      <c r="E50" s="31"/>
      <c r="F50" s="31">
        <f>C50</f>
        <v>-0.08</v>
      </c>
      <c r="G50" s="31">
        <f>G47*F50</f>
        <v>-5.2102950400000001</v>
      </c>
      <c r="H50" s="31">
        <f>G50-D50</f>
        <v>-0.37290156800000052</v>
      </c>
      <c r="I50" s="32">
        <f>IF(ISERROR(H50/D50),0,(H50/D50))</f>
        <v>7.7087293013984648E-2</v>
      </c>
      <c r="J50" s="32"/>
      <c r="K50" s="60">
        <f>G50/$G$51</f>
        <v>-7.6190476190476211E-2</v>
      </c>
    </row>
    <row r="51" spans="1:11" ht="13.5" thickBot="1" x14ac:dyDescent="0.25">
      <c r="A51" s="63" t="s">
        <v>144</v>
      </c>
      <c r="B51" s="64"/>
      <c r="C51" s="65"/>
      <c r="D51" s="65">
        <f>SUM(D49:D50)</f>
        <v>63.49078931999999</v>
      </c>
      <c r="E51" s="65"/>
      <c r="F51" s="65"/>
      <c r="G51" s="65">
        <f>SUM(G49:G50)</f>
        <v>68.385122399999986</v>
      </c>
      <c r="H51" s="65">
        <f>G51-D51</f>
        <v>4.8943330799999956</v>
      </c>
      <c r="I51" s="66">
        <f>IF(ISERROR(H51/D51),0,(H51/D51))</f>
        <v>7.7087293013984481E-2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c r="K64"/>
    </row>
    <row r="65" spans="6:11" x14ac:dyDescent="0.2">
      <c r="F65" s="69"/>
      <c r="K65"/>
    </row>
    <row r="66" spans="6:11" x14ac:dyDescent="0.2">
      <c r="F66" s="69"/>
      <c r="K66"/>
    </row>
    <row r="67" spans="6:11" x14ac:dyDescent="0.2">
      <c r="F67" s="69"/>
      <c r="K67"/>
    </row>
    <row r="68" spans="6:11" x14ac:dyDescent="0.2">
      <c r="F68" s="69"/>
      <c r="K68"/>
    </row>
  </sheetData>
  <mergeCells count="1">
    <mergeCell ref="A1:K1"/>
  </mergeCell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1" tint="0.499984740745262"/>
    <pageSetUpPr fitToPage="1"/>
  </sheetPr>
  <dimension ref="A1:K68"/>
  <sheetViews>
    <sheetView view="pageBreakPreview" topLeftCell="A19" zoomScaleNormal="100" zoomScaleSheetLayoutView="100" workbookViewId="0">
      <selection activeCell="C19" sqref="C19"/>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48" t="s">
        <v>110</v>
      </c>
      <c r="B1" s="349"/>
      <c r="C1" s="349"/>
      <c r="D1" s="349"/>
      <c r="E1" s="349"/>
      <c r="F1" s="349"/>
      <c r="G1" s="349"/>
      <c r="H1" s="349"/>
      <c r="I1" s="349"/>
      <c r="J1" s="349"/>
      <c r="K1" s="350"/>
    </row>
    <row r="3" spans="1:11" x14ac:dyDescent="0.2">
      <c r="A3" s="13" t="s">
        <v>13</v>
      </c>
      <c r="B3" s="13" t="s">
        <v>3</v>
      </c>
    </row>
    <row r="4" spans="1:11" x14ac:dyDescent="0.2">
      <c r="A4" s="15" t="s">
        <v>62</v>
      </c>
      <c r="B4" s="15">
        <v>350</v>
      </c>
    </row>
    <row r="5" spans="1:11" x14ac:dyDescent="0.2">
      <c r="A5" s="15" t="s">
        <v>16</v>
      </c>
      <c r="B5" s="15">
        <f>VLOOKUP($B$3,'Data for Bill Impacts'!$A$3:$Y$15,5,0)</f>
        <v>0</v>
      </c>
    </row>
    <row r="6" spans="1:11" x14ac:dyDescent="0.2">
      <c r="A6" s="15" t="s">
        <v>20</v>
      </c>
      <c r="B6" s="15">
        <f>VLOOKUP($B$3,'Data for Bill Impacts'!$A$3:$Y$15,2,0)</f>
        <v>1.1040000000000001</v>
      </c>
    </row>
    <row r="7" spans="1:11" x14ac:dyDescent="0.2">
      <c r="A7" s="15" t="s">
        <v>15</v>
      </c>
      <c r="B7" s="15">
        <f>VLOOKUP($B$3,'Data for Bill Impacts'!$A$3:$Y$15,4,0)</f>
        <v>600</v>
      </c>
    </row>
    <row r="8" spans="1:11" x14ac:dyDescent="0.2">
      <c r="A8" s="15" t="s">
        <v>82</v>
      </c>
      <c r="B8" s="193">
        <f>B4*B6</f>
        <v>386.40000000000003</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350</v>
      </c>
      <c r="C12" s="103">
        <v>0.10299999999999999</v>
      </c>
      <c r="D12" s="104">
        <f>B12*C12</f>
        <v>36.049999999999997</v>
      </c>
      <c r="E12" s="102">
        <f>B12</f>
        <v>350</v>
      </c>
      <c r="F12" s="103">
        <f>C12</f>
        <v>0.10299999999999999</v>
      </c>
      <c r="G12" s="104">
        <f>E12*F12</f>
        <v>36.049999999999997</v>
      </c>
      <c r="H12" s="104">
        <f>G12-D12</f>
        <v>0</v>
      </c>
      <c r="I12" s="105">
        <f>IF(ISERROR(H12/D12),0,(H12/D12))</f>
        <v>0</v>
      </c>
      <c r="J12" s="105">
        <f>G12/$G$46</f>
        <v>0.30111961535272685</v>
      </c>
      <c r="K12" s="106"/>
    </row>
    <row r="13" spans="1:11" x14ac:dyDescent="0.2">
      <c r="A13" s="107" t="s">
        <v>32</v>
      </c>
      <c r="B13" s="73">
        <f>IF(B4&gt;B7,(B4)-B7,0)</f>
        <v>0</v>
      </c>
      <c r="C13" s="21">
        <v>0.121</v>
      </c>
      <c r="D13" s="22">
        <f>B13*C13</f>
        <v>0</v>
      </c>
      <c r="E13" s="73">
        <f t="shared" ref="E13" si="0">B13</f>
        <v>0</v>
      </c>
      <c r="F13" s="21">
        <f>C13</f>
        <v>0.121</v>
      </c>
      <c r="G13" s="22">
        <f>E13*F13</f>
        <v>0</v>
      </c>
      <c r="H13" s="22">
        <f t="shared" ref="H13:H46" si="1">G13-D13</f>
        <v>0</v>
      </c>
      <c r="I13" s="23">
        <f t="shared" ref="I13:I46" si="2">IF(ISERROR(H13/D13),0,(H13/D13))</f>
        <v>0</v>
      </c>
      <c r="J13" s="23">
        <f>G13/$G$46</f>
        <v>0</v>
      </c>
      <c r="K13" s="108"/>
    </row>
    <row r="14" spans="1:11" s="1" customFormat="1" x14ac:dyDescent="0.2">
      <c r="A14" s="46" t="s">
        <v>33</v>
      </c>
      <c r="B14" s="24"/>
      <c r="C14" s="25"/>
      <c r="D14" s="25">
        <f>SUM(D12:D13)</f>
        <v>36.049999999999997</v>
      </c>
      <c r="E14" s="76"/>
      <c r="F14" s="25"/>
      <c r="G14" s="25">
        <f>SUM(G12:G13)</f>
        <v>36.049999999999997</v>
      </c>
      <c r="H14" s="25">
        <f t="shared" si="1"/>
        <v>0</v>
      </c>
      <c r="I14" s="27">
        <f t="shared" si="2"/>
        <v>0</v>
      </c>
      <c r="J14" s="27">
        <f>G14/$G$46</f>
        <v>0.30111961535272685</v>
      </c>
      <c r="K14" s="108"/>
    </row>
    <row r="15" spans="1:11" s="1" customFormat="1" x14ac:dyDescent="0.2">
      <c r="A15" s="109" t="s">
        <v>34</v>
      </c>
      <c r="B15" s="75">
        <f>B4*0.65</f>
        <v>227.5</v>
      </c>
      <c r="C15" s="28">
        <v>8.6999999999999994E-2</v>
      </c>
      <c r="D15" s="22">
        <f>B15*C15</f>
        <v>19.792499999999997</v>
      </c>
      <c r="E15" s="73">
        <f t="shared" ref="E15:F17" si="3">B15</f>
        <v>227.5</v>
      </c>
      <c r="F15" s="28">
        <f t="shared" si="3"/>
        <v>8.6999999999999994E-2</v>
      </c>
      <c r="G15" s="22">
        <f>E15*F15</f>
        <v>19.792499999999997</v>
      </c>
      <c r="H15" s="22">
        <f t="shared" si="1"/>
        <v>0</v>
      </c>
      <c r="I15" s="23">
        <f t="shared" si="2"/>
        <v>0</v>
      </c>
      <c r="J15" s="23"/>
      <c r="K15" s="108">
        <f t="shared" ref="K15:K26" si="4">G15/$G$51</f>
        <v>0.16075276160452437</v>
      </c>
    </row>
    <row r="16" spans="1:11" s="1" customFormat="1" x14ac:dyDescent="0.2">
      <c r="A16" s="109" t="s">
        <v>35</v>
      </c>
      <c r="B16" s="75">
        <f>B4*0.17</f>
        <v>59.500000000000007</v>
      </c>
      <c r="C16" s="28">
        <v>0.13200000000000001</v>
      </c>
      <c r="D16" s="22">
        <f>B16*C16</f>
        <v>7.854000000000001</v>
      </c>
      <c r="E16" s="73">
        <f t="shared" si="3"/>
        <v>59.500000000000007</v>
      </c>
      <c r="F16" s="28">
        <f t="shared" si="3"/>
        <v>0.13200000000000001</v>
      </c>
      <c r="G16" s="22">
        <f>E16*F16</f>
        <v>7.854000000000001</v>
      </c>
      <c r="H16" s="22">
        <f t="shared" si="1"/>
        <v>0</v>
      </c>
      <c r="I16" s="23">
        <f t="shared" si="2"/>
        <v>0</v>
      </c>
      <c r="J16" s="23"/>
      <c r="K16" s="108">
        <f t="shared" si="4"/>
        <v>6.3789424764023481E-2</v>
      </c>
    </row>
    <row r="17" spans="1:11" s="1" customFormat="1" x14ac:dyDescent="0.2">
      <c r="A17" s="109" t="s">
        <v>36</v>
      </c>
      <c r="B17" s="75">
        <f>B4*0.18</f>
        <v>63</v>
      </c>
      <c r="C17" s="28">
        <v>0.18</v>
      </c>
      <c r="D17" s="22">
        <f>B17*C17</f>
        <v>11.34</v>
      </c>
      <c r="E17" s="73">
        <f t="shared" si="3"/>
        <v>63</v>
      </c>
      <c r="F17" s="28">
        <f t="shared" si="3"/>
        <v>0.18</v>
      </c>
      <c r="G17" s="22">
        <f>E17*F17</f>
        <v>11.34</v>
      </c>
      <c r="H17" s="22">
        <f t="shared" si="1"/>
        <v>0</v>
      </c>
      <c r="I17" s="23">
        <f t="shared" si="2"/>
        <v>0</v>
      </c>
      <c r="J17" s="23"/>
      <c r="K17" s="108">
        <f t="shared" si="4"/>
        <v>9.2102378001531218E-2</v>
      </c>
    </row>
    <row r="18" spans="1:11" s="1" customFormat="1" x14ac:dyDescent="0.2">
      <c r="A18" s="61" t="s">
        <v>37</v>
      </c>
      <c r="B18" s="29"/>
      <c r="C18" s="30"/>
      <c r="D18" s="30">
        <f>SUM(D15:D17)</f>
        <v>38.986499999999992</v>
      </c>
      <c r="E18" s="77"/>
      <c r="F18" s="30"/>
      <c r="G18" s="30">
        <f>SUM(G15:G17)</f>
        <v>38.986499999999992</v>
      </c>
      <c r="H18" s="31">
        <f t="shared" si="1"/>
        <v>0</v>
      </c>
      <c r="I18" s="32">
        <f t="shared" si="2"/>
        <v>0</v>
      </c>
      <c r="J18" s="33">
        <f t="shared" ref="J18:J23" si="5">G18/$G$46</f>
        <v>0.32564770829262368</v>
      </c>
      <c r="K18" s="62">
        <f t="shared" si="4"/>
        <v>0.31664456437007904</v>
      </c>
    </row>
    <row r="19" spans="1:11" x14ac:dyDescent="0.2">
      <c r="A19" s="107" t="s">
        <v>38</v>
      </c>
      <c r="B19" s="73">
        <v>1</v>
      </c>
      <c r="C19" s="78">
        <f>VLOOKUP($B$3,'Data for Bill Impacts'!$A$3:$Y$15,7,0)</f>
        <v>50.12</v>
      </c>
      <c r="D19" s="22">
        <f>B19*C19</f>
        <v>50.12</v>
      </c>
      <c r="E19" s="73">
        <f t="shared" ref="E19:E41" si="6">B19</f>
        <v>1</v>
      </c>
      <c r="F19" s="78">
        <f>VLOOKUP($B$3,'Data for Bill Impacts'!$A$3:$Y$15,17,0)</f>
        <v>55.4</v>
      </c>
      <c r="G19" s="22">
        <f>E19*F19</f>
        <v>55.4</v>
      </c>
      <c r="H19" s="22">
        <f t="shared" si="1"/>
        <v>5.2800000000000011</v>
      </c>
      <c r="I19" s="23">
        <f t="shared" si="2"/>
        <v>0.1053471667996808</v>
      </c>
      <c r="J19" s="23">
        <f t="shared" si="5"/>
        <v>0.46274692622860109</v>
      </c>
      <c r="K19" s="108">
        <f t="shared" si="4"/>
        <v>0.44995341633905023</v>
      </c>
    </row>
    <row r="20" spans="1:11" hidden="1" x14ac:dyDescent="0.2">
      <c r="A20" s="107" t="s">
        <v>83</v>
      </c>
      <c r="B20" s="73">
        <v>1</v>
      </c>
      <c r="C20" s="78">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145</v>
      </c>
      <c r="B21" s="73">
        <v>1</v>
      </c>
      <c r="C21" s="78">
        <v>0</v>
      </c>
      <c r="D21" s="22">
        <f t="shared" ref="D21:D22" si="8">B21*C21</f>
        <v>0</v>
      </c>
      <c r="E21" s="73">
        <f t="shared" si="6"/>
        <v>1</v>
      </c>
      <c r="F21" s="122">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v>
      </c>
      <c r="D22" s="22">
        <f t="shared" si="8"/>
        <v>0</v>
      </c>
      <c r="E22" s="73">
        <f t="shared" si="6"/>
        <v>1</v>
      </c>
      <c r="F22" s="122">
        <f>VLOOKUP($B$3,'Data for Bill Impacts'!$A$3:$Y$15,22,0)</f>
        <v>0</v>
      </c>
      <c r="G22" s="22">
        <f t="shared" si="7"/>
        <v>0</v>
      </c>
      <c r="H22" s="22">
        <f t="shared" si="1"/>
        <v>0</v>
      </c>
      <c r="I22" s="23">
        <f t="shared" si="2"/>
        <v>0</v>
      </c>
      <c r="J22" s="23">
        <f t="shared" si="5"/>
        <v>0</v>
      </c>
      <c r="K22" s="108">
        <f t="shared" si="4"/>
        <v>0</v>
      </c>
    </row>
    <row r="23" spans="1:11" x14ac:dyDescent="0.2">
      <c r="A23" s="107" t="s">
        <v>39</v>
      </c>
      <c r="B23" s="73">
        <f>IF($B$9="kWh",$B$4,$B$5)</f>
        <v>350</v>
      </c>
      <c r="C23" s="126">
        <f>VLOOKUP($B$3,'Data for Bill Impacts'!$A$3:$Y$15,10,0)</f>
        <v>4.3900000000000002E-2</v>
      </c>
      <c r="D23" s="22">
        <f>B23*C23</f>
        <v>15.365</v>
      </c>
      <c r="E23" s="73">
        <f t="shared" si="6"/>
        <v>350</v>
      </c>
      <c r="F23" s="78">
        <f>VLOOKUP($B$3,'Data for Bill Impacts'!$A$3:$Y$15,19,0)</f>
        <v>3.15E-2</v>
      </c>
      <c r="G23" s="22">
        <f>E23*F23</f>
        <v>11.025</v>
      </c>
      <c r="H23" s="22">
        <f t="shared" si="1"/>
        <v>-4.34</v>
      </c>
      <c r="I23" s="23">
        <f t="shared" si="2"/>
        <v>-0.28246013667425968</v>
      </c>
      <c r="J23" s="23">
        <f t="shared" si="5"/>
        <v>9.2089979452532986E-2</v>
      </c>
      <c r="K23" s="108">
        <f t="shared" si="4"/>
        <v>8.9543978612599801E-2</v>
      </c>
    </row>
    <row r="24" spans="1:11" x14ac:dyDescent="0.2">
      <c r="A24" s="107" t="s">
        <v>194</v>
      </c>
      <c r="B24" s="73">
        <f>IF($B$9="kWh",$B$4,$B$5)</f>
        <v>350</v>
      </c>
      <c r="C24" s="126">
        <f>VLOOKUP($B$3,'Data for Bill Impacts'!$A$3:$Y$15,14,0)</f>
        <v>2.0000000000000001E-4</v>
      </c>
      <c r="D24" s="22">
        <f>B24*C24</f>
        <v>7.0000000000000007E-2</v>
      </c>
      <c r="E24" s="73">
        <f t="shared" si="6"/>
        <v>350</v>
      </c>
      <c r="F24" s="126">
        <f>VLOOKUP($B$3,'Data for Bill Impacts'!$A$3:$Y$15,23,0)</f>
        <v>2.0000000000000001E-4</v>
      </c>
      <c r="G24" s="22">
        <f>E24*F24</f>
        <v>7.0000000000000007E-2</v>
      </c>
      <c r="H24" s="22">
        <f t="shared" si="1"/>
        <v>0</v>
      </c>
      <c r="I24" s="23">
        <f>IF(ISERROR(H24/D24),0,(H24/D24))</f>
        <v>0</v>
      </c>
      <c r="J24" s="23">
        <f t="shared" ref="J24" si="9">G24/$G$46</f>
        <v>5.846982822383047E-4</v>
      </c>
      <c r="K24" s="108">
        <f t="shared" si="4"/>
        <v>5.6853319754031622E-4</v>
      </c>
    </row>
    <row r="25" spans="1:11" s="1" customFormat="1" x14ac:dyDescent="0.2">
      <c r="A25" s="110" t="s">
        <v>72</v>
      </c>
      <c r="B25" s="74"/>
      <c r="C25" s="35"/>
      <c r="D25" s="35">
        <f>SUM(D19:D24)</f>
        <v>65.554999999999993</v>
      </c>
      <c r="E25" s="73"/>
      <c r="F25" s="35"/>
      <c r="G25" s="35">
        <f>SUM(G19:G24)</f>
        <v>66.49499999999999</v>
      </c>
      <c r="H25" s="35">
        <f t="shared" si="1"/>
        <v>0.93999999999999773</v>
      </c>
      <c r="I25" s="36">
        <f t="shared" si="2"/>
        <v>1.4339104568682752E-2</v>
      </c>
      <c r="J25" s="36">
        <f>G25/$G$46</f>
        <v>0.55542160396337226</v>
      </c>
      <c r="K25" s="111">
        <f t="shared" si="4"/>
        <v>0.5400659281491903</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G26/$G$46</f>
        <v>6.598737756689438E-3</v>
      </c>
      <c r="K26" s="108">
        <f t="shared" si="4"/>
        <v>6.4163032293835685E-3</v>
      </c>
    </row>
    <row r="27" spans="1:11" s="1" customFormat="1" x14ac:dyDescent="0.2">
      <c r="A27" s="119" t="s">
        <v>75</v>
      </c>
      <c r="B27" s="120">
        <f>B8-B4</f>
        <v>36.400000000000034</v>
      </c>
      <c r="C27" s="121">
        <f>IF(B4&gt;B7,C13,C12)</f>
        <v>0.10299999999999999</v>
      </c>
      <c r="D27" s="22">
        <f>B27*C27</f>
        <v>3.7492000000000032</v>
      </c>
      <c r="E27" s="73">
        <f>B27</f>
        <v>36.400000000000034</v>
      </c>
      <c r="F27" s="121">
        <f>C27</f>
        <v>0.10299999999999999</v>
      </c>
      <c r="G27" s="22">
        <f>E27*F27</f>
        <v>3.7492000000000032</v>
      </c>
      <c r="H27" s="22">
        <f t="shared" si="1"/>
        <v>0</v>
      </c>
      <c r="I27" s="23">
        <f>IF(ISERROR(H27/D27),0,(H27/D27))</f>
        <v>0</v>
      </c>
      <c r="J27" s="23">
        <f t="shared" ref="J27:J46" si="10">G27/$G$46</f>
        <v>3.1316439996683626E-2</v>
      </c>
      <c r="K27" s="108">
        <f t="shared" ref="K27:K41" si="11">G27/$G$51</f>
        <v>3.0450638060259359E-2</v>
      </c>
    </row>
    <row r="28" spans="1:11" s="1" customFormat="1" x14ac:dyDescent="0.2">
      <c r="A28" s="119" t="s">
        <v>74</v>
      </c>
      <c r="B28" s="120">
        <f>B8-B4</f>
        <v>36.400000000000034</v>
      </c>
      <c r="C28" s="121">
        <f>0.65*C15+0.17*C16+0.18*C17</f>
        <v>0.11139</v>
      </c>
      <c r="D28" s="22">
        <f>B28*C28</f>
        <v>4.0545960000000036</v>
      </c>
      <c r="E28" s="73">
        <f>B28</f>
        <v>36.400000000000034</v>
      </c>
      <c r="F28" s="121">
        <f>C28</f>
        <v>0.11139</v>
      </c>
      <c r="G28" s="22">
        <f>E28*F28</f>
        <v>4.0545960000000036</v>
      </c>
      <c r="H28" s="22">
        <f t="shared" si="1"/>
        <v>0</v>
      </c>
      <c r="I28" s="23">
        <f>IF(ISERROR(H28/D28),0,(H28/D28))</f>
        <v>0</v>
      </c>
      <c r="J28" s="23">
        <f t="shared" si="10"/>
        <v>3.3867361662432899E-2</v>
      </c>
      <c r="K28" s="108">
        <f t="shared" si="11"/>
        <v>3.2931034694488256E-2</v>
      </c>
    </row>
    <row r="29" spans="1:11" s="1" customFormat="1" x14ac:dyDescent="0.2">
      <c r="A29" s="110" t="s">
        <v>78</v>
      </c>
      <c r="B29" s="74"/>
      <c r="C29" s="35"/>
      <c r="D29" s="35">
        <f>SUM(D25,D26:D27)</f>
        <v>70.094200000000001</v>
      </c>
      <c r="E29" s="73"/>
      <c r="F29" s="35"/>
      <c r="G29" s="35">
        <f>SUM(G25,G26:G27)</f>
        <v>71.034199999999998</v>
      </c>
      <c r="H29" s="35">
        <f t="shared" si="1"/>
        <v>0.93999999999999773</v>
      </c>
      <c r="I29" s="36">
        <f>IF(ISERROR(H29/D29),0,(H29/D29))</f>
        <v>1.3410524693911874E-2</v>
      </c>
      <c r="J29" s="36">
        <f t="shared" si="10"/>
        <v>0.59333678171674542</v>
      </c>
      <c r="K29" s="111">
        <f t="shared" si="11"/>
        <v>0.57693286943883326</v>
      </c>
    </row>
    <row r="30" spans="1:11" s="1" customFormat="1" x14ac:dyDescent="0.2">
      <c r="A30" s="110" t="s">
        <v>77</v>
      </c>
      <c r="B30" s="74"/>
      <c r="C30" s="35"/>
      <c r="D30" s="35">
        <f>SUM(D25,D26,D28)</f>
        <v>70.399596000000003</v>
      </c>
      <c r="E30" s="73"/>
      <c r="F30" s="35"/>
      <c r="G30" s="35">
        <f>SUM(G25,G26,G28)</f>
        <v>71.339596</v>
      </c>
      <c r="H30" s="35">
        <f t="shared" si="1"/>
        <v>0.93999999999999773</v>
      </c>
      <c r="I30" s="36">
        <f>IF(ISERROR(H30/D30),0,(H30/D30))</f>
        <v>1.3352349351550222E-2</v>
      </c>
      <c r="J30" s="36">
        <f t="shared" si="10"/>
        <v>0.59588770338249464</v>
      </c>
      <c r="K30" s="111">
        <f t="shared" si="11"/>
        <v>0.57941326607306209</v>
      </c>
    </row>
    <row r="31" spans="1:11" x14ac:dyDescent="0.2">
      <c r="A31" s="107" t="s">
        <v>40</v>
      </c>
      <c r="B31" s="73">
        <f>B8</f>
        <v>386.40000000000003</v>
      </c>
      <c r="C31" s="126">
        <f>VLOOKUP($B$3,'Data for Bill Impacts'!$A$3:$Y$15,15,0)</f>
        <v>5.6559999999999996E-3</v>
      </c>
      <c r="D31" s="22">
        <f>B31*C31</f>
        <v>2.1854784</v>
      </c>
      <c r="E31" s="73">
        <f t="shared" si="6"/>
        <v>386.40000000000003</v>
      </c>
      <c r="F31" s="78">
        <f>VLOOKUP($B$3,'Data for Bill Impacts'!$A$3:$Y$15,24,0)</f>
        <v>5.7999999999999996E-3</v>
      </c>
      <c r="G31" s="22">
        <f>E31*F31</f>
        <v>2.24112</v>
      </c>
      <c r="H31" s="22">
        <f t="shared" si="1"/>
        <v>5.5641599999999958E-2</v>
      </c>
      <c r="I31" s="23">
        <f t="shared" si="2"/>
        <v>2.545968882602544E-2</v>
      </c>
      <c r="J31" s="23">
        <f t="shared" si="10"/>
        <v>1.871970020414156E-2</v>
      </c>
      <c r="K31" s="108">
        <f t="shared" si="11"/>
        <v>1.8202158852450762E-2</v>
      </c>
    </row>
    <row r="32" spans="1:11" x14ac:dyDescent="0.2">
      <c r="A32" s="107" t="s">
        <v>41</v>
      </c>
      <c r="B32" s="73">
        <f>B8</f>
        <v>386.40000000000003</v>
      </c>
      <c r="C32" s="126">
        <f>VLOOKUP($B$3,'Data for Bill Impacts'!$A$3:$Y$15,16,0)</f>
        <v>4.8209999999999998E-3</v>
      </c>
      <c r="D32" s="22">
        <f>B32*C32</f>
        <v>1.8628344000000001</v>
      </c>
      <c r="E32" s="73">
        <f t="shared" si="6"/>
        <v>386.40000000000003</v>
      </c>
      <c r="F32" s="78">
        <f>VLOOKUP($B$3,'Data for Bill Impacts'!$A$3:$Y$15,25,0)</f>
        <v>4.7000000000000002E-3</v>
      </c>
      <c r="G32" s="22">
        <f>E32*F32</f>
        <v>1.8160800000000001</v>
      </c>
      <c r="H32" s="22">
        <f t="shared" si="1"/>
        <v>-4.6754399999999974E-2</v>
      </c>
      <c r="I32" s="23">
        <f t="shared" si="2"/>
        <v>-2.5098527276498635E-2</v>
      </c>
      <c r="J32" s="23">
        <f t="shared" si="10"/>
        <v>1.5169412234390577E-2</v>
      </c>
      <c r="K32" s="108">
        <f t="shared" si="11"/>
        <v>1.4750025276985964E-2</v>
      </c>
    </row>
    <row r="33" spans="1:11" s="1" customFormat="1" x14ac:dyDescent="0.2">
      <c r="A33" s="110" t="s">
        <v>76</v>
      </c>
      <c r="B33" s="74"/>
      <c r="C33" s="35"/>
      <c r="D33" s="35">
        <f>SUM(D31:D32)</f>
        <v>4.0483127999999997</v>
      </c>
      <c r="E33" s="73"/>
      <c r="F33" s="35"/>
      <c r="G33" s="35">
        <f>SUM(G31:G32)</f>
        <v>4.0571999999999999</v>
      </c>
      <c r="H33" s="35">
        <f t="shared" si="1"/>
        <v>8.887200000000206E-3</v>
      </c>
      <c r="I33" s="36">
        <f t="shared" si="2"/>
        <v>2.1952849098024756E-3</v>
      </c>
      <c r="J33" s="36">
        <f t="shared" si="10"/>
        <v>3.3889112438532133E-2</v>
      </c>
      <c r="K33" s="111">
        <f t="shared" si="11"/>
        <v>3.2952184129436728E-2</v>
      </c>
    </row>
    <row r="34" spans="1:11" s="1" customFormat="1" x14ac:dyDescent="0.2">
      <c r="A34" s="110" t="s">
        <v>95</v>
      </c>
      <c r="B34" s="74"/>
      <c r="C34" s="35"/>
      <c r="D34" s="35">
        <f>D29+D33</f>
        <v>74.142512800000006</v>
      </c>
      <c r="E34" s="73"/>
      <c r="F34" s="35"/>
      <c r="G34" s="35">
        <f>G29+G33</f>
        <v>75.091399999999993</v>
      </c>
      <c r="H34" s="35">
        <f t="shared" si="1"/>
        <v>0.94888719999998727</v>
      </c>
      <c r="I34" s="36">
        <f t="shared" si="2"/>
        <v>1.2798152694927102E-2</v>
      </c>
      <c r="J34" s="36">
        <f t="shared" si="10"/>
        <v>0.62722589415527752</v>
      </c>
      <c r="K34" s="111">
        <f t="shared" si="11"/>
        <v>0.60988505356826994</v>
      </c>
    </row>
    <row r="35" spans="1:11" s="1" customFormat="1" x14ac:dyDescent="0.2">
      <c r="A35" s="110" t="s">
        <v>96</v>
      </c>
      <c r="B35" s="74"/>
      <c r="C35" s="35"/>
      <c r="D35" s="35">
        <f>D30+D33</f>
        <v>74.447908800000008</v>
      </c>
      <c r="E35" s="73"/>
      <c r="F35" s="35"/>
      <c r="G35" s="35">
        <f>G30+G33</f>
        <v>75.396795999999995</v>
      </c>
      <c r="H35" s="35">
        <f t="shared" si="1"/>
        <v>0.94888719999998727</v>
      </c>
      <c r="I35" s="36">
        <f t="shared" si="2"/>
        <v>1.2745652836926793E-2</v>
      </c>
      <c r="J35" s="36">
        <f t="shared" si="10"/>
        <v>0.62977681582102674</v>
      </c>
      <c r="K35" s="111">
        <f t="shared" si="11"/>
        <v>0.61236545020249877</v>
      </c>
    </row>
    <row r="36" spans="1:11" x14ac:dyDescent="0.2">
      <c r="A36" s="107" t="s">
        <v>42</v>
      </c>
      <c r="B36" s="73">
        <f>B8</f>
        <v>386.40000000000003</v>
      </c>
      <c r="C36" s="34">
        <v>3.5999999999999999E-3</v>
      </c>
      <c r="D36" s="22">
        <f>B36*C36</f>
        <v>1.3910400000000001</v>
      </c>
      <c r="E36" s="73">
        <f t="shared" si="6"/>
        <v>386.40000000000003</v>
      </c>
      <c r="F36" s="34">
        <v>3.5999999999999999E-3</v>
      </c>
      <c r="G36" s="22">
        <f>E36*F36</f>
        <v>1.3910400000000001</v>
      </c>
      <c r="H36" s="22">
        <f t="shared" si="1"/>
        <v>0</v>
      </c>
      <c r="I36" s="23">
        <f t="shared" si="2"/>
        <v>0</v>
      </c>
      <c r="J36" s="23">
        <f t="shared" si="10"/>
        <v>1.161912426463959E-2</v>
      </c>
      <c r="K36" s="108">
        <f t="shared" si="11"/>
        <v>1.1297891701521163E-2</v>
      </c>
    </row>
    <row r="37" spans="1:11" x14ac:dyDescent="0.2">
      <c r="A37" s="107" t="s">
        <v>43</v>
      </c>
      <c r="B37" s="73">
        <f>B8</f>
        <v>386.40000000000003</v>
      </c>
      <c r="C37" s="34">
        <v>2.0999999999999999E-3</v>
      </c>
      <c r="D37" s="22">
        <f>B37*C37</f>
        <v>0.81144000000000005</v>
      </c>
      <c r="E37" s="73">
        <f t="shared" si="6"/>
        <v>386.40000000000003</v>
      </c>
      <c r="F37" s="34">
        <v>2.0999999999999999E-3</v>
      </c>
      <c r="G37" s="22">
        <f>E37*F37</f>
        <v>0.81144000000000005</v>
      </c>
      <c r="H37" s="22">
        <f>G37-D37</f>
        <v>0</v>
      </c>
      <c r="I37" s="23">
        <f t="shared" si="2"/>
        <v>0</v>
      </c>
      <c r="J37" s="23">
        <f t="shared" si="10"/>
        <v>6.7778224877064275E-3</v>
      </c>
      <c r="K37" s="108">
        <f t="shared" si="11"/>
        <v>6.5904368258873454E-3</v>
      </c>
    </row>
    <row r="38" spans="1:11" x14ac:dyDescent="0.2">
      <c r="A38" s="107" t="s">
        <v>100</v>
      </c>
      <c r="B38" s="73">
        <f>B8</f>
        <v>386.40000000000003</v>
      </c>
      <c r="C38" s="34">
        <v>1.1000000000000001E-3</v>
      </c>
      <c r="D38" s="22">
        <f>B38*C38</f>
        <v>0.42504000000000008</v>
      </c>
      <c r="E38" s="73">
        <f t="shared" si="6"/>
        <v>386.40000000000003</v>
      </c>
      <c r="F38" s="34">
        <v>1.1000000000000001E-3</v>
      </c>
      <c r="G38" s="22">
        <f>E38*F38</f>
        <v>0.42504000000000008</v>
      </c>
      <c r="H38" s="22">
        <f>G38-D38</f>
        <v>0</v>
      </c>
      <c r="I38" s="23">
        <f t="shared" ref="I38" si="12">IF(ISERROR(H38/D38),0,(H38/D38))</f>
        <v>0</v>
      </c>
      <c r="J38" s="23">
        <f t="shared" ref="J38" si="13">G38/$G$46</f>
        <v>3.5502879697509866E-3</v>
      </c>
      <c r="K38" s="108">
        <f t="shared" ref="K38" si="14">G38/$G$51</f>
        <v>3.4521335754648004E-3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10"/>
        <v>2.0882081508510879E-3</v>
      </c>
      <c r="K39" s="108">
        <f t="shared" si="11"/>
        <v>2.0304757055011292E-3</v>
      </c>
    </row>
    <row r="40" spans="1:11" s="1" customFormat="1" x14ac:dyDescent="0.2">
      <c r="A40" s="110" t="s">
        <v>45</v>
      </c>
      <c r="B40" s="74"/>
      <c r="C40" s="35"/>
      <c r="D40" s="35">
        <f>SUM(D36:D39)</f>
        <v>2.8775200000000001</v>
      </c>
      <c r="E40" s="73"/>
      <c r="F40" s="35"/>
      <c r="G40" s="35">
        <f>SUM(G36:G39)</f>
        <v>2.8775200000000001</v>
      </c>
      <c r="H40" s="35">
        <f t="shared" si="1"/>
        <v>0</v>
      </c>
      <c r="I40" s="36">
        <f t="shared" si="2"/>
        <v>0</v>
      </c>
      <c r="J40" s="36">
        <f t="shared" si="10"/>
        <v>2.4035442872948093E-2</v>
      </c>
      <c r="K40" s="111">
        <f t="shared" si="11"/>
        <v>2.3370937808374438E-2</v>
      </c>
    </row>
    <row r="41" spans="1:11" s="1" customFormat="1" ht="13.5" thickBot="1" x14ac:dyDescent="0.25">
      <c r="A41" s="112" t="s">
        <v>46</v>
      </c>
      <c r="B41" s="113">
        <f>B4</f>
        <v>350</v>
      </c>
      <c r="C41" s="114">
        <v>0</v>
      </c>
      <c r="D41" s="115">
        <f>B41*C41</f>
        <v>0</v>
      </c>
      <c r="E41" s="116">
        <f t="shared" si="6"/>
        <v>350</v>
      </c>
      <c r="F41" s="114">
        <f>C41</f>
        <v>0</v>
      </c>
      <c r="G41" s="115">
        <f>E41*F41</f>
        <v>0</v>
      </c>
      <c r="H41" s="115">
        <f t="shared" si="1"/>
        <v>0</v>
      </c>
      <c r="I41" s="117">
        <f t="shared" si="2"/>
        <v>0</v>
      </c>
      <c r="J41" s="117">
        <f t="shared" si="10"/>
        <v>0</v>
      </c>
      <c r="K41" s="118">
        <f t="shared" si="11"/>
        <v>0</v>
      </c>
    </row>
    <row r="42" spans="1:11" s="1" customFormat="1" x14ac:dyDescent="0.2">
      <c r="A42" s="37" t="s">
        <v>137</v>
      </c>
      <c r="B42" s="38"/>
      <c r="C42" s="39"/>
      <c r="D42" s="39">
        <f>SUM(D14,D25,D26,D27,D33,D40,D41)</f>
        <v>113.07003280000001</v>
      </c>
      <c r="E42" s="38"/>
      <c r="F42" s="39"/>
      <c r="G42" s="39">
        <f>SUM(G14,G25,G26,G27,G33,G40,G41)</f>
        <v>114.01891999999999</v>
      </c>
      <c r="H42" s="39">
        <f t="shared" si="1"/>
        <v>0.94888719999998727</v>
      </c>
      <c r="I42" s="40">
        <f>IF(ISERROR(H42/D42),0,(H42/D42))</f>
        <v>8.3920308193276404E-3</v>
      </c>
      <c r="J42" s="40">
        <f t="shared" si="10"/>
        <v>0.95238095238095244</v>
      </c>
      <c r="K42" s="41"/>
    </row>
    <row r="43" spans="1:11" x14ac:dyDescent="0.2">
      <c r="A43" s="150" t="s">
        <v>138</v>
      </c>
      <c r="B43" s="43"/>
      <c r="C43" s="26">
        <v>0.13</v>
      </c>
      <c r="D43" s="26">
        <f>D42*C43</f>
        <v>14.699104264000001</v>
      </c>
      <c r="E43" s="26"/>
      <c r="F43" s="26">
        <f>C43</f>
        <v>0.13</v>
      </c>
      <c r="G43" s="26">
        <f>G42*F43</f>
        <v>14.8224596</v>
      </c>
      <c r="H43" s="26">
        <f t="shared" si="1"/>
        <v>0.12335533599999948</v>
      </c>
      <c r="I43" s="44">
        <f t="shared" si="2"/>
        <v>8.3920308193277185E-3</v>
      </c>
      <c r="J43" s="44">
        <f t="shared" si="10"/>
        <v>0.12380952380952383</v>
      </c>
      <c r="K43" s="45"/>
    </row>
    <row r="44" spans="1:11" s="1" customFormat="1" x14ac:dyDescent="0.2">
      <c r="A44" s="46" t="s">
        <v>139</v>
      </c>
      <c r="B44" s="24"/>
      <c r="C44" s="25"/>
      <c r="D44" s="25">
        <f>SUM(D42:D43)</f>
        <v>127.76913706400001</v>
      </c>
      <c r="E44" s="25"/>
      <c r="F44" s="25"/>
      <c r="G44" s="25">
        <f>SUM(G42:G43)</f>
        <v>128.84137959999998</v>
      </c>
      <c r="H44" s="25">
        <f t="shared" si="1"/>
        <v>1.0722425359999761</v>
      </c>
      <c r="I44" s="27">
        <f t="shared" si="2"/>
        <v>8.3920308193275658E-3</v>
      </c>
      <c r="J44" s="27">
        <f t="shared" si="10"/>
        <v>1.0761904761904761</v>
      </c>
      <c r="K44" s="47"/>
    </row>
    <row r="45" spans="1:11" x14ac:dyDescent="0.2">
      <c r="A45" s="42" t="s">
        <v>140</v>
      </c>
      <c r="B45" s="43"/>
      <c r="C45" s="26">
        <v>-0.08</v>
      </c>
      <c r="D45" s="26">
        <f>D42*C45</f>
        <v>-9.0456026240000007</v>
      </c>
      <c r="E45" s="26"/>
      <c r="F45" s="26">
        <f>C45</f>
        <v>-0.08</v>
      </c>
      <c r="G45" s="26">
        <f>G42*F45</f>
        <v>-9.1215136000000001</v>
      </c>
      <c r="H45" s="26">
        <f t="shared" si="1"/>
        <v>-7.5910975999999408E-2</v>
      </c>
      <c r="I45" s="44">
        <f t="shared" si="2"/>
        <v>8.3920308193276873E-3</v>
      </c>
      <c r="J45" s="44">
        <f t="shared" si="10"/>
        <v>-7.6190476190476197E-2</v>
      </c>
      <c r="K45" s="45"/>
    </row>
    <row r="46" spans="1:11" s="1" customFormat="1" ht="13.5" thickBot="1" x14ac:dyDescent="0.25">
      <c r="A46" s="48" t="s">
        <v>141</v>
      </c>
      <c r="B46" s="49"/>
      <c r="C46" s="50"/>
      <c r="D46" s="50">
        <f>SUM(D44:D45)</f>
        <v>118.72353444000001</v>
      </c>
      <c r="E46" s="50"/>
      <c r="F46" s="50"/>
      <c r="G46" s="50">
        <f>SUM(G44:G45)</f>
        <v>119.71986599999998</v>
      </c>
      <c r="H46" s="50">
        <f t="shared" si="1"/>
        <v>0.99633155999997314</v>
      </c>
      <c r="I46" s="51">
        <f t="shared" si="2"/>
        <v>8.3920308193275277E-3</v>
      </c>
      <c r="J46" s="51">
        <f t="shared" si="10"/>
        <v>1</v>
      </c>
      <c r="K46" s="52"/>
    </row>
    <row r="47" spans="1:11" x14ac:dyDescent="0.2">
      <c r="A47" s="53" t="s">
        <v>142</v>
      </c>
      <c r="B47" s="54"/>
      <c r="C47" s="55"/>
      <c r="D47" s="55">
        <f>SUM(D18,D25,D26,D28,D33,D40,D41)</f>
        <v>116.3119288</v>
      </c>
      <c r="E47" s="55"/>
      <c r="F47" s="55"/>
      <c r="G47" s="55">
        <f>SUM(G18,G25,G26,G28,G33,G40,G41)</f>
        <v>117.26081599999999</v>
      </c>
      <c r="H47" s="55">
        <f>G47-D47</f>
        <v>0.94888719999998727</v>
      </c>
      <c r="I47" s="56">
        <f>IF(ISERROR(H47/D47),0,(H47/D47))</f>
        <v>8.1581245345145308E-3</v>
      </c>
      <c r="J47" s="56"/>
      <c r="K47" s="57">
        <f>G47/$G$51</f>
        <v>0.95238095238095233</v>
      </c>
    </row>
    <row r="48" spans="1:11" x14ac:dyDescent="0.2">
      <c r="A48" s="58" t="s">
        <v>138</v>
      </c>
      <c r="B48" s="59"/>
      <c r="C48" s="31">
        <v>0.13</v>
      </c>
      <c r="D48" s="31">
        <f>D47*C48</f>
        <v>15.120550744000001</v>
      </c>
      <c r="E48" s="31"/>
      <c r="F48" s="31">
        <f>C48</f>
        <v>0.13</v>
      </c>
      <c r="G48" s="31">
        <f>G47*F48</f>
        <v>15.243906079999999</v>
      </c>
      <c r="H48" s="31">
        <f>G48-D48</f>
        <v>0.12335533599999771</v>
      </c>
      <c r="I48" s="32">
        <f>IF(ISERROR(H48/D48),0,(H48/D48))</f>
        <v>8.1581245345144875E-3</v>
      </c>
      <c r="J48" s="32"/>
      <c r="K48" s="60">
        <f>G48/$G$51</f>
        <v>0.1238095238095238</v>
      </c>
    </row>
    <row r="49" spans="1:11" x14ac:dyDescent="0.2">
      <c r="A49" s="61" t="s">
        <v>143</v>
      </c>
      <c r="B49" s="29"/>
      <c r="C49" s="30"/>
      <c r="D49" s="30">
        <f>SUM(D47:D48)</f>
        <v>131.43247954400002</v>
      </c>
      <c r="E49" s="30"/>
      <c r="F49" s="30"/>
      <c r="G49" s="30">
        <f>SUM(G47:G48)</f>
        <v>132.50472207999999</v>
      </c>
      <c r="H49" s="30">
        <f>G49-D49</f>
        <v>1.0722425359999761</v>
      </c>
      <c r="I49" s="33">
        <f>IF(ISERROR(H49/D49),0,(H49/D49))</f>
        <v>8.158124534514458E-3</v>
      </c>
      <c r="J49" s="33"/>
      <c r="K49" s="62">
        <f>G49/$G$51</f>
        <v>1.0761904761904761</v>
      </c>
    </row>
    <row r="50" spans="1:11" x14ac:dyDescent="0.2">
      <c r="A50" s="58" t="s">
        <v>140</v>
      </c>
      <c r="B50" s="59"/>
      <c r="C50" s="31">
        <v>-0.08</v>
      </c>
      <c r="D50" s="31">
        <f>D47*C50</f>
        <v>-9.3049543040000007</v>
      </c>
      <c r="E50" s="31"/>
      <c r="F50" s="31">
        <f>C50</f>
        <v>-0.08</v>
      </c>
      <c r="G50" s="31">
        <f>G47*F50</f>
        <v>-9.3808652800000001</v>
      </c>
      <c r="H50" s="31">
        <f>G50-D50</f>
        <v>-7.5910975999999408E-2</v>
      </c>
      <c r="I50" s="32">
        <f>IF(ISERROR(H50/D50),0,(H50/D50))</f>
        <v>8.1581245345145759E-3</v>
      </c>
      <c r="J50" s="32"/>
      <c r="K50" s="60">
        <f>G50/$G$51</f>
        <v>-7.6190476190476197E-2</v>
      </c>
    </row>
    <row r="51" spans="1:11" ht="13.5" thickBot="1" x14ac:dyDescent="0.25">
      <c r="A51" s="63" t="s">
        <v>144</v>
      </c>
      <c r="B51" s="64"/>
      <c r="C51" s="65"/>
      <c r="D51" s="65">
        <f>SUM(D49:D50)</f>
        <v>122.12752524000001</v>
      </c>
      <c r="E51" s="65"/>
      <c r="F51" s="65"/>
      <c r="G51" s="65">
        <f>SUM(G49:G50)</f>
        <v>123.1238568</v>
      </c>
      <c r="H51" s="65">
        <f>G51-D51</f>
        <v>0.99633155999998735</v>
      </c>
      <c r="I51" s="66">
        <f>IF(ISERROR(H51/D51),0,(H51/D51))</f>
        <v>8.158124534514536E-3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0" tint="-0.499984740745262"/>
    <pageSetUpPr fitToPage="1"/>
  </sheetPr>
  <dimension ref="A1:K68"/>
  <sheetViews>
    <sheetView topLeftCell="A19" workbookViewId="0">
      <selection activeCell="C19" sqref="C19"/>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48" t="s">
        <v>112</v>
      </c>
      <c r="B1" s="349"/>
      <c r="C1" s="349"/>
      <c r="D1" s="349"/>
      <c r="E1" s="349"/>
      <c r="F1" s="349"/>
      <c r="G1" s="349"/>
      <c r="H1" s="349"/>
      <c r="I1" s="349"/>
      <c r="J1" s="349"/>
      <c r="K1" s="350"/>
    </row>
    <row r="3" spans="1:11" x14ac:dyDescent="0.2">
      <c r="A3" s="13" t="s">
        <v>13</v>
      </c>
      <c r="B3" s="13" t="s">
        <v>3</v>
      </c>
    </row>
    <row r="4" spans="1:11" x14ac:dyDescent="0.2">
      <c r="A4" s="15" t="s">
        <v>62</v>
      </c>
      <c r="B4" s="79">
        <f>'Data for Bill Impacts_HONI Avg '!C6</f>
        <v>352</v>
      </c>
    </row>
    <row r="5" spans="1:11" x14ac:dyDescent="0.2">
      <c r="A5" s="15" t="s">
        <v>16</v>
      </c>
      <c r="B5" s="15">
        <f>VLOOKUP($B$3,'Data for Bill Impacts'!$A$3:$Y$15,5,0)</f>
        <v>0</v>
      </c>
    </row>
    <row r="6" spans="1:11" x14ac:dyDescent="0.2">
      <c r="A6" s="15" t="s">
        <v>20</v>
      </c>
      <c r="B6" s="15">
        <f>VLOOKUP($B$3,'Data for Bill Impacts'!$A$3:$Y$15,2,0)</f>
        <v>1.1040000000000001</v>
      </c>
    </row>
    <row r="7" spans="1:11" x14ac:dyDescent="0.2">
      <c r="A7" s="15" t="s">
        <v>15</v>
      </c>
      <c r="B7" s="15">
        <f>VLOOKUP($B$3,'Data for Bill Impacts'!$A$3:$Y$15,4,0)</f>
        <v>600</v>
      </c>
    </row>
    <row r="8" spans="1:11" x14ac:dyDescent="0.2">
      <c r="A8" s="15" t="s">
        <v>82</v>
      </c>
      <c r="B8" s="193">
        <f>B4*B6</f>
        <v>388.60800000000006</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352</v>
      </c>
      <c r="C12" s="103">
        <v>0.10299999999999999</v>
      </c>
      <c r="D12" s="104">
        <f>B12*C12</f>
        <v>36.256</v>
      </c>
      <c r="E12" s="102">
        <f>B12</f>
        <v>352</v>
      </c>
      <c r="F12" s="103">
        <f>C12</f>
        <v>0.10299999999999999</v>
      </c>
      <c r="G12" s="104">
        <f>E12*F12</f>
        <v>36.256</v>
      </c>
      <c r="H12" s="104">
        <f>G12-D12</f>
        <v>0</v>
      </c>
      <c r="I12" s="105">
        <f>IF(ISERROR(H12/D12),0,(H12/D12))</f>
        <v>0</v>
      </c>
      <c r="J12" s="105">
        <f>G12/$G$46</f>
        <v>0.30196891246836988</v>
      </c>
      <c r="K12" s="106"/>
    </row>
    <row r="13" spans="1:11" x14ac:dyDescent="0.2">
      <c r="A13" s="107" t="s">
        <v>32</v>
      </c>
      <c r="B13" s="73">
        <f>IF(B4&gt;B7,(B4)-B7,0)</f>
        <v>0</v>
      </c>
      <c r="C13" s="21">
        <v>0.121</v>
      </c>
      <c r="D13" s="22">
        <f>B13*C13</f>
        <v>0</v>
      </c>
      <c r="E13" s="73">
        <f t="shared" ref="E13" si="0">B13</f>
        <v>0</v>
      </c>
      <c r="F13" s="21">
        <f>C13</f>
        <v>0.121</v>
      </c>
      <c r="G13" s="22">
        <f>E13*F13</f>
        <v>0</v>
      </c>
      <c r="H13" s="22">
        <f t="shared" ref="H13:H46" si="1">G13-D13</f>
        <v>0</v>
      </c>
      <c r="I13" s="23">
        <f t="shared" ref="I13:I46" si="2">IF(ISERROR(H13/D13),0,(H13/D13))</f>
        <v>0</v>
      </c>
      <c r="J13" s="23">
        <f>G13/$G$46</f>
        <v>0</v>
      </c>
      <c r="K13" s="108"/>
    </row>
    <row r="14" spans="1:11" s="1" customFormat="1" x14ac:dyDescent="0.2">
      <c r="A14" s="46" t="s">
        <v>33</v>
      </c>
      <c r="B14" s="24"/>
      <c r="C14" s="25"/>
      <c r="D14" s="25">
        <f>SUM(D12:D13)</f>
        <v>36.256</v>
      </c>
      <c r="E14" s="76"/>
      <c r="F14" s="25"/>
      <c r="G14" s="25">
        <f>SUM(G12:G13)</f>
        <v>36.256</v>
      </c>
      <c r="H14" s="25">
        <f t="shared" si="1"/>
        <v>0</v>
      </c>
      <c r="I14" s="27">
        <f t="shared" si="2"/>
        <v>0</v>
      </c>
      <c r="J14" s="27">
        <f>G14/$G$46</f>
        <v>0.30196891246836988</v>
      </c>
      <c r="K14" s="108"/>
    </row>
    <row r="15" spans="1:11" s="1" customFormat="1" x14ac:dyDescent="0.2">
      <c r="A15" s="109" t="s">
        <v>34</v>
      </c>
      <c r="B15" s="75">
        <f>B4*0.65</f>
        <v>228.8</v>
      </c>
      <c r="C15" s="28">
        <v>8.6999999999999994E-2</v>
      </c>
      <c r="D15" s="22">
        <f>B15*C15</f>
        <v>19.9056</v>
      </c>
      <c r="E15" s="73">
        <f t="shared" ref="E15:F17" si="3">B15</f>
        <v>228.8</v>
      </c>
      <c r="F15" s="28">
        <f t="shared" si="3"/>
        <v>8.6999999999999994E-2</v>
      </c>
      <c r="G15" s="22">
        <f>E15*F15</f>
        <v>19.9056</v>
      </c>
      <c r="H15" s="22">
        <f t="shared" si="1"/>
        <v>0</v>
      </c>
      <c r="I15" s="23">
        <f t="shared" si="2"/>
        <v>0</v>
      </c>
      <c r="J15" s="23"/>
      <c r="K15" s="108">
        <f t="shared" ref="K15:K26" si="4">G15/$G$51</f>
        <v>0.16119358962503047</v>
      </c>
    </row>
    <row r="16" spans="1:11" s="1" customFormat="1" x14ac:dyDescent="0.2">
      <c r="A16" s="109" t="s">
        <v>35</v>
      </c>
      <c r="B16" s="75">
        <f>B4*0.17</f>
        <v>59.84</v>
      </c>
      <c r="C16" s="28">
        <v>0.13200000000000001</v>
      </c>
      <c r="D16" s="22">
        <f>B16*C16</f>
        <v>7.898880000000001</v>
      </c>
      <c r="E16" s="73">
        <f t="shared" si="3"/>
        <v>59.84</v>
      </c>
      <c r="F16" s="28">
        <f t="shared" si="3"/>
        <v>0.13200000000000001</v>
      </c>
      <c r="G16" s="22">
        <f>E16*F16</f>
        <v>7.898880000000001</v>
      </c>
      <c r="H16" s="22">
        <f t="shared" si="1"/>
        <v>0</v>
      </c>
      <c r="I16" s="23">
        <f t="shared" si="2"/>
        <v>0</v>
      </c>
      <c r="J16" s="23"/>
      <c r="K16" s="108">
        <f t="shared" si="4"/>
        <v>6.3964352806112887E-2</v>
      </c>
    </row>
    <row r="17" spans="1:11" s="1" customFormat="1" x14ac:dyDescent="0.2">
      <c r="A17" s="109" t="s">
        <v>36</v>
      </c>
      <c r="B17" s="75">
        <f>B4*0.18</f>
        <v>63.36</v>
      </c>
      <c r="C17" s="28">
        <v>0.18</v>
      </c>
      <c r="D17" s="22">
        <f>B17*C17</f>
        <v>11.4048</v>
      </c>
      <c r="E17" s="73">
        <f t="shared" si="3"/>
        <v>63.36</v>
      </c>
      <c r="F17" s="28">
        <f t="shared" si="3"/>
        <v>0.18</v>
      </c>
      <c r="G17" s="22">
        <f>E17*F17</f>
        <v>11.4048</v>
      </c>
      <c r="H17" s="22">
        <f t="shared" si="1"/>
        <v>0</v>
      </c>
      <c r="I17" s="23">
        <f t="shared" si="2"/>
        <v>0</v>
      </c>
      <c r="J17" s="23"/>
      <c r="K17" s="108">
        <f t="shared" si="4"/>
        <v>9.2354947901874221E-2</v>
      </c>
    </row>
    <row r="18" spans="1:11" s="1" customFormat="1" x14ac:dyDescent="0.2">
      <c r="A18" s="61" t="s">
        <v>37</v>
      </c>
      <c r="B18" s="29"/>
      <c r="C18" s="30"/>
      <c r="D18" s="30">
        <f>SUM(D15:D17)</f>
        <v>39.20928</v>
      </c>
      <c r="E18" s="77"/>
      <c r="F18" s="30"/>
      <c r="G18" s="30">
        <f>SUM(G15:G17)</f>
        <v>39.20928</v>
      </c>
      <c r="H18" s="31">
        <f t="shared" si="1"/>
        <v>0</v>
      </c>
      <c r="I18" s="32">
        <f t="shared" si="2"/>
        <v>0</v>
      </c>
      <c r="J18" s="33">
        <f t="shared" ref="J18:J23" si="5">G18/$G$46</f>
        <v>0.32656618601797788</v>
      </c>
      <c r="K18" s="62">
        <f t="shared" si="4"/>
        <v>0.31751289033301755</v>
      </c>
    </row>
    <row r="19" spans="1:11" x14ac:dyDescent="0.2">
      <c r="A19" s="107" t="s">
        <v>38</v>
      </c>
      <c r="B19" s="73">
        <v>1</v>
      </c>
      <c r="C19" s="78">
        <f>VLOOKUP($B$3,'Data for Bill Impacts'!$A$3:$Y$15,7,0)</f>
        <v>50.12</v>
      </c>
      <c r="D19" s="22">
        <f>B19*C19</f>
        <v>50.12</v>
      </c>
      <c r="E19" s="73">
        <f t="shared" ref="E19:E41" si="6">B19</f>
        <v>1</v>
      </c>
      <c r="F19" s="78">
        <f>VLOOKUP($B$3,'Data for Bill Impacts'!$A$3:$Y$15,17,0)</f>
        <v>55.4</v>
      </c>
      <c r="G19" s="22">
        <f>E19*F19</f>
        <v>55.4</v>
      </c>
      <c r="H19" s="22">
        <f t="shared" si="1"/>
        <v>5.2800000000000011</v>
      </c>
      <c r="I19" s="23">
        <f t="shared" si="2"/>
        <v>0.1053471667996808</v>
      </c>
      <c r="J19" s="23">
        <f t="shared" si="5"/>
        <v>0.46141542781188472</v>
      </c>
      <c r="K19" s="108">
        <f t="shared" si="4"/>
        <v>0.44862374734882082</v>
      </c>
    </row>
    <row r="20" spans="1:11" hidden="1" x14ac:dyDescent="0.2">
      <c r="A20" s="107" t="s">
        <v>83</v>
      </c>
      <c r="B20" s="73">
        <v>1</v>
      </c>
      <c r="C20" s="78">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145</v>
      </c>
      <c r="B21" s="73">
        <v>1</v>
      </c>
      <c r="C21" s="78">
        <v>0</v>
      </c>
      <c r="D21" s="22">
        <f t="shared" ref="D21:D22" si="8">B21*C21</f>
        <v>0</v>
      </c>
      <c r="E21" s="73">
        <f t="shared" si="6"/>
        <v>1</v>
      </c>
      <c r="F21" s="122">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v>
      </c>
      <c r="D22" s="22">
        <f t="shared" si="8"/>
        <v>0</v>
      </c>
      <c r="E22" s="73">
        <f t="shared" si="6"/>
        <v>1</v>
      </c>
      <c r="F22" s="122">
        <f>VLOOKUP($B$3,'Data for Bill Impacts'!$A$3:$Y$15,22,0)</f>
        <v>0</v>
      </c>
      <c r="G22" s="22">
        <f t="shared" si="7"/>
        <v>0</v>
      </c>
      <c r="H22" s="22">
        <f t="shared" si="1"/>
        <v>0</v>
      </c>
      <c r="I22" s="23">
        <f t="shared" si="2"/>
        <v>0</v>
      </c>
      <c r="J22" s="23">
        <f t="shared" si="5"/>
        <v>0</v>
      </c>
      <c r="K22" s="108">
        <f t="shared" si="4"/>
        <v>0</v>
      </c>
    </row>
    <row r="23" spans="1:11" x14ac:dyDescent="0.2">
      <c r="A23" s="107" t="s">
        <v>39</v>
      </c>
      <c r="B23" s="73">
        <f>IF($B$9="kWh",$B$4,$B$5)</f>
        <v>352</v>
      </c>
      <c r="C23" s="126">
        <f>VLOOKUP($B$3,'Data for Bill Impacts'!$A$3:$Y$15,10,0)</f>
        <v>4.3900000000000002E-2</v>
      </c>
      <c r="D23" s="22">
        <f>B23*C23</f>
        <v>15.4528</v>
      </c>
      <c r="E23" s="73">
        <f t="shared" si="6"/>
        <v>352</v>
      </c>
      <c r="F23" s="78">
        <f>VLOOKUP($B$3,'Data for Bill Impacts'!$A$3:$Y$15,19,0)</f>
        <v>3.15E-2</v>
      </c>
      <c r="G23" s="22">
        <f>E23*F23</f>
        <v>11.088000000000001</v>
      </c>
      <c r="H23" s="22">
        <f t="shared" si="1"/>
        <v>-4.3647999999999989</v>
      </c>
      <c r="I23" s="23">
        <f t="shared" si="2"/>
        <v>-0.28246013667425962</v>
      </c>
      <c r="J23" s="23">
        <f t="shared" si="5"/>
        <v>9.234971594906459E-2</v>
      </c>
      <c r="K23" s="108">
        <f t="shared" si="4"/>
        <v>8.9789532682377715E-2</v>
      </c>
    </row>
    <row r="24" spans="1:11" x14ac:dyDescent="0.2">
      <c r="A24" s="107" t="s">
        <v>194</v>
      </c>
      <c r="B24" s="73">
        <f>IF($B$9="kWh",$B$4,$B$5)</f>
        <v>352</v>
      </c>
      <c r="C24" s="126">
        <f>VLOOKUP($B$3,'Data for Bill Impacts'!$A$3:$Y$15,14,0)</f>
        <v>2.0000000000000001E-4</v>
      </c>
      <c r="D24" s="22">
        <f>B24*C24</f>
        <v>7.0400000000000004E-2</v>
      </c>
      <c r="E24" s="73">
        <f t="shared" si="6"/>
        <v>352</v>
      </c>
      <c r="F24" s="126">
        <f>VLOOKUP($B$3,'Data for Bill Impacts'!$A$3:$Y$15,23,0)</f>
        <v>2.0000000000000001E-4</v>
      </c>
      <c r="G24" s="22">
        <f>E24*F24</f>
        <v>7.0400000000000004E-2</v>
      </c>
      <c r="H24" s="22">
        <f t="shared" si="1"/>
        <v>0</v>
      </c>
      <c r="I24" s="23">
        <f>IF(ISERROR(H24/D24),0,(H24/D24))</f>
        <v>0</v>
      </c>
      <c r="J24" s="23">
        <f t="shared" ref="J24" si="9">G24/$G$46</f>
        <v>5.8634740285120376E-4</v>
      </c>
      <c r="K24" s="108">
        <f t="shared" si="4"/>
        <v>5.7009227099922362E-4</v>
      </c>
    </row>
    <row r="25" spans="1:11" s="1" customFormat="1" x14ac:dyDescent="0.2">
      <c r="A25" s="110" t="s">
        <v>72</v>
      </c>
      <c r="B25" s="74"/>
      <c r="C25" s="35"/>
      <c r="D25" s="35">
        <f>SUM(D19:D24)</f>
        <v>65.643200000000007</v>
      </c>
      <c r="E25" s="73"/>
      <c r="F25" s="35"/>
      <c r="G25" s="35">
        <f>SUM(G19:G24)</f>
        <v>66.558400000000006</v>
      </c>
      <c r="H25" s="35">
        <f t="shared" si="1"/>
        <v>0.91519999999999868</v>
      </c>
      <c r="I25" s="36">
        <f t="shared" si="2"/>
        <v>1.3942038169985597E-2</v>
      </c>
      <c r="J25" s="36">
        <f>G25/$G$46</f>
        <v>0.55435149116380056</v>
      </c>
      <c r="K25" s="111">
        <f t="shared" si="4"/>
        <v>0.53898337230219784</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G26/$G$46</f>
        <v>6.5797506854041324E-3</v>
      </c>
      <c r="K26" s="108">
        <f t="shared" si="4"/>
        <v>6.3973422455878785E-3</v>
      </c>
    </row>
    <row r="27" spans="1:11" s="1" customFormat="1" x14ac:dyDescent="0.2">
      <c r="A27" s="119" t="s">
        <v>75</v>
      </c>
      <c r="B27" s="120">
        <f>B8-B4</f>
        <v>36.608000000000061</v>
      </c>
      <c r="C27" s="121">
        <f>IF(B4&gt;B7,C13,C12)</f>
        <v>0.10299999999999999</v>
      </c>
      <c r="D27" s="22">
        <f>B27*C27</f>
        <v>3.770624000000006</v>
      </c>
      <c r="E27" s="73">
        <f>B27</f>
        <v>36.608000000000061</v>
      </c>
      <c r="F27" s="121">
        <f>C27</f>
        <v>0.10299999999999999</v>
      </c>
      <c r="G27" s="22">
        <f>E27*F27</f>
        <v>3.770624000000006</v>
      </c>
      <c r="H27" s="22">
        <f t="shared" si="1"/>
        <v>0</v>
      </c>
      <c r="I27" s="23">
        <f>IF(ISERROR(H27/D27),0,(H27/D27))</f>
        <v>0</v>
      </c>
      <c r="J27" s="23">
        <f t="shared" ref="J27:J46" si="10">G27/$G$46</f>
        <v>3.1404766896710519E-2</v>
      </c>
      <c r="K27" s="108">
        <f t="shared" ref="K27:K41" si="11">G27/$G$51</f>
        <v>3.0534142034718461E-2</v>
      </c>
    </row>
    <row r="28" spans="1:11" s="1" customFormat="1" x14ac:dyDescent="0.2">
      <c r="A28" s="119" t="s">
        <v>74</v>
      </c>
      <c r="B28" s="120">
        <f>B8-B4</f>
        <v>36.608000000000061</v>
      </c>
      <c r="C28" s="121">
        <f>0.65*C15+0.17*C16+0.18*C17</f>
        <v>0.11139</v>
      </c>
      <c r="D28" s="22">
        <f>B28*C28</f>
        <v>4.0777651200000067</v>
      </c>
      <c r="E28" s="73">
        <f>B28</f>
        <v>36.608000000000061</v>
      </c>
      <c r="F28" s="121">
        <f>C28</f>
        <v>0.11139</v>
      </c>
      <c r="G28" s="22">
        <f>E28*F28</f>
        <v>4.0777651200000067</v>
      </c>
      <c r="H28" s="22">
        <f t="shared" si="1"/>
        <v>0</v>
      </c>
      <c r="I28" s="23">
        <f>IF(ISERROR(H28/D28),0,(H28/D28))</f>
        <v>0</v>
      </c>
      <c r="J28" s="23">
        <f t="shared" si="10"/>
        <v>3.3962883345869756E-2</v>
      </c>
      <c r="K28" s="108">
        <f t="shared" si="11"/>
        <v>3.302134059463388E-2</v>
      </c>
    </row>
    <row r="29" spans="1:11" s="1" customFormat="1" x14ac:dyDescent="0.2">
      <c r="A29" s="110" t="s">
        <v>78</v>
      </c>
      <c r="B29" s="74"/>
      <c r="C29" s="35"/>
      <c r="D29" s="35">
        <f>SUM(D25,D26:D27)</f>
        <v>70.203824000000026</v>
      </c>
      <c r="E29" s="73"/>
      <c r="F29" s="35"/>
      <c r="G29" s="35">
        <f>SUM(G25,G26:G27)</f>
        <v>71.119024000000024</v>
      </c>
      <c r="H29" s="35">
        <f t="shared" si="1"/>
        <v>0.91519999999999868</v>
      </c>
      <c r="I29" s="36">
        <f>IF(ISERROR(H29/D29),0,(H29/D29))</f>
        <v>1.3036326910055475E-2</v>
      </c>
      <c r="J29" s="36">
        <f t="shared" si="10"/>
        <v>0.5923360087459153</v>
      </c>
      <c r="K29" s="111">
        <f t="shared" si="11"/>
        <v>0.57591485658250419</v>
      </c>
    </row>
    <row r="30" spans="1:11" s="1" customFormat="1" x14ac:dyDescent="0.2">
      <c r="A30" s="110" t="s">
        <v>77</v>
      </c>
      <c r="B30" s="74"/>
      <c r="C30" s="35"/>
      <c r="D30" s="35">
        <f>SUM(D25,D26,D28)</f>
        <v>70.510965120000023</v>
      </c>
      <c r="E30" s="73"/>
      <c r="F30" s="35"/>
      <c r="G30" s="35">
        <f>SUM(G25,G26,G28)</f>
        <v>71.426165120000022</v>
      </c>
      <c r="H30" s="35">
        <f t="shared" si="1"/>
        <v>0.91519999999999868</v>
      </c>
      <c r="I30" s="36">
        <f>IF(ISERROR(H30/D30),0,(H30/D30))</f>
        <v>1.2979541528646691E-2</v>
      </c>
      <c r="J30" s="36">
        <f t="shared" si="10"/>
        <v>0.59489412519507456</v>
      </c>
      <c r="K30" s="111">
        <f t="shared" si="11"/>
        <v>0.5784020551424196</v>
      </c>
    </row>
    <row r="31" spans="1:11" x14ac:dyDescent="0.2">
      <c r="A31" s="107" t="s">
        <v>40</v>
      </c>
      <c r="B31" s="73">
        <f>B8</f>
        <v>388.60800000000006</v>
      </c>
      <c r="C31" s="126">
        <f>VLOOKUP($B$3,'Data for Bill Impacts'!$A$3:$Y$15,15,0)</f>
        <v>5.6559999999999996E-3</v>
      </c>
      <c r="D31" s="22">
        <f>B31*C31</f>
        <v>2.1979668480000001</v>
      </c>
      <c r="E31" s="73">
        <f t="shared" si="6"/>
        <v>388.60800000000006</v>
      </c>
      <c r="F31" s="78">
        <f>VLOOKUP($B$3,'Data for Bill Impacts'!$A$3:$Y$15,24,0)</f>
        <v>5.7999999999999996E-3</v>
      </c>
      <c r="G31" s="22">
        <f>E31*F31</f>
        <v>2.2539264000000001</v>
      </c>
      <c r="H31" s="22">
        <f t="shared" si="1"/>
        <v>5.5959552000000023E-2</v>
      </c>
      <c r="I31" s="23">
        <f t="shared" si="2"/>
        <v>2.5459688826025468E-2</v>
      </c>
      <c r="J31" s="23">
        <f t="shared" si="10"/>
        <v>1.8772498449684139E-2</v>
      </c>
      <c r="K31" s="108">
        <f t="shared" si="11"/>
        <v>1.8252074148311141E-2</v>
      </c>
    </row>
    <row r="32" spans="1:11" x14ac:dyDescent="0.2">
      <c r="A32" s="107" t="s">
        <v>41</v>
      </c>
      <c r="B32" s="73">
        <f>B8</f>
        <v>388.60800000000006</v>
      </c>
      <c r="C32" s="126">
        <f>VLOOKUP($B$3,'Data for Bill Impacts'!$A$3:$Y$15,16,0)</f>
        <v>4.8209999999999998E-3</v>
      </c>
      <c r="D32" s="22">
        <f>B32*C32</f>
        <v>1.8734791680000003</v>
      </c>
      <c r="E32" s="73">
        <f t="shared" si="6"/>
        <v>388.60800000000006</v>
      </c>
      <c r="F32" s="78">
        <f>VLOOKUP($B$3,'Data for Bill Impacts'!$A$3:$Y$15,25,0)</f>
        <v>4.7000000000000002E-3</v>
      </c>
      <c r="G32" s="22">
        <f>E32*F32</f>
        <v>1.8264576000000003</v>
      </c>
      <c r="H32" s="22">
        <f t="shared" si="1"/>
        <v>-4.7021567999999903E-2</v>
      </c>
      <c r="I32" s="23">
        <f t="shared" si="2"/>
        <v>-2.5098527276498597E-2</v>
      </c>
      <c r="J32" s="23">
        <f t="shared" si="10"/>
        <v>1.5212197019571631E-2</v>
      </c>
      <c r="K32" s="108">
        <f t="shared" si="11"/>
        <v>1.4790473878803858E-2</v>
      </c>
    </row>
    <row r="33" spans="1:11" s="1" customFormat="1" x14ac:dyDescent="0.2">
      <c r="A33" s="110" t="s">
        <v>76</v>
      </c>
      <c r="B33" s="74"/>
      <c r="C33" s="35"/>
      <c r="D33" s="35">
        <f>SUM(D31:D32)</f>
        <v>4.0714460160000003</v>
      </c>
      <c r="E33" s="73"/>
      <c r="F33" s="35"/>
      <c r="G33" s="35">
        <f>SUM(G31:G32)</f>
        <v>4.0803840000000005</v>
      </c>
      <c r="H33" s="35">
        <f t="shared" si="1"/>
        <v>8.9379840000001209E-3</v>
      </c>
      <c r="I33" s="36">
        <f t="shared" si="2"/>
        <v>2.1952849098024539E-3</v>
      </c>
      <c r="J33" s="36">
        <f t="shared" si="10"/>
        <v>3.3984695469255768E-2</v>
      </c>
      <c r="K33" s="111">
        <f t="shared" si="11"/>
        <v>3.3042548027115003E-2</v>
      </c>
    </row>
    <row r="34" spans="1:11" s="1" customFormat="1" x14ac:dyDescent="0.2">
      <c r="A34" s="110" t="s">
        <v>95</v>
      </c>
      <c r="B34" s="74"/>
      <c r="C34" s="35"/>
      <c r="D34" s="35">
        <f>D29+D33</f>
        <v>74.275270016000022</v>
      </c>
      <c r="E34" s="73"/>
      <c r="F34" s="35"/>
      <c r="G34" s="35">
        <f>G29+G33</f>
        <v>75.19940800000002</v>
      </c>
      <c r="H34" s="35">
        <f t="shared" si="1"/>
        <v>0.92413798399999791</v>
      </c>
      <c r="I34" s="36">
        <f t="shared" si="2"/>
        <v>1.2442068319656389E-2</v>
      </c>
      <c r="J34" s="36">
        <f t="shared" si="10"/>
        <v>0.62632070421517105</v>
      </c>
      <c r="K34" s="111">
        <f t="shared" si="11"/>
        <v>0.60895740460961922</v>
      </c>
    </row>
    <row r="35" spans="1:11" s="1" customFormat="1" x14ac:dyDescent="0.2">
      <c r="A35" s="110" t="s">
        <v>96</v>
      </c>
      <c r="B35" s="74"/>
      <c r="C35" s="35"/>
      <c r="D35" s="35">
        <f>D30+D33</f>
        <v>74.582411136000019</v>
      </c>
      <c r="E35" s="73"/>
      <c r="F35" s="35"/>
      <c r="G35" s="35">
        <f>G30+G33</f>
        <v>75.506549120000017</v>
      </c>
      <c r="H35" s="35">
        <f t="shared" si="1"/>
        <v>0.92413798399999791</v>
      </c>
      <c r="I35" s="36">
        <f t="shared" si="2"/>
        <v>1.2390830088810681E-2</v>
      </c>
      <c r="J35" s="36">
        <f t="shared" si="10"/>
        <v>0.62887882066433021</v>
      </c>
      <c r="K35" s="111">
        <f t="shared" si="11"/>
        <v>0.61144460316953453</v>
      </c>
    </row>
    <row r="36" spans="1:11" x14ac:dyDescent="0.2">
      <c r="A36" s="107" t="s">
        <v>42</v>
      </c>
      <c r="B36" s="73">
        <f>B8</f>
        <v>388.60800000000006</v>
      </c>
      <c r="C36" s="34">
        <v>3.5999999999999999E-3</v>
      </c>
      <c r="D36" s="22">
        <f>B36*C36</f>
        <v>1.3989888000000001</v>
      </c>
      <c r="E36" s="73">
        <f t="shared" si="6"/>
        <v>388.60800000000006</v>
      </c>
      <c r="F36" s="34">
        <v>3.5999999999999999E-3</v>
      </c>
      <c r="G36" s="22">
        <f>E36*F36</f>
        <v>1.3989888000000001</v>
      </c>
      <c r="H36" s="22">
        <f t="shared" si="1"/>
        <v>0</v>
      </c>
      <c r="I36" s="23">
        <f t="shared" si="2"/>
        <v>0</v>
      </c>
      <c r="J36" s="23">
        <f t="shared" si="10"/>
        <v>1.1651895589459121E-2</v>
      </c>
      <c r="K36" s="108">
        <f t="shared" si="11"/>
        <v>1.1328873609296571E-2</v>
      </c>
    </row>
    <row r="37" spans="1:11" x14ac:dyDescent="0.2">
      <c r="A37" s="107" t="s">
        <v>43</v>
      </c>
      <c r="B37" s="73">
        <f>B8</f>
        <v>388.60800000000006</v>
      </c>
      <c r="C37" s="34">
        <v>2.0999999999999999E-3</v>
      </c>
      <c r="D37" s="22">
        <f>B37*C37</f>
        <v>0.81607680000000005</v>
      </c>
      <c r="E37" s="73">
        <f t="shared" si="6"/>
        <v>388.60800000000006</v>
      </c>
      <c r="F37" s="34">
        <v>2.0999999999999999E-3</v>
      </c>
      <c r="G37" s="22">
        <f>E37*F37</f>
        <v>0.81607680000000005</v>
      </c>
      <c r="H37" s="22">
        <f>G37-D37</f>
        <v>0</v>
      </c>
      <c r="I37" s="23">
        <f t="shared" si="2"/>
        <v>0</v>
      </c>
      <c r="J37" s="23">
        <f t="shared" si="10"/>
        <v>6.7969390938511535E-3</v>
      </c>
      <c r="K37" s="108">
        <f t="shared" si="11"/>
        <v>6.6085096054230002E-3</v>
      </c>
    </row>
    <row r="38" spans="1:11" x14ac:dyDescent="0.2">
      <c r="A38" s="107" t="s">
        <v>100</v>
      </c>
      <c r="B38" s="73">
        <f>B8</f>
        <v>388.60800000000006</v>
      </c>
      <c r="C38" s="34">
        <v>1.1000000000000001E-3</v>
      </c>
      <c r="D38" s="22">
        <f>B38*C38</f>
        <v>0.42746880000000009</v>
      </c>
      <c r="E38" s="73">
        <f t="shared" si="6"/>
        <v>388.60800000000006</v>
      </c>
      <c r="F38" s="34">
        <v>1.1000000000000001E-3</v>
      </c>
      <c r="G38" s="22">
        <f>E38*F38</f>
        <v>0.42746880000000009</v>
      </c>
      <c r="H38" s="22">
        <f>G38-D38</f>
        <v>0</v>
      </c>
      <c r="I38" s="23">
        <f t="shared" si="2"/>
        <v>0</v>
      </c>
      <c r="J38" s="23">
        <f t="shared" si="10"/>
        <v>3.5603014301125095E-3</v>
      </c>
      <c r="K38" s="108">
        <f t="shared" si="11"/>
        <v>3.4616002695072863E-3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10"/>
        <v>2.0821995839886494E-3</v>
      </c>
      <c r="K39" s="108">
        <f t="shared" si="11"/>
        <v>2.0244753941733792E-3</v>
      </c>
    </row>
    <row r="40" spans="1:11" s="1" customFormat="1" x14ac:dyDescent="0.2">
      <c r="A40" s="110" t="s">
        <v>45</v>
      </c>
      <c r="B40" s="74"/>
      <c r="C40" s="35"/>
      <c r="D40" s="35">
        <f>SUM(D36:D39)</f>
        <v>2.8925344000000002</v>
      </c>
      <c r="E40" s="73"/>
      <c r="F40" s="35"/>
      <c r="G40" s="35">
        <f>SUM(G36:G39)</f>
        <v>2.8925344000000002</v>
      </c>
      <c r="H40" s="35">
        <f t="shared" si="1"/>
        <v>0</v>
      </c>
      <c r="I40" s="36">
        <f t="shared" si="2"/>
        <v>0</v>
      </c>
      <c r="J40" s="36">
        <f t="shared" si="10"/>
        <v>2.4091335697411433E-2</v>
      </c>
      <c r="K40" s="111">
        <f t="shared" si="11"/>
        <v>2.3423458878400236E-2</v>
      </c>
    </row>
    <row r="41" spans="1:11" s="1" customFormat="1" ht="13.5" thickBot="1" x14ac:dyDescent="0.25">
      <c r="A41" s="112" t="s">
        <v>46</v>
      </c>
      <c r="B41" s="113">
        <f>B4</f>
        <v>352</v>
      </c>
      <c r="C41" s="114">
        <v>0</v>
      </c>
      <c r="D41" s="115">
        <f>B41*C41</f>
        <v>0</v>
      </c>
      <c r="E41" s="116">
        <f t="shared" si="6"/>
        <v>352</v>
      </c>
      <c r="F41" s="114">
        <f>C41</f>
        <v>0</v>
      </c>
      <c r="G41" s="115">
        <f>E41*F41</f>
        <v>0</v>
      </c>
      <c r="H41" s="115">
        <f t="shared" si="1"/>
        <v>0</v>
      </c>
      <c r="I41" s="117">
        <f t="shared" si="2"/>
        <v>0</v>
      </c>
      <c r="J41" s="117">
        <f t="shared" si="10"/>
        <v>0</v>
      </c>
      <c r="K41" s="118">
        <f t="shared" si="11"/>
        <v>0</v>
      </c>
    </row>
    <row r="42" spans="1:11" s="1" customFormat="1" x14ac:dyDescent="0.2">
      <c r="A42" s="37" t="s">
        <v>137</v>
      </c>
      <c r="B42" s="38"/>
      <c r="C42" s="39"/>
      <c r="D42" s="39">
        <f>SUM(D14,D25,D26,D27,D33,D40,D41)</f>
        <v>113.42380441600002</v>
      </c>
      <c r="E42" s="38"/>
      <c r="F42" s="39"/>
      <c r="G42" s="39">
        <f>SUM(G14,G25,G26,G27,G33,G40,G41)</f>
        <v>114.34794240000002</v>
      </c>
      <c r="H42" s="39">
        <f t="shared" si="1"/>
        <v>0.92413798399999791</v>
      </c>
      <c r="I42" s="40">
        <f>IF(ISERROR(H42/D42),0,(H42/D42))</f>
        <v>8.1476546194004691E-3</v>
      </c>
      <c r="J42" s="40">
        <f t="shared" si="10"/>
        <v>0.95238095238095233</v>
      </c>
      <c r="K42" s="41"/>
    </row>
    <row r="43" spans="1:11" x14ac:dyDescent="0.2">
      <c r="A43" s="150" t="s">
        <v>138</v>
      </c>
      <c r="B43" s="43"/>
      <c r="C43" s="26">
        <v>0.13</v>
      </c>
      <c r="D43" s="26">
        <f>D42*C43</f>
        <v>14.745094574080003</v>
      </c>
      <c r="E43" s="26"/>
      <c r="F43" s="26">
        <f>C43</f>
        <v>0.13</v>
      </c>
      <c r="G43" s="26">
        <f>G42*F43</f>
        <v>14.865232512000004</v>
      </c>
      <c r="H43" s="26">
        <f t="shared" si="1"/>
        <v>0.12013793792000094</v>
      </c>
      <c r="I43" s="44">
        <f t="shared" si="2"/>
        <v>8.1476546194005506E-3</v>
      </c>
      <c r="J43" s="44">
        <f t="shared" si="10"/>
        <v>0.12380952380952381</v>
      </c>
      <c r="K43" s="45"/>
    </row>
    <row r="44" spans="1:11" s="1" customFormat="1" x14ac:dyDescent="0.2">
      <c r="A44" s="46" t="s">
        <v>139</v>
      </c>
      <c r="B44" s="24"/>
      <c r="C44" s="25"/>
      <c r="D44" s="25">
        <f>SUM(D42:D43)</f>
        <v>128.16889899008004</v>
      </c>
      <c r="E44" s="25"/>
      <c r="F44" s="25"/>
      <c r="G44" s="25">
        <f>SUM(G42:G43)</f>
        <v>129.21317491200003</v>
      </c>
      <c r="H44" s="25">
        <f t="shared" si="1"/>
        <v>1.04427592191999</v>
      </c>
      <c r="I44" s="27">
        <f t="shared" si="2"/>
        <v>8.1476546194004084E-3</v>
      </c>
      <c r="J44" s="27">
        <f t="shared" si="10"/>
        <v>1.0761904761904761</v>
      </c>
      <c r="K44" s="47"/>
    </row>
    <row r="45" spans="1:11" x14ac:dyDescent="0.2">
      <c r="A45" s="42" t="s">
        <v>140</v>
      </c>
      <c r="B45" s="43"/>
      <c r="C45" s="26">
        <v>-0.08</v>
      </c>
      <c r="D45" s="26">
        <f>D42*C45</f>
        <v>-9.0739043532800014</v>
      </c>
      <c r="E45" s="26"/>
      <c r="F45" s="26">
        <f>C45</f>
        <v>-0.08</v>
      </c>
      <c r="G45" s="26">
        <f>G42*F45</f>
        <v>-9.1478353920000028</v>
      </c>
      <c r="H45" s="26">
        <f t="shared" si="1"/>
        <v>-7.3931038720001396E-2</v>
      </c>
      <c r="I45" s="44">
        <f t="shared" si="2"/>
        <v>8.1476546194006426E-3</v>
      </c>
      <c r="J45" s="44">
        <f t="shared" si="10"/>
        <v>-7.6190476190476197E-2</v>
      </c>
      <c r="K45" s="45"/>
    </row>
    <row r="46" spans="1:11" s="1" customFormat="1" ht="13.5" thickBot="1" x14ac:dyDescent="0.25">
      <c r="A46" s="48" t="s">
        <v>141</v>
      </c>
      <c r="B46" s="49"/>
      <c r="C46" s="50"/>
      <c r="D46" s="50">
        <f>SUM(D44:D45)</f>
        <v>119.09499463680004</v>
      </c>
      <c r="E46" s="50"/>
      <c r="F46" s="50"/>
      <c r="G46" s="50">
        <f>SUM(G44:G45)</f>
        <v>120.06533952000002</v>
      </c>
      <c r="H46" s="50">
        <f t="shared" si="1"/>
        <v>0.97034488319998502</v>
      </c>
      <c r="I46" s="51">
        <f t="shared" si="2"/>
        <v>8.1476546194003616E-3</v>
      </c>
      <c r="J46" s="51">
        <f t="shared" si="10"/>
        <v>1</v>
      </c>
      <c r="K46" s="52"/>
    </row>
    <row r="47" spans="1:11" x14ac:dyDescent="0.2">
      <c r="A47" s="53" t="s">
        <v>142</v>
      </c>
      <c r="B47" s="54"/>
      <c r="C47" s="55"/>
      <c r="D47" s="55">
        <f>SUM(D18,D25,D26,D28,D33,D40,D41)</f>
        <v>116.68422553600003</v>
      </c>
      <c r="E47" s="55"/>
      <c r="F47" s="55"/>
      <c r="G47" s="55">
        <f>SUM(G18,G25,G26,G28,G33,G40,G41)</f>
        <v>117.60836352000003</v>
      </c>
      <c r="H47" s="55">
        <f>G47-D47</f>
        <v>0.92413798399999791</v>
      </c>
      <c r="I47" s="56">
        <f>IF(ISERROR(H47/D47),0,(H47/D47))</f>
        <v>7.9199907250091656E-3</v>
      </c>
      <c r="J47" s="56"/>
      <c r="K47" s="57">
        <f>G47/$G$51</f>
        <v>0.95238095238095244</v>
      </c>
    </row>
    <row r="48" spans="1:11" x14ac:dyDescent="0.2">
      <c r="A48" s="151" t="s">
        <v>138</v>
      </c>
      <c r="B48" s="59"/>
      <c r="C48" s="31">
        <v>0.13</v>
      </c>
      <c r="D48" s="31">
        <f>D47*C48</f>
        <v>15.168949319680005</v>
      </c>
      <c r="E48" s="31"/>
      <c r="F48" s="31">
        <f>C48</f>
        <v>0.13</v>
      </c>
      <c r="G48" s="31">
        <f>G47*F48</f>
        <v>15.289087257600004</v>
      </c>
      <c r="H48" s="31">
        <f>G48-D48</f>
        <v>0.12013793791999916</v>
      </c>
      <c r="I48" s="32">
        <f>IF(ISERROR(H48/D48),0,(H48/D48))</f>
        <v>7.9199907250091274E-3</v>
      </c>
      <c r="J48" s="32"/>
      <c r="K48" s="60">
        <f>G48/$G$51</f>
        <v>0.12380952380952383</v>
      </c>
    </row>
    <row r="49" spans="1:11" x14ac:dyDescent="0.2">
      <c r="A49" s="61" t="s">
        <v>143</v>
      </c>
      <c r="B49" s="29"/>
      <c r="C49" s="30"/>
      <c r="D49" s="30">
        <f>SUM(D47:D48)</f>
        <v>131.85317485568004</v>
      </c>
      <c r="E49" s="30"/>
      <c r="F49" s="30"/>
      <c r="G49" s="30">
        <f>SUM(G47:G48)</f>
        <v>132.89745077760003</v>
      </c>
      <c r="H49" s="30">
        <f>G49-D49</f>
        <v>1.04427592191999</v>
      </c>
      <c r="I49" s="33">
        <f>IF(ISERROR(H49/D49),0,(H49/D49))</f>
        <v>7.9199907250091083E-3</v>
      </c>
      <c r="J49" s="33"/>
      <c r="K49" s="62">
        <f>G49/$G$51</f>
        <v>1.0761904761904764</v>
      </c>
    </row>
    <row r="50" spans="1:11" x14ac:dyDescent="0.2">
      <c r="A50" s="58" t="s">
        <v>140</v>
      </c>
      <c r="B50" s="59"/>
      <c r="C50" s="31">
        <v>-0.08</v>
      </c>
      <c r="D50" s="31">
        <f>D47*C50</f>
        <v>-9.3347380428800033</v>
      </c>
      <c r="E50" s="31"/>
      <c r="F50" s="31">
        <f>C50</f>
        <v>-0.08</v>
      </c>
      <c r="G50" s="31">
        <f>G47*F50</f>
        <v>-9.4086690816000029</v>
      </c>
      <c r="H50" s="31">
        <f>G50-D50</f>
        <v>-7.393103871999962E-2</v>
      </c>
      <c r="I50" s="32">
        <f>IF(ISERROR(H50/D50),0,(H50/D50))</f>
        <v>7.919990725009143E-3</v>
      </c>
      <c r="J50" s="32"/>
      <c r="K50" s="60">
        <f>G50/$G$51</f>
        <v>-7.6190476190476197E-2</v>
      </c>
    </row>
    <row r="51" spans="1:11" ht="13.5" thickBot="1" x14ac:dyDescent="0.25">
      <c r="A51" s="63" t="s">
        <v>144</v>
      </c>
      <c r="B51" s="64"/>
      <c r="C51" s="65"/>
      <c r="D51" s="65">
        <f>SUM(D49:D50)</f>
        <v>122.51843681280003</v>
      </c>
      <c r="E51" s="65"/>
      <c r="F51" s="65"/>
      <c r="G51" s="65">
        <f>SUM(G49:G50)</f>
        <v>123.48878169600002</v>
      </c>
      <c r="H51" s="65">
        <f>G51-D51</f>
        <v>0.97034488319998502</v>
      </c>
      <c r="I51" s="66">
        <f>IF(ISERROR(H51/D51),0,(H51/D51))</f>
        <v>7.9199907250090615E-3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c r="K64"/>
    </row>
    <row r="65" spans="6:11" x14ac:dyDescent="0.2">
      <c r="F65" s="69"/>
      <c r="K65"/>
    </row>
    <row r="66" spans="6:11" x14ac:dyDescent="0.2">
      <c r="F66" s="69"/>
      <c r="K66"/>
    </row>
    <row r="67" spans="6:11" x14ac:dyDescent="0.2">
      <c r="F67" s="69"/>
      <c r="K67"/>
    </row>
    <row r="68" spans="6:11" x14ac:dyDescent="0.2">
      <c r="F68" s="69"/>
      <c r="K68"/>
    </row>
  </sheetData>
  <mergeCells count="1">
    <mergeCell ref="A1:K1"/>
  </mergeCell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Q86"/>
  <sheetViews>
    <sheetView workbookViewId="0">
      <selection activeCell="C19" sqref="C19"/>
    </sheetView>
  </sheetViews>
  <sheetFormatPr defaultRowHeight="12.75" x14ac:dyDescent="0.2"/>
  <cols>
    <col min="1" max="1" width="33" customWidth="1"/>
    <col min="3" max="3" width="12.5703125" customWidth="1"/>
    <col min="4" max="4" width="17.42578125" customWidth="1"/>
    <col min="5" max="5" width="30.7109375" customWidth="1"/>
    <col min="6" max="6" width="12.140625" customWidth="1"/>
    <col min="7" max="7" width="27.140625" customWidth="1"/>
    <col min="8" max="8" width="10.28515625" customWidth="1"/>
    <col min="9" max="9" width="10.7109375" customWidth="1"/>
  </cols>
  <sheetData>
    <row r="1" spans="1:6" x14ac:dyDescent="0.2">
      <c r="A1" s="9">
        <v>1</v>
      </c>
      <c r="B1" s="9">
        <v>2</v>
      </c>
      <c r="C1" s="9">
        <v>3</v>
      </c>
      <c r="D1" s="9">
        <v>4</v>
      </c>
      <c r="E1" s="9">
        <v>5</v>
      </c>
      <c r="F1" s="9">
        <v>6</v>
      </c>
    </row>
    <row r="2" spans="1:6" s="12" customFormat="1" ht="51" x14ac:dyDescent="0.2">
      <c r="A2" s="10" t="s">
        <v>13</v>
      </c>
      <c r="B2" s="10" t="s">
        <v>14</v>
      </c>
      <c r="C2" s="148" t="s">
        <v>107</v>
      </c>
      <c r="D2" s="10" t="s">
        <v>15</v>
      </c>
      <c r="E2" s="148" t="s">
        <v>108</v>
      </c>
      <c r="F2" s="11" t="s">
        <v>17</v>
      </c>
    </row>
    <row r="3" spans="1:6" x14ac:dyDescent="0.2">
      <c r="A3" s="6" t="s">
        <v>0</v>
      </c>
      <c r="B3" s="127">
        <v>1.0569999999999999</v>
      </c>
      <c r="C3" s="146">
        <f>ROUND(VLOOKUP(A3,[10]Sheet1!$A$9:$I$27,8,FALSE),0)</f>
        <v>755</v>
      </c>
      <c r="D3" s="7">
        <v>600</v>
      </c>
      <c r="E3" s="167" t="str">
        <f>VLOOKUP(A3,'[2]Rate Design'!$A$31:$D$49,4,FALSE)</f>
        <v>-</v>
      </c>
      <c r="F3" s="4" t="s">
        <v>18</v>
      </c>
    </row>
    <row r="4" spans="1:6" x14ac:dyDescent="0.2">
      <c r="A4" s="6" t="s">
        <v>1</v>
      </c>
      <c r="B4" s="127">
        <v>1.0760000000000001</v>
      </c>
      <c r="C4" s="146">
        <f>ROUND(VLOOKUP(A4,[10]Sheet1!$A$9:$I$27,8,FALSE),0)</f>
        <v>920</v>
      </c>
      <c r="D4" s="7">
        <v>600</v>
      </c>
      <c r="E4" s="167" t="str">
        <f>VLOOKUP(A4,'[2]Rate Design'!$A$31:$D$49,4,FALSE)</f>
        <v>-</v>
      </c>
      <c r="F4" s="4" t="s">
        <v>18</v>
      </c>
    </row>
    <row r="5" spans="1:6" x14ac:dyDescent="0.2">
      <c r="A5" s="6" t="s">
        <v>2</v>
      </c>
      <c r="B5" s="127">
        <v>1.105</v>
      </c>
      <c r="C5" s="146">
        <f>ROUND(VLOOKUP(A5,[10]Sheet1!$A$9:$I$27,8,FALSE),0)</f>
        <v>1152</v>
      </c>
      <c r="D5" s="7">
        <v>600</v>
      </c>
      <c r="E5" s="167" t="str">
        <f>VLOOKUP(A5,'[2]Rate Design'!$A$31:$D$49,4,FALSE)</f>
        <v>-</v>
      </c>
      <c r="F5" s="4" t="s">
        <v>18</v>
      </c>
    </row>
    <row r="6" spans="1:6" x14ac:dyDescent="0.2">
      <c r="A6" s="6" t="s">
        <v>3</v>
      </c>
      <c r="B6" s="127">
        <v>1.1040000000000001</v>
      </c>
      <c r="C6" s="146">
        <f>ROUND(VLOOKUP(A6,[10]Sheet1!$A$9:$I$27,8,FALSE),0)</f>
        <v>352</v>
      </c>
      <c r="D6" s="7">
        <v>600</v>
      </c>
      <c r="E6" s="167" t="str">
        <f>VLOOKUP(A6,'[2]Rate Design'!$A$31:$D$49,4,FALSE)</f>
        <v>-</v>
      </c>
      <c r="F6" s="4" t="s">
        <v>18</v>
      </c>
    </row>
    <row r="7" spans="1:6" x14ac:dyDescent="0.2">
      <c r="A7" s="6" t="s">
        <v>4</v>
      </c>
      <c r="B7" s="127">
        <v>1.0960000000000001</v>
      </c>
      <c r="C7" s="146">
        <f>ROUND(VLOOKUP(A7,[10]Sheet1!$A$9:$I$27,8,FALSE),0)</f>
        <v>1982</v>
      </c>
      <c r="D7" s="7">
        <v>750</v>
      </c>
      <c r="E7" s="167" t="str">
        <f>VLOOKUP(A7,'[2]Rate Design'!$A$31:$D$49,4,FALSE)</f>
        <v>-</v>
      </c>
      <c r="F7" s="4" t="s">
        <v>18</v>
      </c>
    </row>
    <row r="8" spans="1:6" x14ac:dyDescent="0.2">
      <c r="A8" s="6" t="s">
        <v>6</v>
      </c>
      <c r="B8" s="127">
        <v>1.0669999999999999</v>
      </c>
      <c r="C8" s="146">
        <f>ROUND(VLOOKUP(A8,[10]Sheet1!$A$9:$I$27,8,FALSE),0)</f>
        <v>2759</v>
      </c>
      <c r="D8" s="7">
        <v>750</v>
      </c>
      <c r="E8" s="167" t="str">
        <f>VLOOKUP(A8,'[2]Rate Design'!$A$31:$D$49,4,FALSE)</f>
        <v>-</v>
      </c>
      <c r="F8" s="4" t="s">
        <v>18</v>
      </c>
    </row>
    <row r="9" spans="1:6" x14ac:dyDescent="0.2">
      <c r="A9" s="6" t="s">
        <v>8</v>
      </c>
      <c r="B9" s="127">
        <v>1.0920000000000001</v>
      </c>
      <c r="C9" s="146">
        <f>ROUND(VLOOKUP(A9,[10]Sheet1!$A$9:$I$27,8,FALSE),0)</f>
        <v>517</v>
      </c>
      <c r="D9" s="7">
        <v>750</v>
      </c>
      <c r="E9" s="167" t="str">
        <f>VLOOKUP(A9,'[2]Rate Design'!$A$31:$D$49,4,FALSE)</f>
        <v>-</v>
      </c>
      <c r="F9" s="4" t="s">
        <v>18</v>
      </c>
    </row>
    <row r="10" spans="1:6" x14ac:dyDescent="0.2">
      <c r="A10" s="6" t="s">
        <v>9</v>
      </c>
      <c r="B10" s="127">
        <v>1.0920000000000001</v>
      </c>
      <c r="C10" s="146">
        <f>ROUND(VLOOKUP(A10,[10]Sheet1!$A$9:$I$27,8,FALSE),0)</f>
        <v>71</v>
      </c>
      <c r="D10" s="7">
        <v>750</v>
      </c>
      <c r="E10" s="167" t="str">
        <f>VLOOKUP(A10,'[2]Rate Design'!$A$31:$D$49,4,FALSE)</f>
        <v>-</v>
      </c>
      <c r="F10" s="4" t="s">
        <v>18</v>
      </c>
    </row>
    <row r="11" spans="1:6" x14ac:dyDescent="0.2">
      <c r="A11" s="8" t="s">
        <v>12</v>
      </c>
      <c r="B11" s="127">
        <v>1.0920000000000001</v>
      </c>
      <c r="C11" s="146">
        <f>ROUND(VLOOKUP(A11,[10]Sheet1!$A$9:$I$27,8,FALSE),0)</f>
        <v>364</v>
      </c>
      <c r="D11" s="7">
        <v>750</v>
      </c>
      <c r="E11" s="167" t="str">
        <f>VLOOKUP(A11,'[2]Rate Design'!$A$31:$D$49,4,FALSE)</f>
        <v>-</v>
      </c>
      <c r="F11" s="4" t="s">
        <v>18</v>
      </c>
    </row>
    <row r="12" spans="1:6" x14ac:dyDescent="0.2">
      <c r="A12" s="6" t="s">
        <v>5</v>
      </c>
      <c r="B12" s="127">
        <v>1.0609999999999999</v>
      </c>
      <c r="C12" s="146">
        <f>ROUND(VLOOKUP(A12,[10]Sheet1!$A$9:$I$27,8,FALSE),0)</f>
        <v>36104</v>
      </c>
      <c r="D12" s="7">
        <v>0</v>
      </c>
      <c r="E12" s="167">
        <f>ROUND(VLOOKUP(A12,[10]Sheet1!$A$9:$I$27,9,FALSE),0)</f>
        <v>124</v>
      </c>
      <c r="F12" s="4" t="s">
        <v>19</v>
      </c>
    </row>
    <row r="13" spans="1:6" x14ac:dyDescent="0.2">
      <c r="A13" s="6" t="s">
        <v>7</v>
      </c>
      <c r="B13" s="127">
        <v>1.05</v>
      </c>
      <c r="C13" s="146">
        <f>ROUND(VLOOKUP(A13,[10]Sheet1!$A$9:$I$27,8,FALSE),0)</f>
        <v>50525</v>
      </c>
      <c r="D13" s="7">
        <v>0</v>
      </c>
      <c r="E13" s="167">
        <f>ROUND(VLOOKUP(A13,[10]Sheet1!$A$9:$I$27,9,FALSE),0)</f>
        <v>135</v>
      </c>
      <c r="F13" s="4" t="s">
        <v>19</v>
      </c>
    </row>
    <row r="14" spans="1:6" x14ac:dyDescent="0.2">
      <c r="A14" s="8" t="s">
        <v>10</v>
      </c>
      <c r="B14" s="127">
        <v>1.0609999999999999</v>
      </c>
      <c r="C14" s="146">
        <f>ROUND(VLOOKUP(A14,[10]Sheet1!$A$9:$I$27,8,FALSE),0)</f>
        <v>1328</v>
      </c>
      <c r="D14" s="7">
        <v>0</v>
      </c>
      <c r="E14" s="167">
        <f>ROUND(VLOOKUP(A14,[10]Sheet1!$A$9:$I$27,9,FALSE),0)</f>
        <v>13</v>
      </c>
      <c r="F14" s="4" t="s">
        <v>19</v>
      </c>
    </row>
    <row r="15" spans="1:6" x14ac:dyDescent="0.2">
      <c r="A15" s="8" t="s">
        <v>11</v>
      </c>
      <c r="B15" s="127">
        <v>1.034</v>
      </c>
      <c r="C15" s="146">
        <f>ROUND(VLOOKUP(A15,[10]Sheet1!$A$9:$I$27,8,FALSE),0)</f>
        <v>1601036</v>
      </c>
      <c r="D15" s="7">
        <v>0</v>
      </c>
      <c r="E15" s="167">
        <f>ROUND(VLOOKUP(A15,[10]Sheet1!$A$9:$I$27,9,FALSE),0)</f>
        <v>3091</v>
      </c>
      <c r="F15" s="4" t="s">
        <v>19</v>
      </c>
    </row>
    <row r="16" spans="1:6" x14ac:dyDescent="0.2">
      <c r="A16" s="8" t="s">
        <v>195</v>
      </c>
      <c r="B16" s="145">
        <v>1.0569999999999999</v>
      </c>
      <c r="C16" s="146">
        <f>ROUND(VLOOKUP(A16,[10]Sheet1!$A$9:$I$27,8,FALSE),0)</f>
        <v>505</v>
      </c>
      <c r="D16" s="2">
        <v>600</v>
      </c>
      <c r="E16" s="167">
        <f>ROUND(VLOOKUP(A16,[10]Sheet1!$A$9:$I$27,9,FALSE),0)</f>
        <v>0</v>
      </c>
      <c r="F16" s="4" t="s">
        <v>18</v>
      </c>
    </row>
    <row r="17" spans="1:17" x14ac:dyDescent="0.2">
      <c r="A17" s="8" t="s">
        <v>196</v>
      </c>
      <c r="B17" s="145">
        <v>1.0569999999999999</v>
      </c>
      <c r="C17" s="146">
        <f>ROUND(VLOOKUP(A17,[10]Sheet1!$A$9:$I$27,8,FALSE),0)</f>
        <v>2695</v>
      </c>
      <c r="D17" s="2">
        <v>750</v>
      </c>
      <c r="E17" s="167">
        <f>ROUND(VLOOKUP(A17,[10]Sheet1!$A$9:$I$27,9,FALSE),0)</f>
        <v>0</v>
      </c>
      <c r="F17" s="4" t="s">
        <v>18</v>
      </c>
    </row>
    <row r="18" spans="1:17" x14ac:dyDescent="0.2">
      <c r="A18" s="8" t="s">
        <v>197</v>
      </c>
      <c r="B18" s="145">
        <v>1.0465</v>
      </c>
      <c r="C18" s="146">
        <f>ROUND(VLOOKUP(A18,[10]Sheet1!$A$9:$I$27,8,FALSE),0)</f>
        <v>61239</v>
      </c>
      <c r="D18" s="2">
        <v>0</v>
      </c>
      <c r="E18" s="167">
        <f>ROUND(VLOOKUP(A18,[10]Sheet1!$A$9:$I$27,9,FALSE),0)</f>
        <v>177</v>
      </c>
      <c r="F18" s="4" t="s">
        <v>19</v>
      </c>
    </row>
    <row r="19" spans="1:17" x14ac:dyDescent="0.2">
      <c r="A19" s="8" t="s">
        <v>180</v>
      </c>
      <c r="B19" s="145">
        <v>1.0667</v>
      </c>
      <c r="C19" s="146">
        <f>ROUND(VLOOKUP(A19,[10]Sheet1!$A$9:$I$27,8,FALSE),0)</f>
        <v>634</v>
      </c>
      <c r="D19" s="2">
        <v>600</v>
      </c>
      <c r="E19" s="167">
        <f>ROUND(VLOOKUP(A19,[10]Sheet1!$A$9:$I$27,9,FALSE),0)</f>
        <v>0</v>
      </c>
      <c r="F19" s="4" t="s">
        <v>18</v>
      </c>
    </row>
    <row r="20" spans="1:17" x14ac:dyDescent="0.2">
      <c r="A20" s="8" t="s">
        <v>181</v>
      </c>
      <c r="B20" s="145">
        <v>1.0667</v>
      </c>
      <c r="C20" s="146">
        <f>ROUND(VLOOKUP(A20,[10]Sheet1!$A$9:$I$27,8,FALSE),0)</f>
        <v>1988</v>
      </c>
      <c r="D20" s="2">
        <v>750</v>
      </c>
      <c r="E20" s="167">
        <f>ROUND(VLOOKUP(A20,[10]Sheet1!$A$9:$I$27,9,FALSE),0)</f>
        <v>0</v>
      </c>
      <c r="F20" s="4" t="s">
        <v>18</v>
      </c>
    </row>
    <row r="21" spans="1:17" x14ac:dyDescent="0.2">
      <c r="A21" s="8" t="s">
        <v>182</v>
      </c>
      <c r="B21" s="145">
        <v>1.0563</v>
      </c>
      <c r="C21" s="146">
        <f>ROUND(VLOOKUP(A21,[10]Sheet1!$A$9:$I$27,8,FALSE),0)</f>
        <v>53895</v>
      </c>
      <c r="D21" s="2">
        <v>0</v>
      </c>
      <c r="E21" s="167">
        <f>ROUND(VLOOKUP(A21,[10]Sheet1!$A$9:$I$27,9,FALSE),0)</f>
        <v>152</v>
      </c>
      <c r="F21" s="4" t="s">
        <v>19</v>
      </c>
    </row>
    <row r="24" spans="1:17" x14ac:dyDescent="0.2">
      <c r="A24" t="s">
        <v>171</v>
      </c>
      <c r="P24" s="68"/>
      <c r="Q24" s="68"/>
    </row>
    <row r="25" spans="1:17" x14ac:dyDescent="0.2">
      <c r="A25" t="s">
        <v>178</v>
      </c>
      <c r="P25" s="68"/>
      <c r="Q25" s="68"/>
    </row>
    <row r="26" spans="1:17" x14ac:dyDescent="0.2">
      <c r="A26" s="2"/>
      <c r="B26" s="2" t="s">
        <v>156</v>
      </c>
      <c r="C26" s="2" t="s">
        <v>18</v>
      </c>
      <c r="D26" s="2" t="s">
        <v>19</v>
      </c>
      <c r="E26" s="2" t="s">
        <v>169</v>
      </c>
      <c r="F26" s="2" t="s">
        <v>170</v>
      </c>
      <c r="G26" s="203" t="s">
        <v>173</v>
      </c>
      <c r="P26" s="68"/>
      <c r="Q26" s="68"/>
    </row>
    <row r="27" spans="1:17" x14ac:dyDescent="0.2">
      <c r="A27" s="2" t="s">
        <v>154</v>
      </c>
      <c r="B27" s="7">
        <v>19418.566687409872</v>
      </c>
      <c r="C27" s="219">
        <v>161729721.0589301</v>
      </c>
      <c r="D27" s="219"/>
      <c r="E27" s="221">
        <f>C27/B27/12</f>
        <v>694.05105803452705</v>
      </c>
      <c r="F27" s="2"/>
      <c r="G27" s="2"/>
      <c r="P27" s="68"/>
      <c r="Q27" s="68"/>
    </row>
    <row r="28" spans="1:17" x14ac:dyDescent="0.2">
      <c r="A28" s="2" t="s">
        <v>155</v>
      </c>
      <c r="B28" s="7">
        <v>18350.288148811247</v>
      </c>
      <c r="C28" s="219">
        <v>125510697.71705748</v>
      </c>
      <c r="D28" s="219"/>
      <c r="E28" s="221">
        <f t="shared" ref="E28:E32" si="0">C28/B28/12</f>
        <v>569.97605296090956</v>
      </c>
      <c r="F28" s="2"/>
      <c r="G28" s="2"/>
      <c r="P28" s="68"/>
      <c r="Q28" s="68"/>
    </row>
    <row r="29" spans="1:17" x14ac:dyDescent="0.2">
      <c r="A29" s="2" t="s">
        <v>157</v>
      </c>
      <c r="B29" s="7">
        <v>2323</v>
      </c>
      <c r="C29" s="219">
        <v>50718751.18218828</v>
      </c>
      <c r="D29" s="219"/>
      <c r="E29" s="221">
        <f t="shared" si="0"/>
        <v>1819.4414974238871</v>
      </c>
      <c r="F29" s="2"/>
      <c r="G29" s="2"/>
      <c r="P29" s="68"/>
      <c r="Q29" s="68"/>
    </row>
    <row r="30" spans="1:17" x14ac:dyDescent="0.2">
      <c r="A30" s="2" t="s">
        <v>158</v>
      </c>
      <c r="B30" s="7">
        <v>2015.8425960310308</v>
      </c>
      <c r="C30" s="219">
        <v>52794286.118376628</v>
      </c>
      <c r="D30" s="219"/>
      <c r="E30" s="221">
        <f t="shared" si="0"/>
        <v>2182.4738954619888</v>
      </c>
      <c r="F30" s="2"/>
      <c r="G30" s="2"/>
      <c r="P30" s="68"/>
      <c r="Q30" s="68"/>
    </row>
    <row r="31" spans="1:17" ht="15" x14ac:dyDescent="0.25">
      <c r="A31" s="2" t="s">
        <v>159</v>
      </c>
      <c r="B31" s="7">
        <v>192.5</v>
      </c>
      <c r="C31" s="219">
        <v>117617226.00314158</v>
      </c>
      <c r="D31" s="220">
        <v>330828.24519909511</v>
      </c>
      <c r="E31" s="221">
        <f t="shared" si="0"/>
        <v>50916.548053308041</v>
      </c>
      <c r="F31" s="219">
        <f>D31/B31/12</f>
        <v>143.21569056237885</v>
      </c>
      <c r="G31" s="2"/>
      <c r="P31" s="68"/>
      <c r="Q31" s="68"/>
    </row>
    <row r="32" spans="1:17" ht="15" x14ac:dyDescent="0.25">
      <c r="A32" s="2" t="s">
        <v>160</v>
      </c>
      <c r="B32" s="7">
        <v>172.31491330236395</v>
      </c>
      <c r="C32" s="219">
        <v>118323904.22795868</v>
      </c>
      <c r="D32" s="220">
        <v>332815.95673575735</v>
      </c>
      <c r="E32" s="221">
        <f t="shared" si="0"/>
        <v>57222.704427374818</v>
      </c>
      <c r="F32" s="219">
        <f>D32/B32/12</f>
        <v>160.95335296165933</v>
      </c>
      <c r="G32" s="2"/>
      <c r="P32" s="68"/>
      <c r="Q32" s="68"/>
    </row>
    <row r="33" spans="1:17" x14ac:dyDescent="0.2">
      <c r="A33" s="2"/>
      <c r="B33" s="2"/>
      <c r="C33" s="2"/>
      <c r="D33" s="2"/>
      <c r="E33" s="2"/>
      <c r="F33" s="2"/>
      <c r="G33" s="2"/>
      <c r="P33" s="68"/>
      <c r="Q33" s="68"/>
    </row>
    <row r="34" spans="1:17" x14ac:dyDescent="0.2">
      <c r="A34" s="2" t="s">
        <v>168</v>
      </c>
      <c r="B34" s="2">
        <v>7</v>
      </c>
      <c r="C34" s="219">
        <f>SUM(C37:C43)</f>
        <v>87136050</v>
      </c>
      <c r="D34" s="7">
        <f>SUM(B37:B43)</f>
        <v>4266721</v>
      </c>
      <c r="E34" s="286">
        <f>C34/B34/12</f>
        <v>1037333.9285714286</v>
      </c>
      <c r="F34" s="219">
        <f>D34/B34/12</f>
        <v>50794.297619047626</v>
      </c>
      <c r="G34" s="2" t="s">
        <v>172</v>
      </c>
      <c r="P34" s="68"/>
      <c r="Q34" s="68"/>
    </row>
    <row r="35" spans="1:17" x14ac:dyDescent="0.2">
      <c r="C35" s="71"/>
      <c r="D35" s="5"/>
      <c r="E35" s="71"/>
      <c r="F35" s="71"/>
      <c r="P35" s="68"/>
      <c r="Q35" s="68"/>
    </row>
    <row r="36" spans="1:17" ht="15" x14ac:dyDescent="0.2">
      <c r="A36" s="222" t="s">
        <v>165</v>
      </c>
      <c r="B36" s="222" t="s">
        <v>166</v>
      </c>
      <c r="C36" s="222" t="s">
        <v>167</v>
      </c>
      <c r="O36" s="68"/>
      <c r="P36" s="68"/>
    </row>
    <row r="37" spans="1:17" ht="15" x14ac:dyDescent="0.2">
      <c r="A37" s="223" t="s">
        <v>216</v>
      </c>
      <c r="B37" s="7">
        <v>121105</v>
      </c>
      <c r="C37" s="7">
        <v>2453823</v>
      </c>
      <c r="M37" s="68"/>
      <c r="N37" s="68"/>
    </row>
    <row r="38" spans="1:17" ht="15" x14ac:dyDescent="0.2">
      <c r="A38" s="223" t="s">
        <v>217</v>
      </c>
      <c r="B38" s="7">
        <v>234392</v>
      </c>
      <c r="C38" s="7">
        <v>3259504</v>
      </c>
    </row>
    <row r="39" spans="1:17" ht="15" x14ac:dyDescent="0.2">
      <c r="A39" s="223" t="s">
        <v>218</v>
      </c>
      <c r="B39" s="7">
        <v>412820</v>
      </c>
      <c r="C39" s="7">
        <v>7449578</v>
      </c>
    </row>
    <row r="40" spans="1:17" ht="15" x14ac:dyDescent="0.2">
      <c r="A40" s="223" t="s">
        <v>219</v>
      </c>
      <c r="B40" s="7">
        <v>487881</v>
      </c>
      <c r="C40" s="7">
        <v>10248294</v>
      </c>
    </row>
    <row r="41" spans="1:17" ht="15" x14ac:dyDescent="0.2">
      <c r="A41" s="223" t="s">
        <v>220</v>
      </c>
      <c r="B41" s="7">
        <v>760407</v>
      </c>
      <c r="C41" s="7">
        <v>16411833</v>
      </c>
    </row>
    <row r="42" spans="1:17" ht="15" x14ac:dyDescent="0.2">
      <c r="A42" s="223" t="s">
        <v>221</v>
      </c>
      <c r="B42" s="7">
        <v>981381</v>
      </c>
      <c r="C42" s="7">
        <v>19439609</v>
      </c>
    </row>
    <row r="43" spans="1:17" ht="15" x14ac:dyDescent="0.2">
      <c r="A43" s="223" t="s">
        <v>222</v>
      </c>
      <c r="B43" s="7">
        <v>1268735</v>
      </c>
      <c r="C43" s="7">
        <v>27873409</v>
      </c>
    </row>
    <row r="44" spans="1:17" ht="15" x14ac:dyDescent="0.25">
      <c r="B44" s="208"/>
      <c r="C44" s="206"/>
    </row>
    <row r="45" spans="1:17" ht="15" x14ac:dyDescent="0.25">
      <c r="A45" s="227" t="s">
        <v>179</v>
      </c>
      <c r="B45" s="208"/>
      <c r="C45" s="206"/>
    </row>
    <row r="46" spans="1:17" ht="45" x14ac:dyDescent="0.25">
      <c r="A46" s="223" t="s">
        <v>174</v>
      </c>
      <c r="B46" s="280" t="s">
        <v>198</v>
      </c>
      <c r="C46" s="279" t="s">
        <v>199</v>
      </c>
      <c r="D46" s="284" t="s">
        <v>203</v>
      </c>
      <c r="E46" s="2" t="s">
        <v>204</v>
      </c>
    </row>
    <row r="47" spans="1:17" ht="15" x14ac:dyDescent="0.25">
      <c r="A47" s="223" t="s">
        <v>175</v>
      </c>
      <c r="B47" s="281">
        <f>[11]average!$C$5</f>
        <v>4.1274030573589995</v>
      </c>
      <c r="C47" s="226">
        <f>[11]average!$B$5</f>
        <v>1367.6845611291665</v>
      </c>
      <c r="D47" s="282">
        <f>[11]STR!$U$25</f>
        <v>3.0178033551474743E-3</v>
      </c>
      <c r="E47" s="2"/>
    </row>
    <row r="48" spans="1:17" ht="15" x14ac:dyDescent="0.25">
      <c r="A48" s="223" t="s">
        <v>176</v>
      </c>
      <c r="B48" s="278">
        <f>[12]Average!$J$12</f>
        <v>274.09386280146123</v>
      </c>
      <c r="C48" s="226">
        <f>[12]Average!$J$5</f>
        <v>105611.58783602084</v>
      </c>
      <c r="D48" s="282">
        <f>[12]Average!$L$10</f>
        <v>2.5953010310481887E-3</v>
      </c>
      <c r="E48" s="2"/>
    </row>
    <row r="49" spans="1:5" ht="15" x14ac:dyDescent="0.25">
      <c r="A49" s="223" t="s">
        <v>177</v>
      </c>
      <c r="B49" s="281">
        <f>C49*D49</f>
        <v>210.7703131136349</v>
      </c>
      <c r="C49" s="226">
        <f>[13]str!$F$8</f>
        <v>76826.384713261112</v>
      </c>
      <c r="D49" s="282">
        <f>[13]str!$F$5</f>
        <v>2.7434625994740259E-3</v>
      </c>
      <c r="E49" s="2"/>
    </row>
    <row r="50" spans="1:5" ht="15" x14ac:dyDescent="0.25">
      <c r="B50" s="208"/>
      <c r="C50" s="206"/>
      <c r="D50" s="283"/>
    </row>
    <row r="51" spans="1:5" ht="15" x14ac:dyDescent="0.25">
      <c r="A51" s="227" t="s">
        <v>200</v>
      </c>
      <c r="B51" s="208"/>
      <c r="C51" s="206"/>
      <c r="D51" s="283"/>
    </row>
    <row r="52" spans="1:5" ht="45" x14ac:dyDescent="0.25">
      <c r="A52" s="223" t="s">
        <v>174</v>
      </c>
      <c r="B52" s="280" t="s">
        <v>198</v>
      </c>
      <c r="C52" s="279" t="s">
        <v>199</v>
      </c>
      <c r="D52" s="285" t="s">
        <v>203</v>
      </c>
      <c r="E52" s="2" t="s">
        <v>204</v>
      </c>
    </row>
    <row r="53" spans="1:5" ht="15" x14ac:dyDescent="0.25">
      <c r="A53" s="223" t="s">
        <v>201</v>
      </c>
      <c r="B53" s="281">
        <f>C53*D53</f>
        <v>0.45421640025856702</v>
      </c>
      <c r="C53" s="226">
        <f>[11]norfolk!$V$9</f>
        <v>126.02277222660564</v>
      </c>
      <c r="D53" s="282">
        <f>[11]norfolk!$U$9</f>
        <v>3.6042406640747894E-3</v>
      </c>
      <c r="E53" s="284"/>
    </row>
    <row r="54" spans="1:5" ht="15" x14ac:dyDescent="0.25">
      <c r="A54" s="223" t="s">
        <v>202</v>
      </c>
      <c r="B54" s="328">
        <f>C54*D54</f>
        <v>0.34019202971725299</v>
      </c>
      <c r="C54" s="226">
        <f>[12]Average!$J$14</f>
        <v>131.07998865929491</v>
      </c>
      <c r="D54" s="282">
        <f>D48</f>
        <v>2.5953010310481887E-3</v>
      </c>
      <c r="E54" s="284"/>
    </row>
    <row r="55" spans="1:5" ht="15" x14ac:dyDescent="0.25">
      <c r="B55" s="208"/>
      <c r="C55" s="206"/>
      <c r="D55" s="283"/>
    </row>
    <row r="56" spans="1:5" ht="15" x14ac:dyDescent="0.25">
      <c r="A56" s="227" t="s">
        <v>205</v>
      </c>
      <c r="B56" s="208"/>
      <c r="C56" s="206"/>
      <c r="D56" s="283"/>
    </row>
    <row r="57" spans="1:5" ht="45" x14ac:dyDescent="0.25">
      <c r="A57" s="223" t="s">
        <v>174</v>
      </c>
      <c r="B57" s="279" t="s">
        <v>199</v>
      </c>
      <c r="C57" s="2" t="s">
        <v>204</v>
      </c>
    </row>
    <row r="58" spans="1:5" ht="15" x14ac:dyDescent="0.25">
      <c r="A58" s="223" t="s">
        <v>206</v>
      </c>
      <c r="B58" s="226">
        <f>[11]average!$B$4</f>
        <v>945.37196740482466</v>
      </c>
      <c r="C58" s="2"/>
    </row>
    <row r="59" spans="1:5" ht="15" x14ac:dyDescent="0.25">
      <c r="A59" s="223" t="s">
        <v>207</v>
      </c>
      <c r="B59" s="226">
        <f>[12]Average!$J$3</f>
        <v>550.73927083333308</v>
      </c>
      <c r="C59" s="2"/>
    </row>
    <row r="60" spans="1:5" ht="15" x14ac:dyDescent="0.25">
      <c r="A60" s="223" t="s">
        <v>208</v>
      </c>
      <c r="B60" s="226">
        <f>[13]usl!$F$39</f>
        <v>1544.8923697916664</v>
      </c>
      <c r="C60" s="2"/>
    </row>
    <row r="61" spans="1:5" ht="15" x14ac:dyDescent="0.25">
      <c r="B61" s="206"/>
    </row>
    <row r="62" spans="1:5" ht="15" x14ac:dyDescent="0.25">
      <c r="B62" s="208"/>
      <c r="C62" s="206"/>
    </row>
    <row r="63" spans="1:5" ht="15" x14ac:dyDescent="0.25">
      <c r="B63" s="208"/>
      <c r="C63" s="206"/>
    </row>
    <row r="64" spans="1:5" ht="15" x14ac:dyDescent="0.25">
      <c r="B64" s="208"/>
      <c r="C64" s="206"/>
    </row>
    <row r="65" spans="1:16" ht="15" x14ac:dyDescent="0.25">
      <c r="B65" s="206"/>
      <c r="C65" s="207"/>
    </row>
    <row r="66" spans="1:16" ht="15" x14ac:dyDescent="0.25">
      <c r="A66" s="214" t="s">
        <v>161</v>
      </c>
      <c r="B66" s="215"/>
      <c r="C66" s="207"/>
    </row>
    <row r="67" spans="1:16" ht="15.75" thickBot="1" x14ac:dyDescent="0.3">
      <c r="A67" s="216"/>
      <c r="B67" s="217"/>
    </row>
    <row r="68" spans="1:16" ht="15" x14ac:dyDescent="0.25">
      <c r="A68" s="214"/>
      <c r="B68" s="215"/>
    </row>
    <row r="69" spans="1:16" ht="15" x14ac:dyDescent="0.25">
      <c r="A69" s="209" t="s">
        <v>149</v>
      </c>
      <c r="B69" s="213" t="s">
        <v>162</v>
      </c>
    </row>
    <row r="70" spans="1:16" ht="15" x14ac:dyDescent="0.25">
      <c r="A70" s="210"/>
      <c r="B70" s="218"/>
    </row>
    <row r="71" spans="1:16" x14ac:dyDescent="0.2">
      <c r="G71" s="144"/>
      <c r="H71" s="144"/>
      <c r="I71" s="144"/>
      <c r="J71" s="144"/>
      <c r="K71" s="144"/>
      <c r="L71" s="144"/>
      <c r="M71" s="144"/>
      <c r="N71" s="144"/>
      <c r="O71" s="144"/>
      <c r="P71" s="144"/>
    </row>
    <row r="72" spans="1:16" ht="15" x14ac:dyDescent="0.25">
      <c r="A72" s="209" t="s">
        <v>150</v>
      </c>
      <c r="B72" s="211">
        <v>46.799999999999983</v>
      </c>
      <c r="G72" s="144"/>
      <c r="H72" s="144"/>
      <c r="I72" s="144"/>
      <c r="J72" s="144"/>
      <c r="K72" s="144"/>
      <c r="L72" s="144"/>
      <c r="M72" s="144"/>
      <c r="N72" s="144"/>
      <c r="O72" s="144"/>
      <c r="P72" s="144"/>
    </row>
    <row r="73" spans="1:16" ht="15" x14ac:dyDescent="0.25">
      <c r="A73" s="209" t="s">
        <v>151</v>
      </c>
      <c r="B73" s="211">
        <v>70.599999999999966</v>
      </c>
      <c r="G73" s="144"/>
      <c r="H73" s="144"/>
      <c r="I73" s="144"/>
      <c r="J73" s="144"/>
      <c r="K73" s="144"/>
      <c r="L73" s="144"/>
      <c r="M73" s="144"/>
      <c r="N73" s="144"/>
      <c r="O73" s="144"/>
      <c r="P73" s="144"/>
    </row>
    <row r="74" spans="1:16" ht="15" x14ac:dyDescent="0.25">
      <c r="A74" s="209" t="s">
        <v>152</v>
      </c>
      <c r="B74" s="212">
        <v>126.19999999999997</v>
      </c>
      <c r="G74" s="144"/>
      <c r="H74" s="144"/>
      <c r="I74" s="144"/>
      <c r="J74" s="144"/>
      <c r="K74" s="144"/>
      <c r="L74" s="144"/>
      <c r="M74" s="144"/>
      <c r="N74" s="144"/>
      <c r="O74" s="144"/>
      <c r="P74" s="144"/>
    </row>
    <row r="75" spans="1:16" ht="15" x14ac:dyDescent="0.25">
      <c r="A75" s="209" t="s">
        <v>153</v>
      </c>
      <c r="B75" s="211">
        <v>243.59999999999991</v>
      </c>
      <c r="G75" s="144"/>
      <c r="H75" s="144"/>
      <c r="I75" s="144"/>
      <c r="J75" s="144"/>
      <c r="K75" s="144"/>
      <c r="L75" s="144"/>
      <c r="M75" s="144"/>
      <c r="N75" s="144"/>
      <c r="O75" s="144"/>
      <c r="P75" s="144"/>
    </row>
    <row r="76" spans="1:16" ht="15" x14ac:dyDescent="0.25">
      <c r="A76" s="209"/>
      <c r="B76" s="211"/>
      <c r="G76" s="144"/>
      <c r="H76" s="144"/>
      <c r="I76" s="144"/>
      <c r="J76" s="144"/>
      <c r="K76" s="144"/>
      <c r="L76" s="144"/>
      <c r="M76" s="144"/>
      <c r="N76" s="144"/>
      <c r="O76" s="144"/>
      <c r="P76" s="144"/>
    </row>
    <row r="77" spans="1:16" ht="15" x14ac:dyDescent="0.25">
      <c r="A77" s="209" t="s">
        <v>163</v>
      </c>
      <c r="B77" s="211">
        <v>5700.8784787599261</v>
      </c>
      <c r="G77" s="144"/>
      <c r="H77" s="144"/>
      <c r="I77" s="144"/>
      <c r="J77" s="144"/>
      <c r="K77" s="144"/>
      <c r="L77" s="144"/>
      <c r="M77" s="144"/>
      <c r="N77" s="144"/>
      <c r="O77" s="144"/>
      <c r="P77" s="144"/>
    </row>
    <row r="78" spans="1:16" ht="15" x14ac:dyDescent="0.25">
      <c r="A78" s="209"/>
      <c r="B78" s="212"/>
      <c r="G78" s="144"/>
      <c r="H78" s="144"/>
      <c r="I78" s="144"/>
      <c r="J78" s="144"/>
      <c r="K78" s="144"/>
      <c r="L78" s="144"/>
      <c r="M78" s="144"/>
      <c r="N78" s="144"/>
      <c r="O78" s="144"/>
      <c r="P78" s="144"/>
    </row>
    <row r="79" spans="1:16" ht="15" x14ac:dyDescent="0.25">
      <c r="A79" s="209" t="s">
        <v>164</v>
      </c>
      <c r="B79" s="211">
        <v>5944.4784787599256</v>
      </c>
      <c r="G79" s="144"/>
      <c r="H79" s="144"/>
      <c r="I79" s="144"/>
      <c r="J79" s="144"/>
      <c r="K79" s="144"/>
      <c r="L79" s="144"/>
      <c r="M79" s="144"/>
      <c r="N79" s="144"/>
      <c r="O79" s="144"/>
      <c r="P79" s="144"/>
    </row>
    <row r="80" spans="1:16" ht="15.75" thickBot="1" x14ac:dyDescent="0.3">
      <c r="A80" s="216"/>
      <c r="B80" s="217"/>
      <c r="G80" s="144"/>
      <c r="H80" s="144"/>
      <c r="I80" s="144"/>
      <c r="J80" s="144"/>
      <c r="K80" s="144"/>
      <c r="L80" s="144"/>
      <c r="M80" s="144"/>
      <c r="N80" s="144"/>
      <c r="O80" s="144"/>
      <c r="P80" s="144"/>
    </row>
    <row r="81" spans="1:16" x14ac:dyDescent="0.2">
      <c r="G81" s="144"/>
      <c r="H81" s="144"/>
      <c r="I81" s="144"/>
      <c r="J81" s="144"/>
      <c r="K81" s="144"/>
      <c r="L81" s="144"/>
      <c r="M81" s="144"/>
      <c r="N81" s="144"/>
      <c r="O81" s="144"/>
      <c r="P81" s="144"/>
    </row>
    <row r="83" spans="1:16" x14ac:dyDescent="0.2">
      <c r="A83" t="s">
        <v>209</v>
      </c>
    </row>
    <row r="84" spans="1:16" x14ac:dyDescent="0.2">
      <c r="A84" t="s">
        <v>210</v>
      </c>
      <c r="B84">
        <v>810</v>
      </c>
    </row>
    <row r="85" spans="1:16" x14ac:dyDescent="0.2">
      <c r="A85" t="s">
        <v>211</v>
      </c>
      <c r="B85">
        <v>21</v>
      </c>
    </row>
    <row r="86" spans="1:16" x14ac:dyDescent="0.2">
      <c r="A86" t="s">
        <v>212</v>
      </c>
      <c r="B86">
        <v>1847</v>
      </c>
    </row>
  </sheetData>
  <pageMargins left="0.7" right="0.7" top="0.75" bottom="0.75" header="0.3" footer="0.3"/>
  <pageSetup paperSize="17" scale="52" orientation="landscape" r:id="rId1"/>
  <headerFooter>
    <oddHeader>&amp;RFiled: 2017-03-31
EB-2017-0049
Exhibit H1-4-1
Attachment 4
Page &amp;P of &amp;N</oddHeader>
  </headerFooter>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theme="1" tint="0.499984740745262"/>
    <pageSetUpPr fitToPage="1"/>
  </sheetPr>
  <dimension ref="A1:K68"/>
  <sheetViews>
    <sheetView view="pageBreakPreview" topLeftCell="A19" zoomScaleNormal="100" zoomScaleSheetLayoutView="100" workbookViewId="0">
      <selection activeCell="C19" sqref="C19"/>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48" t="s">
        <v>111</v>
      </c>
      <c r="B1" s="349"/>
      <c r="C1" s="349"/>
      <c r="D1" s="349"/>
      <c r="E1" s="349"/>
      <c r="F1" s="349"/>
      <c r="G1" s="349"/>
      <c r="H1" s="349"/>
      <c r="I1" s="349"/>
      <c r="J1" s="349"/>
      <c r="K1" s="350"/>
    </row>
    <row r="3" spans="1:11" x14ac:dyDescent="0.2">
      <c r="A3" s="13" t="s">
        <v>13</v>
      </c>
      <c r="B3" s="13" t="s">
        <v>3</v>
      </c>
    </row>
    <row r="4" spans="1:11" x14ac:dyDescent="0.2">
      <c r="A4" s="15" t="s">
        <v>62</v>
      </c>
      <c r="B4" s="15">
        <v>1000</v>
      </c>
    </row>
    <row r="5" spans="1:11" x14ac:dyDescent="0.2">
      <c r="A5" s="15" t="s">
        <v>16</v>
      </c>
      <c r="B5" s="15">
        <f>VLOOKUP($B$3,'Data for Bill Impacts'!$A$3:$Y$15,5,0)</f>
        <v>0</v>
      </c>
    </row>
    <row r="6" spans="1:11" x14ac:dyDescent="0.2">
      <c r="A6" s="15" t="s">
        <v>20</v>
      </c>
      <c r="B6" s="15">
        <f>VLOOKUP($B$3,'Data for Bill Impacts'!$A$3:$Y$15,2,0)</f>
        <v>1.1040000000000001</v>
      </c>
    </row>
    <row r="7" spans="1:11" x14ac:dyDescent="0.2">
      <c r="A7" s="15" t="s">
        <v>15</v>
      </c>
      <c r="B7" s="15">
        <f>VLOOKUP($B$3,'Data for Bill Impacts'!$A$3:$Y$15,4,0)</f>
        <v>600</v>
      </c>
    </row>
    <row r="8" spans="1:11" x14ac:dyDescent="0.2">
      <c r="A8" s="15" t="s">
        <v>82</v>
      </c>
      <c r="B8" s="193">
        <f>B4*B6</f>
        <v>1104</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0.10299999999999999</v>
      </c>
      <c r="D12" s="104">
        <f>B12*C12</f>
        <v>61.8</v>
      </c>
      <c r="E12" s="102">
        <f>B12</f>
        <v>600</v>
      </c>
      <c r="F12" s="103">
        <f>C12</f>
        <v>0.10299999999999999</v>
      </c>
      <c r="G12" s="104">
        <f>E12*F12</f>
        <v>61.8</v>
      </c>
      <c r="H12" s="104">
        <f>G12-D12</f>
        <v>0</v>
      </c>
      <c r="I12" s="105">
        <f>IF(ISERROR(H12/D12),0,(H12/D12))</f>
        <v>0</v>
      </c>
      <c r="J12" s="105">
        <f>G12/$G$46</f>
        <v>0.25587481113706295</v>
      </c>
      <c r="K12" s="106"/>
    </row>
    <row r="13" spans="1:11" x14ac:dyDescent="0.2">
      <c r="A13" s="107" t="s">
        <v>32</v>
      </c>
      <c r="B13" s="73">
        <f>IF(B4&gt;B7,(B4)-B7,0)</f>
        <v>400</v>
      </c>
      <c r="C13" s="21">
        <v>0.121</v>
      </c>
      <c r="D13" s="22">
        <f>B13*C13</f>
        <v>48.4</v>
      </c>
      <c r="E13" s="73">
        <f t="shared" ref="E13" si="0">B13</f>
        <v>400</v>
      </c>
      <c r="F13" s="21">
        <f>C13</f>
        <v>0.121</v>
      </c>
      <c r="G13" s="22">
        <f>E13*F13</f>
        <v>48.4</v>
      </c>
      <c r="H13" s="22">
        <f t="shared" ref="H13:H46" si="1">G13-D13</f>
        <v>0</v>
      </c>
      <c r="I13" s="23">
        <f t="shared" ref="I13:I46" si="2">IF(ISERROR(H13/D13),0,(H13/D13))</f>
        <v>0</v>
      </c>
      <c r="J13" s="23">
        <f>G13/$G$46</f>
        <v>0.20039386503291012</v>
      </c>
      <c r="K13" s="108"/>
    </row>
    <row r="14" spans="1:11" s="1" customFormat="1" x14ac:dyDescent="0.2">
      <c r="A14" s="46" t="s">
        <v>33</v>
      </c>
      <c r="B14" s="24"/>
      <c r="C14" s="25"/>
      <c r="D14" s="25">
        <f>SUM(D12:D13)</f>
        <v>110.19999999999999</v>
      </c>
      <c r="E14" s="76"/>
      <c r="F14" s="25"/>
      <c r="G14" s="25">
        <f>SUM(G12:G13)</f>
        <v>110.19999999999999</v>
      </c>
      <c r="H14" s="25">
        <f t="shared" si="1"/>
        <v>0</v>
      </c>
      <c r="I14" s="27">
        <f t="shared" si="2"/>
        <v>0</v>
      </c>
      <c r="J14" s="27">
        <f>G14/$G$46</f>
        <v>0.45626867616997302</v>
      </c>
      <c r="K14" s="108"/>
    </row>
    <row r="15" spans="1:11" s="1" customFormat="1" x14ac:dyDescent="0.2">
      <c r="A15" s="109" t="s">
        <v>34</v>
      </c>
      <c r="B15" s="75">
        <f>B4*0.65</f>
        <v>650</v>
      </c>
      <c r="C15" s="28">
        <v>8.6999999999999994E-2</v>
      </c>
      <c r="D15" s="22">
        <f>B15*C15</f>
        <v>56.55</v>
      </c>
      <c r="E15" s="73">
        <f t="shared" ref="E15:F17" si="3">B15</f>
        <v>650</v>
      </c>
      <c r="F15" s="28">
        <f t="shared" si="3"/>
        <v>8.6999999999999994E-2</v>
      </c>
      <c r="G15" s="22">
        <f>E15*F15</f>
        <v>56.55</v>
      </c>
      <c r="H15" s="22">
        <f t="shared" si="1"/>
        <v>0</v>
      </c>
      <c r="I15" s="23">
        <f t="shared" si="2"/>
        <v>0</v>
      </c>
      <c r="J15" s="23"/>
      <c r="K15" s="108">
        <f t="shared" ref="K15:K26" si="4">G15/$G$51</f>
        <v>0.23394406510341886</v>
      </c>
    </row>
    <row r="16" spans="1:11" s="1" customFormat="1" x14ac:dyDescent="0.2">
      <c r="A16" s="109" t="s">
        <v>35</v>
      </c>
      <c r="B16" s="75">
        <f>B4*0.17</f>
        <v>170</v>
      </c>
      <c r="C16" s="28">
        <v>0.13200000000000001</v>
      </c>
      <c r="D16" s="22">
        <f>B16*C16</f>
        <v>22.44</v>
      </c>
      <c r="E16" s="73">
        <f t="shared" si="3"/>
        <v>170</v>
      </c>
      <c r="F16" s="28">
        <f t="shared" si="3"/>
        <v>0.13200000000000001</v>
      </c>
      <c r="G16" s="22">
        <f>E16*F16</f>
        <v>22.44</v>
      </c>
      <c r="H16" s="22">
        <f t="shared" si="1"/>
        <v>0</v>
      </c>
      <c r="I16" s="23">
        <f t="shared" si="2"/>
        <v>0</v>
      </c>
      <c r="J16" s="23"/>
      <c r="K16" s="108">
        <f t="shared" si="4"/>
        <v>9.2832976497271791E-2</v>
      </c>
    </row>
    <row r="17" spans="1:11" s="1" customFormat="1" x14ac:dyDescent="0.2">
      <c r="A17" s="109" t="s">
        <v>36</v>
      </c>
      <c r="B17" s="75">
        <f>B4*0.18</f>
        <v>180</v>
      </c>
      <c r="C17" s="28">
        <v>0.18</v>
      </c>
      <c r="D17" s="22">
        <f>B17*C17</f>
        <v>32.4</v>
      </c>
      <c r="E17" s="73">
        <f t="shared" si="3"/>
        <v>180</v>
      </c>
      <c r="F17" s="28">
        <f t="shared" si="3"/>
        <v>0.18</v>
      </c>
      <c r="G17" s="22">
        <f>E17*F17</f>
        <v>32.4</v>
      </c>
      <c r="H17" s="22">
        <f t="shared" si="1"/>
        <v>0</v>
      </c>
      <c r="I17" s="23">
        <f t="shared" si="2"/>
        <v>0</v>
      </c>
      <c r="J17" s="23"/>
      <c r="K17" s="108">
        <f t="shared" si="4"/>
        <v>0.13403691793723732</v>
      </c>
    </row>
    <row r="18" spans="1:11" s="1" customFormat="1" x14ac:dyDescent="0.2">
      <c r="A18" s="61" t="s">
        <v>37</v>
      </c>
      <c r="B18" s="29"/>
      <c r="C18" s="30"/>
      <c r="D18" s="30">
        <f>SUM(D15:D17)</f>
        <v>111.38999999999999</v>
      </c>
      <c r="E18" s="77"/>
      <c r="F18" s="30"/>
      <c r="G18" s="30">
        <f>SUM(G15:G17)</f>
        <v>111.38999999999999</v>
      </c>
      <c r="H18" s="31">
        <f t="shared" si="1"/>
        <v>0</v>
      </c>
      <c r="I18" s="32">
        <f t="shared" si="2"/>
        <v>0</v>
      </c>
      <c r="J18" s="33">
        <f t="shared" ref="J18:J23" si="5">G18/$G$46</f>
        <v>0.46119571541355076</v>
      </c>
      <c r="K18" s="62">
        <f t="shared" si="4"/>
        <v>0.46081395953792792</v>
      </c>
    </row>
    <row r="19" spans="1:11" x14ac:dyDescent="0.2">
      <c r="A19" s="107" t="s">
        <v>38</v>
      </c>
      <c r="B19" s="73">
        <v>1</v>
      </c>
      <c r="C19" s="78">
        <f>VLOOKUP($B$3,'Data for Bill Impacts'!$A$3:$Y$15,7,0)</f>
        <v>50.12</v>
      </c>
      <c r="D19" s="22">
        <f>B19*C19</f>
        <v>50.12</v>
      </c>
      <c r="E19" s="73">
        <f t="shared" ref="E19:E41" si="6">B19</f>
        <v>1</v>
      </c>
      <c r="F19" s="78">
        <f>VLOOKUP($B$3,'Data for Bill Impacts'!$A$3:$Y$15,17,0)</f>
        <v>55.4</v>
      </c>
      <c r="G19" s="22">
        <f>E19*F19</f>
        <v>55.4</v>
      </c>
      <c r="H19" s="22">
        <f t="shared" si="1"/>
        <v>5.2800000000000011</v>
      </c>
      <c r="I19" s="23">
        <f t="shared" si="2"/>
        <v>0.1053471667996808</v>
      </c>
      <c r="J19" s="23">
        <f t="shared" si="5"/>
        <v>0.22937644881866159</v>
      </c>
      <c r="K19" s="108">
        <f t="shared" si="4"/>
        <v>0.22918658190502927</v>
      </c>
    </row>
    <row r="20" spans="1:11" hidden="1" x14ac:dyDescent="0.2">
      <c r="A20" s="107" t="s">
        <v>83</v>
      </c>
      <c r="B20" s="73">
        <v>1</v>
      </c>
      <c r="C20" s="78">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145</v>
      </c>
      <c r="B21" s="73">
        <v>1</v>
      </c>
      <c r="C21" s="78">
        <v>0</v>
      </c>
      <c r="D21" s="22">
        <f t="shared" ref="D21:D22" si="8">B21*C21</f>
        <v>0</v>
      </c>
      <c r="E21" s="73">
        <f t="shared" si="6"/>
        <v>1</v>
      </c>
      <c r="F21" s="122">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v>
      </c>
      <c r="D22" s="22">
        <f t="shared" si="8"/>
        <v>0</v>
      </c>
      <c r="E22" s="73">
        <f t="shared" si="6"/>
        <v>1</v>
      </c>
      <c r="F22" s="122">
        <f>VLOOKUP($B$3,'Data for Bill Impacts'!$A$3:$Y$15,22,0)</f>
        <v>0</v>
      </c>
      <c r="G22" s="22">
        <f t="shared" si="7"/>
        <v>0</v>
      </c>
      <c r="H22" s="22">
        <f t="shared" si="1"/>
        <v>0</v>
      </c>
      <c r="I22" s="23">
        <f t="shared" si="2"/>
        <v>0</v>
      </c>
      <c r="J22" s="23">
        <f t="shared" si="5"/>
        <v>0</v>
      </c>
      <c r="K22" s="108">
        <f t="shared" si="4"/>
        <v>0</v>
      </c>
    </row>
    <row r="23" spans="1:11" x14ac:dyDescent="0.2">
      <c r="A23" s="107" t="s">
        <v>39</v>
      </c>
      <c r="B23" s="73">
        <f>IF($B$9="kWh",$B$4,$B$5)</f>
        <v>1000</v>
      </c>
      <c r="C23" s="126">
        <f>VLOOKUP($B$3,'Data for Bill Impacts'!$A$3:$Y$15,10,0)</f>
        <v>4.3900000000000002E-2</v>
      </c>
      <c r="D23" s="22">
        <f>B23*C23</f>
        <v>43.9</v>
      </c>
      <c r="E23" s="73">
        <f t="shared" si="6"/>
        <v>1000</v>
      </c>
      <c r="F23" s="78">
        <f>VLOOKUP($B$3,'Data for Bill Impacts'!$A$3:$Y$15,19,0)</f>
        <v>3.15E-2</v>
      </c>
      <c r="G23" s="22">
        <f>E23*F23</f>
        <v>31.5</v>
      </c>
      <c r="H23" s="22">
        <f t="shared" si="1"/>
        <v>-12.399999999999999</v>
      </c>
      <c r="I23" s="23">
        <f t="shared" si="2"/>
        <v>-0.28246013667425968</v>
      </c>
      <c r="J23" s="23">
        <f t="shared" si="5"/>
        <v>0.13042162703588159</v>
      </c>
      <c r="K23" s="108">
        <f t="shared" si="4"/>
        <v>0.13031367021675852</v>
      </c>
    </row>
    <row r="24" spans="1:11" x14ac:dyDescent="0.2">
      <c r="A24" s="107" t="s">
        <v>194</v>
      </c>
      <c r="B24" s="73">
        <f>IF($B$9="kWh",$B$4,$B$5)</f>
        <v>1000</v>
      </c>
      <c r="C24" s="126">
        <f>VLOOKUP($B$3,'Data for Bill Impacts'!$A$3:$Y$15,14,0)</f>
        <v>2.0000000000000001E-4</v>
      </c>
      <c r="D24" s="22">
        <f>B24*C24</f>
        <v>0.2</v>
      </c>
      <c r="E24" s="73">
        <f t="shared" si="6"/>
        <v>1000</v>
      </c>
      <c r="F24" s="126">
        <f>VLOOKUP($B$3,'Data for Bill Impacts'!$A$3:$Y$15,23,0)</f>
        <v>2.0000000000000001E-4</v>
      </c>
      <c r="G24" s="22">
        <f>E24*F24</f>
        <v>0.2</v>
      </c>
      <c r="H24" s="22">
        <f t="shared" si="1"/>
        <v>0</v>
      </c>
      <c r="I24" s="23">
        <f>IF(ISERROR(H24/D24),0,(H24/D24))</f>
        <v>0</v>
      </c>
      <c r="J24" s="23">
        <f t="shared" ref="J24" si="9">G24/$G$46</f>
        <v>8.2807382245004191E-4</v>
      </c>
      <c r="K24" s="108">
        <f t="shared" si="4"/>
        <v>8.2738838232862555E-4</v>
      </c>
    </row>
    <row r="25" spans="1:11" s="1" customFormat="1" x14ac:dyDescent="0.2">
      <c r="A25" s="110" t="s">
        <v>72</v>
      </c>
      <c r="B25" s="74"/>
      <c r="C25" s="35"/>
      <c r="D25" s="35">
        <f>SUM(D19:D24)</f>
        <v>94.22</v>
      </c>
      <c r="E25" s="73"/>
      <c r="F25" s="35"/>
      <c r="G25" s="35">
        <f>SUM(G19:G24)</f>
        <v>87.100000000000009</v>
      </c>
      <c r="H25" s="35">
        <f t="shared" si="1"/>
        <v>-7.1199999999999903</v>
      </c>
      <c r="I25" s="36">
        <f t="shared" si="2"/>
        <v>-7.5567819995754515E-2</v>
      </c>
      <c r="J25" s="36">
        <f>G25/$G$46</f>
        <v>0.3606261496769933</v>
      </c>
      <c r="K25" s="111">
        <f t="shared" si="4"/>
        <v>0.36032764050411642</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G26/$G$46</f>
        <v>3.2708915986776658E-3</v>
      </c>
      <c r="K26" s="108">
        <f t="shared" si="4"/>
        <v>3.2681841101980711E-3</v>
      </c>
    </row>
    <row r="27" spans="1:11" s="1" customFormat="1" x14ac:dyDescent="0.2">
      <c r="A27" s="119" t="s">
        <v>75</v>
      </c>
      <c r="B27" s="120">
        <f>B8-B4</f>
        <v>104</v>
      </c>
      <c r="C27" s="121">
        <f>IF(B4&gt;B7,C13,C12)</f>
        <v>0.121</v>
      </c>
      <c r="D27" s="22">
        <f>B27*C27</f>
        <v>12.584</v>
      </c>
      <c r="E27" s="73">
        <f>B27</f>
        <v>104</v>
      </c>
      <c r="F27" s="121">
        <f>C27</f>
        <v>0.121</v>
      </c>
      <c r="G27" s="22">
        <f>E27*F27</f>
        <v>12.584</v>
      </c>
      <c r="H27" s="22">
        <f t="shared" si="1"/>
        <v>0</v>
      </c>
      <c r="I27" s="23">
        <f>IF(ISERROR(H27/D27),0,(H27/D27))</f>
        <v>0</v>
      </c>
      <c r="J27" s="23">
        <f t="shared" ref="J27:J46" si="10">G27/$G$46</f>
        <v>5.2102404908556631E-2</v>
      </c>
      <c r="K27" s="108">
        <f t="shared" ref="K27:K41" si="11">G27/$G$51</f>
        <v>5.2059277016117116E-2</v>
      </c>
    </row>
    <row r="28" spans="1:11" s="1" customFormat="1" x14ac:dyDescent="0.2">
      <c r="A28" s="119" t="s">
        <v>74</v>
      </c>
      <c r="B28" s="120">
        <f>B8-B4</f>
        <v>104</v>
      </c>
      <c r="C28" s="121">
        <f>0.65*C15+0.17*C16+0.18*C17</f>
        <v>0.11139</v>
      </c>
      <c r="D28" s="22">
        <f>B28*C28</f>
        <v>11.58456</v>
      </c>
      <c r="E28" s="73">
        <f>B28</f>
        <v>104</v>
      </c>
      <c r="F28" s="121">
        <f>C28</f>
        <v>0.11139</v>
      </c>
      <c r="G28" s="22">
        <f>E28*F28</f>
        <v>11.58456</v>
      </c>
      <c r="H28" s="22">
        <f t="shared" si="1"/>
        <v>0</v>
      </c>
      <c r="I28" s="23">
        <f>IF(ISERROR(H28/D28),0,(H28/D28))</f>
        <v>0</v>
      </c>
      <c r="J28" s="23">
        <f t="shared" si="10"/>
        <v>4.7964354403009286E-2</v>
      </c>
      <c r="K28" s="108">
        <f t="shared" si="11"/>
        <v>4.7924651791944509E-2</v>
      </c>
    </row>
    <row r="29" spans="1:11" s="1" customFormat="1" x14ac:dyDescent="0.2">
      <c r="A29" s="110" t="s">
        <v>78</v>
      </c>
      <c r="B29" s="74"/>
      <c r="C29" s="35"/>
      <c r="D29" s="35">
        <f>SUM(D25,D26:D27)</f>
        <v>107.59400000000001</v>
      </c>
      <c r="E29" s="73"/>
      <c r="F29" s="35"/>
      <c r="G29" s="35">
        <f>SUM(G25,G26:G27)</f>
        <v>100.47400000000002</v>
      </c>
      <c r="H29" s="35">
        <f t="shared" si="1"/>
        <v>-7.1199999999999903</v>
      </c>
      <c r="I29" s="36">
        <f>IF(ISERROR(H29/D29),0,(H29/D29))</f>
        <v>-6.617469375615731E-2</v>
      </c>
      <c r="J29" s="36">
        <f t="shared" si="10"/>
        <v>0.41599944618422763</v>
      </c>
      <c r="K29" s="111">
        <f t="shared" si="11"/>
        <v>0.41565510163043168</v>
      </c>
    </row>
    <row r="30" spans="1:11" s="1" customFormat="1" x14ac:dyDescent="0.2">
      <c r="A30" s="110" t="s">
        <v>77</v>
      </c>
      <c r="B30" s="74"/>
      <c r="C30" s="35"/>
      <c r="D30" s="35">
        <f>SUM(D25,D26,D28)</f>
        <v>106.59456</v>
      </c>
      <c r="E30" s="73"/>
      <c r="F30" s="35"/>
      <c r="G30" s="35">
        <f>SUM(G25,G26,G28)</f>
        <v>99.474560000000011</v>
      </c>
      <c r="H30" s="35">
        <f t="shared" si="1"/>
        <v>-7.1199999999999903</v>
      </c>
      <c r="I30" s="36">
        <f>IF(ISERROR(H30/D30),0,(H30/D30))</f>
        <v>-6.6795153523781986E-2</v>
      </c>
      <c r="J30" s="36">
        <f t="shared" si="10"/>
        <v>0.41186139567868024</v>
      </c>
      <c r="K30" s="111">
        <f t="shared" si="11"/>
        <v>0.41152047640625905</v>
      </c>
    </row>
    <row r="31" spans="1:11" x14ac:dyDescent="0.2">
      <c r="A31" s="107" t="s">
        <v>40</v>
      </c>
      <c r="B31" s="73">
        <f>B8</f>
        <v>1104</v>
      </c>
      <c r="C31" s="126">
        <f>VLOOKUP($B$3,'Data for Bill Impacts'!$A$3:$Y$15,15,0)</f>
        <v>5.6559999999999996E-3</v>
      </c>
      <c r="D31" s="22">
        <f>B31*C31</f>
        <v>6.2442239999999991</v>
      </c>
      <c r="E31" s="73">
        <f t="shared" si="6"/>
        <v>1104</v>
      </c>
      <c r="F31" s="78">
        <f>VLOOKUP($B$3,'Data for Bill Impacts'!$A$3:$Y$15,24,0)</f>
        <v>5.7999999999999996E-3</v>
      </c>
      <c r="G31" s="22">
        <f>E31*F31</f>
        <v>6.4032</v>
      </c>
      <c r="H31" s="22">
        <f t="shared" si="1"/>
        <v>0.15897600000000089</v>
      </c>
      <c r="I31" s="23">
        <f t="shared" si="2"/>
        <v>2.5459688826025607E-2</v>
      </c>
      <c r="J31" s="23">
        <f t="shared" si="10"/>
        <v>2.651161149956054E-2</v>
      </c>
      <c r="K31" s="108">
        <f t="shared" si="11"/>
        <v>2.6489666448633275E-2</v>
      </c>
    </row>
    <row r="32" spans="1:11" x14ac:dyDescent="0.2">
      <c r="A32" s="107" t="s">
        <v>41</v>
      </c>
      <c r="B32" s="73">
        <f>B8</f>
        <v>1104</v>
      </c>
      <c r="C32" s="126">
        <f>VLOOKUP($B$3,'Data for Bill Impacts'!$A$3:$Y$15,16,0)</f>
        <v>4.8209999999999998E-3</v>
      </c>
      <c r="D32" s="22">
        <f>B32*C32</f>
        <v>5.3223839999999996</v>
      </c>
      <c r="E32" s="73">
        <f t="shared" si="6"/>
        <v>1104</v>
      </c>
      <c r="F32" s="78">
        <f>VLOOKUP($B$3,'Data for Bill Impacts'!$A$3:$Y$15,25,0)</f>
        <v>4.7000000000000002E-3</v>
      </c>
      <c r="G32" s="22">
        <f>E32*F32</f>
        <v>5.1888000000000005</v>
      </c>
      <c r="H32" s="22">
        <f t="shared" si="1"/>
        <v>-0.13358399999999904</v>
      </c>
      <c r="I32" s="23">
        <f t="shared" si="2"/>
        <v>-2.5098527276498472E-2</v>
      </c>
      <c r="J32" s="23">
        <f t="shared" si="10"/>
        <v>2.1483547249643888E-2</v>
      </c>
      <c r="K32" s="108">
        <f t="shared" si="11"/>
        <v>2.1465764191133864E-2</v>
      </c>
    </row>
    <row r="33" spans="1:11" s="1" customFormat="1" x14ac:dyDescent="0.2">
      <c r="A33" s="110" t="s">
        <v>76</v>
      </c>
      <c r="B33" s="74"/>
      <c r="C33" s="35"/>
      <c r="D33" s="35">
        <f>SUM(D31:D32)</f>
        <v>11.566607999999999</v>
      </c>
      <c r="E33" s="73"/>
      <c r="F33" s="35"/>
      <c r="G33" s="35">
        <f>SUM(G31:G32)</f>
        <v>11.592000000000001</v>
      </c>
      <c r="H33" s="35">
        <f t="shared" si="1"/>
        <v>2.5392000000001858E-2</v>
      </c>
      <c r="I33" s="36">
        <f t="shared" si="2"/>
        <v>2.1952849098025853E-3</v>
      </c>
      <c r="J33" s="36">
        <f t="shared" si="10"/>
        <v>4.7995158749204431E-2</v>
      </c>
      <c r="K33" s="111">
        <f t="shared" si="11"/>
        <v>4.7955430639767135E-2</v>
      </c>
    </row>
    <row r="34" spans="1:11" s="1" customFormat="1" x14ac:dyDescent="0.2">
      <c r="A34" s="110" t="s">
        <v>95</v>
      </c>
      <c r="B34" s="74"/>
      <c r="C34" s="35"/>
      <c r="D34" s="35">
        <f>D29+D33</f>
        <v>119.16060800000001</v>
      </c>
      <c r="E34" s="73"/>
      <c r="F34" s="35"/>
      <c r="G34" s="35">
        <f>G29+G33</f>
        <v>112.06600000000002</v>
      </c>
      <c r="H34" s="35">
        <f t="shared" si="1"/>
        <v>-7.0946079999999938</v>
      </c>
      <c r="I34" s="36">
        <f t="shared" si="2"/>
        <v>-5.9538199066590809E-2</v>
      </c>
      <c r="J34" s="36">
        <f t="shared" si="10"/>
        <v>0.46399460493343203</v>
      </c>
      <c r="K34" s="111">
        <f t="shared" si="11"/>
        <v>0.46361053227019883</v>
      </c>
    </row>
    <row r="35" spans="1:11" s="1" customFormat="1" x14ac:dyDescent="0.2">
      <c r="A35" s="110" t="s">
        <v>96</v>
      </c>
      <c r="B35" s="74"/>
      <c r="C35" s="35"/>
      <c r="D35" s="35">
        <f>D30+D33</f>
        <v>118.161168</v>
      </c>
      <c r="E35" s="73"/>
      <c r="F35" s="35"/>
      <c r="G35" s="35">
        <f>G30+G33</f>
        <v>111.06656000000001</v>
      </c>
      <c r="H35" s="35">
        <f t="shared" si="1"/>
        <v>-7.0946079999999938</v>
      </c>
      <c r="I35" s="36">
        <f t="shared" si="2"/>
        <v>-6.0041789702011017E-2</v>
      </c>
      <c r="J35" s="36">
        <f t="shared" si="10"/>
        <v>0.45985655442788465</v>
      </c>
      <c r="K35" s="111">
        <f t="shared" si="11"/>
        <v>0.45947590704602614</v>
      </c>
    </row>
    <row r="36" spans="1:11" x14ac:dyDescent="0.2">
      <c r="A36" s="107" t="s">
        <v>42</v>
      </c>
      <c r="B36" s="73">
        <f>B8</f>
        <v>1104</v>
      </c>
      <c r="C36" s="34">
        <v>3.5999999999999999E-3</v>
      </c>
      <c r="D36" s="22">
        <f>B36*C36</f>
        <v>3.9743999999999997</v>
      </c>
      <c r="E36" s="73">
        <f t="shared" si="6"/>
        <v>1104</v>
      </c>
      <c r="F36" s="34">
        <v>3.5999999999999999E-3</v>
      </c>
      <c r="G36" s="22">
        <f>E36*F36</f>
        <v>3.9743999999999997</v>
      </c>
      <c r="H36" s="22">
        <f t="shared" si="1"/>
        <v>0</v>
      </c>
      <c r="I36" s="23">
        <f t="shared" si="2"/>
        <v>0</v>
      </c>
      <c r="J36" s="23">
        <f t="shared" si="10"/>
        <v>1.6455482999727232E-2</v>
      </c>
      <c r="K36" s="108">
        <f t="shared" si="11"/>
        <v>1.6441861933634446E-2</v>
      </c>
    </row>
    <row r="37" spans="1:11" x14ac:dyDescent="0.2">
      <c r="A37" s="107" t="s">
        <v>43</v>
      </c>
      <c r="B37" s="73">
        <f>B8</f>
        <v>1104</v>
      </c>
      <c r="C37" s="34">
        <v>2.0999999999999999E-3</v>
      </c>
      <c r="D37" s="22">
        <f>B37*C37</f>
        <v>2.3184</v>
      </c>
      <c r="E37" s="73">
        <f t="shared" si="6"/>
        <v>1104</v>
      </c>
      <c r="F37" s="34">
        <v>2.0999999999999999E-3</v>
      </c>
      <c r="G37" s="22">
        <f>E37*F37</f>
        <v>2.3184</v>
      </c>
      <c r="H37" s="22">
        <f>G37-D37</f>
        <v>0</v>
      </c>
      <c r="I37" s="23">
        <f t="shared" si="2"/>
        <v>0</v>
      </c>
      <c r="J37" s="23">
        <f t="shared" si="10"/>
        <v>9.5990317498408865E-3</v>
      </c>
      <c r="K37" s="108">
        <f t="shared" si="11"/>
        <v>9.5910861279534278E-3</v>
      </c>
    </row>
    <row r="38" spans="1:11" x14ac:dyDescent="0.2">
      <c r="A38" s="107" t="s">
        <v>100</v>
      </c>
      <c r="B38" s="73">
        <f>B8</f>
        <v>1104</v>
      </c>
      <c r="C38" s="34">
        <v>1.1000000000000001E-3</v>
      </c>
      <c r="D38" s="22">
        <f>B38*C38</f>
        <v>1.2144000000000001</v>
      </c>
      <c r="E38" s="73">
        <f t="shared" si="6"/>
        <v>1104</v>
      </c>
      <c r="F38" s="34">
        <v>1.1000000000000001E-3</v>
      </c>
      <c r="G38" s="22">
        <f>E38*F38</f>
        <v>1.2144000000000001</v>
      </c>
      <c r="H38" s="22">
        <f>G38-D38</f>
        <v>0</v>
      </c>
      <c r="I38" s="23">
        <f t="shared" ref="I38" si="12">IF(ISERROR(H38/D38),0,(H38/D38))</f>
        <v>0</v>
      </c>
      <c r="J38" s="23">
        <f t="shared" ref="J38" si="13">G38/$G$46</f>
        <v>5.0280642499166547E-3</v>
      </c>
      <c r="K38" s="108">
        <f t="shared" ref="K38" si="14">G38/$G$51</f>
        <v>5.0239022574994144E-3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10"/>
        <v>1.0350922780625524E-3</v>
      </c>
      <c r="K39" s="108">
        <f t="shared" si="11"/>
        <v>1.0342354779107818E-3</v>
      </c>
    </row>
    <row r="40" spans="1:11" s="1" customFormat="1" x14ac:dyDescent="0.2">
      <c r="A40" s="110" t="s">
        <v>45</v>
      </c>
      <c r="B40" s="74"/>
      <c r="C40" s="35"/>
      <c r="D40" s="35">
        <f>SUM(D36:D39)</f>
        <v>7.7572000000000001</v>
      </c>
      <c r="E40" s="73"/>
      <c r="F40" s="35"/>
      <c r="G40" s="35">
        <f>SUM(G36:G39)</f>
        <v>7.7572000000000001</v>
      </c>
      <c r="H40" s="35">
        <f t="shared" si="1"/>
        <v>0</v>
      </c>
      <c r="I40" s="36">
        <f t="shared" si="2"/>
        <v>0</v>
      </c>
      <c r="J40" s="36">
        <f t="shared" si="10"/>
        <v>3.2117671277547326E-2</v>
      </c>
      <c r="K40" s="111">
        <f t="shared" si="11"/>
        <v>3.209108579699807E-2</v>
      </c>
    </row>
    <row r="41" spans="1:11" s="1" customFormat="1" ht="13.5" thickBot="1" x14ac:dyDescent="0.25">
      <c r="A41" s="112" t="s">
        <v>46</v>
      </c>
      <c r="B41" s="113">
        <f>B4</f>
        <v>1000</v>
      </c>
      <c r="C41" s="114">
        <v>0</v>
      </c>
      <c r="D41" s="115">
        <f>B41*C41</f>
        <v>0</v>
      </c>
      <c r="E41" s="116">
        <f t="shared" si="6"/>
        <v>1000</v>
      </c>
      <c r="F41" s="114">
        <f>C41</f>
        <v>0</v>
      </c>
      <c r="G41" s="115">
        <f>E41*F41</f>
        <v>0</v>
      </c>
      <c r="H41" s="115">
        <f t="shared" si="1"/>
        <v>0</v>
      </c>
      <c r="I41" s="117">
        <f t="shared" si="2"/>
        <v>0</v>
      </c>
      <c r="J41" s="117">
        <f t="shared" si="10"/>
        <v>0</v>
      </c>
      <c r="K41" s="118">
        <f t="shared" si="11"/>
        <v>0</v>
      </c>
    </row>
    <row r="42" spans="1:11" s="1" customFormat="1" x14ac:dyDescent="0.2">
      <c r="A42" s="37" t="s">
        <v>137</v>
      </c>
      <c r="B42" s="38"/>
      <c r="C42" s="39"/>
      <c r="D42" s="39">
        <f>SUM(D14,D25,D26,D27,D33,D40,D41)</f>
        <v>237.117808</v>
      </c>
      <c r="E42" s="38"/>
      <c r="F42" s="39"/>
      <c r="G42" s="39">
        <f>SUM(G14,G25,G26,G27,G33,G40,G41)</f>
        <v>230.02320000000003</v>
      </c>
      <c r="H42" s="39">
        <f t="shared" si="1"/>
        <v>-7.0946079999999654</v>
      </c>
      <c r="I42" s="40">
        <f>IF(ISERROR(H42/D42),0,(H42/D42))</f>
        <v>-2.9920182123140938E-2</v>
      </c>
      <c r="J42" s="40">
        <f t="shared" si="10"/>
        <v>0.95238095238095255</v>
      </c>
      <c r="K42" s="41"/>
    </row>
    <row r="43" spans="1:11" x14ac:dyDescent="0.2">
      <c r="A43" s="150" t="s">
        <v>138</v>
      </c>
      <c r="B43" s="43"/>
      <c r="C43" s="26">
        <v>0.13</v>
      </c>
      <c r="D43" s="26">
        <f>D42*C43</f>
        <v>30.82531504</v>
      </c>
      <c r="E43" s="26"/>
      <c r="F43" s="26">
        <f>C43</f>
        <v>0.13</v>
      </c>
      <c r="G43" s="26">
        <f>G42*F43</f>
        <v>29.903016000000004</v>
      </c>
      <c r="H43" s="26">
        <f t="shared" si="1"/>
        <v>-0.92229903999999507</v>
      </c>
      <c r="I43" s="44">
        <f t="shared" si="2"/>
        <v>-2.9920182123140925E-2</v>
      </c>
      <c r="J43" s="44">
        <f t="shared" si="10"/>
        <v>0.12380952380952383</v>
      </c>
      <c r="K43" s="45"/>
    </row>
    <row r="44" spans="1:11" s="1" customFormat="1" x14ac:dyDescent="0.2">
      <c r="A44" s="46" t="s">
        <v>139</v>
      </c>
      <c r="B44" s="24"/>
      <c r="C44" s="25"/>
      <c r="D44" s="25">
        <f>SUM(D42:D43)</f>
        <v>267.94312303999999</v>
      </c>
      <c r="E44" s="25"/>
      <c r="F44" s="25"/>
      <c r="G44" s="25">
        <f>SUM(G42:G43)</f>
        <v>259.92621600000001</v>
      </c>
      <c r="H44" s="25">
        <f t="shared" si="1"/>
        <v>-8.0169070399999782</v>
      </c>
      <c r="I44" s="27">
        <f t="shared" si="2"/>
        <v>-2.9920182123141004E-2</v>
      </c>
      <c r="J44" s="27">
        <f t="shared" si="10"/>
        <v>1.0761904761904761</v>
      </c>
      <c r="K44" s="47"/>
    </row>
    <row r="45" spans="1:11" x14ac:dyDescent="0.2">
      <c r="A45" s="42" t="s">
        <v>140</v>
      </c>
      <c r="B45" s="43"/>
      <c r="C45" s="26">
        <v>-0.08</v>
      </c>
      <c r="D45" s="26">
        <f>D42*C45</f>
        <v>-18.96942464</v>
      </c>
      <c r="E45" s="26"/>
      <c r="F45" s="26">
        <f>C45</f>
        <v>-0.08</v>
      </c>
      <c r="G45" s="26">
        <f>G42*F45</f>
        <v>-18.401856000000002</v>
      </c>
      <c r="H45" s="26">
        <f t="shared" si="1"/>
        <v>0.56756863999999752</v>
      </c>
      <c r="I45" s="44">
        <f t="shared" si="2"/>
        <v>-2.9920182123140952E-2</v>
      </c>
      <c r="J45" s="44">
        <f t="shared" si="10"/>
        <v>-7.6190476190476197E-2</v>
      </c>
      <c r="K45" s="45"/>
    </row>
    <row r="46" spans="1:11" s="1" customFormat="1" ht="13.5" thickBot="1" x14ac:dyDescent="0.25">
      <c r="A46" s="48" t="s">
        <v>141</v>
      </c>
      <c r="B46" s="49"/>
      <c r="C46" s="50"/>
      <c r="D46" s="50">
        <f>SUM(D44:D45)</f>
        <v>248.97369839999999</v>
      </c>
      <c r="E46" s="50"/>
      <c r="F46" s="50"/>
      <c r="G46" s="50">
        <f>SUM(G44:G45)</f>
        <v>241.52436</v>
      </c>
      <c r="H46" s="50">
        <f t="shared" si="1"/>
        <v>-7.4493383999999878</v>
      </c>
      <c r="I46" s="51">
        <f t="shared" si="2"/>
        <v>-2.9920182123141036E-2</v>
      </c>
      <c r="J46" s="51">
        <f t="shared" si="10"/>
        <v>1</v>
      </c>
      <c r="K46" s="52"/>
    </row>
    <row r="47" spans="1:11" x14ac:dyDescent="0.2">
      <c r="A47" s="53" t="s">
        <v>142</v>
      </c>
      <c r="B47" s="54"/>
      <c r="C47" s="55"/>
      <c r="D47" s="55">
        <f>SUM(D18,D25,D26,D28,D33,D40,D41)</f>
        <v>237.308368</v>
      </c>
      <c r="E47" s="55"/>
      <c r="F47" s="55"/>
      <c r="G47" s="55">
        <f>SUM(G18,G25,G26,G28,G33,G40,G41)</f>
        <v>230.21376000000004</v>
      </c>
      <c r="H47" s="55">
        <f>G47-D47</f>
        <v>-7.0946079999999654</v>
      </c>
      <c r="I47" s="56">
        <f>IF(ISERROR(H47/D47),0,(H47/D47))</f>
        <v>-2.9896156042841123E-2</v>
      </c>
      <c r="J47" s="56"/>
      <c r="K47" s="57">
        <f>G47/$G$51</f>
        <v>0.95238095238095233</v>
      </c>
    </row>
    <row r="48" spans="1:11" x14ac:dyDescent="0.2">
      <c r="A48" s="58" t="s">
        <v>138</v>
      </c>
      <c r="B48" s="59"/>
      <c r="C48" s="31">
        <v>0.13</v>
      </c>
      <c r="D48" s="31">
        <f>D47*C48</f>
        <v>30.85008784</v>
      </c>
      <c r="E48" s="31"/>
      <c r="F48" s="31">
        <f>C48</f>
        <v>0.13</v>
      </c>
      <c r="G48" s="31">
        <f>G47*F48</f>
        <v>29.927788800000005</v>
      </c>
      <c r="H48" s="31">
        <f>G48-D48</f>
        <v>-0.92229903999999507</v>
      </c>
      <c r="I48" s="32">
        <f>IF(ISERROR(H48/D48),0,(H48/D48))</f>
        <v>-2.9896156042841109E-2</v>
      </c>
      <c r="J48" s="32"/>
      <c r="K48" s="60">
        <f>G48/$G$51</f>
        <v>0.1238095238095238</v>
      </c>
    </row>
    <row r="49" spans="1:11" x14ac:dyDescent="0.2">
      <c r="A49" s="141" t="s">
        <v>143</v>
      </c>
      <c r="B49" s="29"/>
      <c r="C49" s="30"/>
      <c r="D49" s="30">
        <f>SUM(D47:D48)</f>
        <v>268.15845583999999</v>
      </c>
      <c r="E49" s="30"/>
      <c r="F49" s="30"/>
      <c r="G49" s="30">
        <f>SUM(G47:G48)</f>
        <v>260.14154880000007</v>
      </c>
      <c r="H49" s="30">
        <f>G49-D49</f>
        <v>-8.0169070399999214</v>
      </c>
      <c r="I49" s="33">
        <f>IF(ISERROR(H49/D49),0,(H49/D49))</f>
        <v>-2.9896156042840977E-2</v>
      </c>
      <c r="J49" s="33"/>
      <c r="K49" s="62">
        <f>G49/$G$51</f>
        <v>1.0761904761904761</v>
      </c>
    </row>
    <row r="50" spans="1:11" x14ac:dyDescent="0.2">
      <c r="A50" s="58" t="s">
        <v>140</v>
      </c>
      <c r="B50" s="59"/>
      <c r="C50" s="31">
        <v>-0.08</v>
      </c>
      <c r="D50" s="31">
        <f>D47*C50</f>
        <v>-18.984669440000001</v>
      </c>
      <c r="E50" s="31"/>
      <c r="F50" s="31">
        <f>C50</f>
        <v>-0.08</v>
      </c>
      <c r="G50" s="31">
        <f>G47*F50</f>
        <v>-18.417100800000004</v>
      </c>
      <c r="H50" s="31">
        <f>G50-D50</f>
        <v>0.56756863999999752</v>
      </c>
      <c r="I50" s="32">
        <f>IF(ISERROR(H50/D50),0,(H50/D50))</f>
        <v>-2.9896156042841137E-2</v>
      </c>
      <c r="J50" s="32"/>
      <c r="K50" s="60">
        <f>G50/$G$51</f>
        <v>-7.6190476190476183E-2</v>
      </c>
    </row>
    <row r="51" spans="1:11" ht="13.5" thickBot="1" x14ac:dyDescent="0.25">
      <c r="A51" s="63" t="s">
        <v>144</v>
      </c>
      <c r="B51" s="64"/>
      <c r="C51" s="65"/>
      <c r="D51" s="65">
        <f>SUM(D49:D50)</f>
        <v>249.17378639999998</v>
      </c>
      <c r="E51" s="65"/>
      <c r="F51" s="65"/>
      <c r="G51" s="65">
        <f>SUM(G49:G50)</f>
        <v>241.72444800000005</v>
      </c>
      <c r="H51" s="65">
        <f>G51-D51</f>
        <v>-7.449338399999931</v>
      </c>
      <c r="I51" s="66">
        <f>IF(ISERROR(H51/D51),0,(H51/D51))</f>
        <v>-2.9896156042840995E-2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theme="1" tint="0.499984740745262"/>
    <pageSetUpPr fitToPage="1"/>
  </sheetPr>
  <dimension ref="A1:K68"/>
  <sheetViews>
    <sheetView view="pageBreakPreview" topLeftCell="A19" zoomScaleNormal="100" zoomScaleSheetLayoutView="100" workbookViewId="0">
      <selection activeCell="C19" sqref="C19"/>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48" t="s">
        <v>109</v>
      </c>
      <c r="B1" s="349"/>
      <c r="C1" s="349"/>
      <c r="D1" s="349"/>
      <c r="E1" s="349"/>
      <c r="F1" s="349"/>
      <c r="G1" s="349"/>
      <c r="H1" s="349"/>
      <c r="I1" s="349"/>
      <c r="J1" s="349"/>
      <c r="K1" s="350"/>
    </row>
    <row r="3" spans="1:11" x14ac:dyDescent="0.2">
      <c r="A3" s="13" t="s">
        <v>13</v>
      </c>
      <c r="B3" s="13" t="s">
        <v>89</v>
      </c>
    </row>
    <row r="4" spans="1:11" x14ac:dyDescent="0.2">
      <c r="A4" s="15" t="s">
        <v>62</v>
      </c>
      <c r="B4" s="15">
        <v>1000</v>
      </c>
    </row>
    <row r="5" spans="1:11" x14ac:dyDescent="0.2">
      <c r="A5" s="15" t="s">
        <v>16</v>
      </c>
      <c r="B5" s="15">
        <f>VLOOKUP($B$3,'Data for Bill Impacts'!$A$3:$Y$15,5,0)</f>
        <v>0</v>
      </c>
    </row>
    <row r="6" spans="1:11" x14ac:dyDescent="0.2">
      <c r="A6" s="15" t="s">
        <v>20</v>
      </c>
      <c r="B6" s="15">
        <f>VLOOKUP($B$3,'Data for Bill Impacts'!$A$3:$Y$15,2,0)</f>
        <v>1.0669999999999999</v>
      </c>
    </row>
    <row r="7" spans="1:11" x14ac:dyDescent="0.2">
      <c r="A7" s="15" t="s">
        <v>15</v>
      </c>
      <c r="B7" s="15">
        <f>VLOOKUP($B$3,'Data for Bill Impacts'!$A$3:$Y$15,4,0)</f>
        <v>750</v>
      </c>
    </row>
    <row r="8" spans="1:11" x14ac:dyDescent="0.2">
      <c r="A8" s="15" t="s">
        <v>82</v>
      </c>
      <c r="B8" s="15">
        <f>B4*B6</f>
        <v>1067</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0.10299999999999999</v>
      </c>
      <c r="D12" s="104">
        <f>B12*C12</f>
        <v>77.25</v>
      </c>
      <c r="E12" s="102">
        <f>B12</f>
        <v>750</v>
      </c>
      <c r="F12" s="103">
        <f>C12</f>
        <v>0.10299999999999999</v>
      </c>
      <c r="G12" s="104">
        <f>E12*F12</f>
        <v>77.25</v>
      </c>
      <c r="H12" s="104">
        <f>G12-D12</f>
        <v>0</v>
      </c>
      <c r="I12" s="105">
        <f>IF(ISERROR(H12/D12),0,(H12/D12))</f>
        <v>0</v>
      </c>
      <c r="J12" s="105">
        <f>G12/$G$46</f>
        <v>0.37023385911573636</v>
      </c>
      <c r="K12" s="106"/>
    </row>
    <row r="13" spans="1:11" x14ac:dyDescent="0.2">
      <c r="A13" s="107" t="s">
        <v>32</v>
      </c>
      <c r="B13" s="73">
        <f>IF(B4&gt;B7,(B4)-B7,0)</f>
        <v>250</v>
      </c>
      <c r="C13" s="21">
        <v>0.121</v>
      </c>
      <c r="D13" s="22">
        <f>B13*C13</f>
        <v>30.25</v>
      </c>
      <c r="E13" s="73">
        <f t="shared" ref="E13" si="0">B13</f>
        <v>250</v>
      </c>
      <c r="F13" s="21">
        <f>C13</f>
        <v>0.121</v>
      </c>
      <c r="G13" s="22">
        <f>E13*F13</f>
        <v>30.25</v>
      </c>
      <c r="H13" s="22">
        <f t="shared" ref="H13:H46" si="1">G13-D13</f>
        <v>0</v>
      </c>
      <c r="I13" s="23">
        <f t="shared" ref="I13:I46" si="2">IF(ISERROR(H13/D13),0,(H13/D13))</f>
        <v>0</v>
      </c>
      <c r="J13" s="23">
        <f>G13/$G$46</f>
        <v>0.14497830729127542</v>
      </c>
      <c r="K13" s="108"/>
    </row>
    <row r="14" spans="1:11" s="1" customFormat="1" x14ac:dyDescent="0.2">
      <c r="A14" s="46" t="s">
        <v>33</v>
      </c>
      <c r="B14" s="24"/>
      <c r="C14" s="25"/>
      <c r="D14" s="25">
        <f>SUM(D12:D13)</f>
        <v>107.5</v>
      </c>
      <c r="E14" s="76"/>
      <c r="F14" s="25"/>
      <c r="G14" s="25">
        <f>SUM(G12:G13)</f>
        <v>107.5</v>
      </c>
      <c r="H14" s="25">
        <f t="shared" si="1"/>
        <v>0</v>
      </c>
      <c r="I14" s="27">
        <f t="shared" si="2"/>
        <v>0</v>
      </c>
      <c r="J14" s="27">
        <f>G14/$G$46</f>
        <v>0.51521216640701184</v>
      </c>
      <c r="K14" s="108"/>
    </row>
    <row r="15" spans="1:11" s="1" customFormat="1" x14ac:dyDescent="0.2">
      <c r="A15" s="109" t="s">
        <v>34</v>
      </c>
      <c r="B15" s="75">
        <f>B4*0.65</f>
        <v>650</v>
      </c>
      <c r="C15" s="28">
        <v>8.6999999999999994E-2</v>
      </c>
      <c r="D15" s="22">
        <f>B15*C15</f>
        <v>56.55</v>
      </c>
      <c r="E15" s="73">
        <f t="shared" ref="E15:F17" si="3">B15</f>
        <v>650</v>
      </c>
      <c r="F15" s="28">
        <f t="shared" si="3"/>
        <v>8.6999999999999994E-2</v>
      </c>
      <c r="G15" s="22">
        <f>E15*F15</f>
        <v>56.55</v>
      </c>
      <c r="H15" s="22">
        <f t="shared" si="1"/>
        <v>0</v>
      </c>
      <c r="I15" s="23">
        <f t="shared" si="2"/>
        <v>0</v>
      </c>
      <c r="J15" s="23"/>
      <c r="K15" s="108">
        <f t="shared" ref="K15:K26" si="4">G15/$G$51</f>
        <v>0.26666938098842963</v>
      </c>
    </row>
    <row r="16" spans="1:11" s="1" customFormat="1" x14ac:dyDescent="0.2">
      <c r="A16" s="109" t="s">
        <v>35</v>
      </c>
      <c r="B16" s="75">
        <f>B4*0.17</f>
        <v>170</v>
      </c>
      <c r="C16" s="28">
        <v>0.13200000000000001</v>
      </c>
      <c r="D16" s="22">
        <f>B16*C16</f>
        <v>22.44</v>
      </c>
      <c r="E16" s="73">
        <f t="shared" si="3"/>
        <v>170</v>
      </c>
      <c r="F16" s="28">
        <f t="shared" si="3"/>
        <v>0.13200000000000001</v>
      </c>
      <c r="G16" s="22">
        <f>E16*F16</f>
        <v>22.44</v>
      </c>
      <c r="H16" s="22">
        <f t="shared" si="1"/>
        <v>0</v>
      </c>
      <c r="I16" s="23">
        <f t="shared" si="2"/>
        <v>0</v>
      </c>
      <c r="J16" s="23"/>
      <c r="K16" s="108">
        <f t="shared" si="4"/>
        <v>0.10581893738957315</v>
      </c>
    </row>
    <row r="17" spans="1:11" s="1" customFormat="1" x14ac:dyDescent="0.2">
      <c r="A17" s="109" t="s">
        <v>36</v>
      </c>
      <c r="B17" s="75">
        <f>B4*0.18</f>
        <v>180</v>
      </c>
      <c r="C17" s="28">
        <v>0.18</v>
      </c>
      <c r="D17" s="22">
        <f>B17*C17</f>
        <v>32.4</v>
      </c>
      <c r="E17" s="73">
        <f t="shared" si="3"/>
        <v>180</v>
      </c>
      <c r="F17" s="28">
        <f t="shared" si="3"/>
        <v>0.18</v>
      </c>
      <c r="G17" s="22">
        <f>E17*F17</f>
        <v>32.4</v>
      </c>
      <c r="H17" s="22">
        <f t="shared" si="1"/>
        <v>0</v>
      </c>
      <c r="I17" s="23">
        <f t="shared" si="2"/>
        <v>0</v>
      </c>
      <c r="J17" s="23"/>
      <c r="K17" s="108">
        <f t="shared" si="4"/>
        <v>0.15278670104376871</v>
      </c>
    </row>
    <row r="18" spans="1:11" s="1" customFormat="1" x14ac:dyDescent="0.2">
      <c r="A18" s="61" t="s">
        <v>37</v>
      </c>
      <c r="B18" s="29"/>
      <c r="C18" s="30"/>
      <c r="D18" s="30">
        <f>SUM(D15:D17)</f>
        <v>111.38999999999999</v>
      </c>
      <c r="E18" s="77"/>
      <c r="F18" s="30"/>
      <c r="G18" s="30">
        <f>SUM(G15:G17)</f>
        <v>111.38999999999999</v>
      </c>
      <c r="H18" s="31">
        <f t="shared" si="1"/>
        <v>0</v>
      </c>
      <c r="I18" s="32">
        <f t="shared" si="2"/>
        <v>0</v>
      </c>
      <c r="J18" s="33">
        <f t="shared" ref="J18:J23" si="5">G18/$G$46</f>
        <v>0.53385565782397237</v>
      </c>
      <c r="K18" s="62">
        <f t="shared" si="4"/>
        <v>0.52527501942177146</v>
      </c>
    </row>
    <row r="19" spans="1:11" x14ac:dyDescent="0.2">
      <c r="A19" s="107" t="s">
        <v>38</v>
      </c>
      <c r="B19" s="73">
        <v>1</v>
      </c>
      <c r="C19" s="78">
        <f>VLOOKUP($B$3,'Data for Bill Impacts'!$A$3:$Y$15,7,0)</f>
        <v>25.11</v>
      </c>
      <c r="D19" s="22">
        <f>B19*C19</f>
        <v>25.11</v>
      </c>
      <c r="E19" s="73">
        <f t="shared" ref="E19:E41" si="6">B19</f>
        <v>1</v>
      </c>
      <c r="F19" s="78">
        <f>VLOOKUP($B$3,'Data for Bill Impacts'!$A$3:$Y$15,17,0)</f>
        <v>25.6</v>
      </c>
      <c r="G19" s="22">
        <f>E19*F19</f>
        <v>25.6</v>
      </c>
      <c r="H19" s="22">
        <f t="shared" si="1"/>
        <v>0.49000000000000199</v>
      </c>
      <c r="I19" s="23">
        <f t="shared" si="2"/>
        <v>1.9514137793707767E-2</v>
      </c>
      <c r="J19" s="23">
        <f t="shared" si="5"/>
        <v>0.12269238567460003</v>
      </c>
      <c r="K19" s="108">
        <f t="shared" si="4"/>
        <v>0.12072035638026171</v>
      </c>
    </row>
    <row r="20" spans="1:11" hidden="1" x14ac:dyDescent="0.2">
      <c r="A20" s="107" t="s">
        <v>83</v>
      </c>
      <c r="B20" s="73">
        <v>1</v>
      </c>
      <c r="C20" s="78">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84</v>
      </c>
      <c r="B21" s="73">
        <v>1</v>
      </c>
      <c r="C21" s="78">
        <v>0</v>
      </c>
      <c r="D21" s="22">
        <f t="shared" ref="D21:D22" si="8">B21*C21</f>
        <v>0</v>
      </c>
      <c r="E21" s="73">
        <f t="shared" si="6"/>
        <v>1</v>
      </c>
      <c r="F21" s="122">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0.01</v>
      </c>
      <c r="D22" s="22">
        <f t="shared" si="8"/>
        <v>0.01</v>
      </c>
      <c r="E22" s="73">
        <f t="shared" si="6"/>
        <v>1</v>
      </c>
      <c r="F22" s="122">
        <f>VLOOKUP($B$3,'Data for Bill Impacts'!$A$3:$Y$15,22,0)</f>
        <v>0.01</v>
      </c>
      <c r="G22" s="22">
        <f t="shared" si="7"/>
        <v>0.01</v>
      </c>
      <c r="H22" s="22">
        <f t="shared" si="1"/>
        <v>0</v>
      </c>
      <c r="I22" s="23">
        <f t="shared" si="2"/>
        <v>0</v>
      </c>
      <c r="J22" s="23">
        <f t="shared" si="5"/>
        <v>4.7926713154140635E-5</v>
      </c>
      <c r="K22" s="108">
        <f t="shared" si="4"/>
        <v>4.7156389211039727E-5</v>
      </c>
    </row>
    <row r="23" spans="1:11" x14ac:dyDescent="0.2">
      <c r="A23" s="107" t="s">
        <v>39</v>
      </c>
      <c r="B23" s="73">
        <f>IF($B$9="kWh",$B$4,$B$5)</f>
        <v>1000</v>
      </c>
      <c r="C23" s="126">
        <f>VLOOKUP($B$3,'Data for Bill Impacts'!$A$3:$Y$15,10,0)</f>
        <v>0.03</v>
      </c>
      <c r="D23" s="22">
        <f>B23*C23</f>
        <v>30</v>
      </c>
      <c r="E23" s="73">
        <f t="shared" si="6"/>
        <v>1000</v>
      </c>
      <c r="F23" s="78">
        <f>VLOOKUP($B$3,'Data for Bill Impacts'!$A$3:$Y$15,19,0)</f>
        <v>3.0800000000000001E-2</v>
      </c>
      <c r="G23" s="22">
        <f>E23*F23</f>
        <v>30.8</v>
      </c>
      <c r="H23" s="22">
        <f t="shared" si="1"/>
        <v>0.80000000000000071</v>
      </c>
      <c r="I23" s="23">
        <f t="shared" si="2"/>
        <v>2.6666666666666689E-2</v>
      </c>
      <c r="J23" s="23">
        <f t="shared" si="5"/>
        <v>0.14761427651475315</v>
      </c>
      <c r="K23" s="108">
        <f t="shared" si="4"/>
        <v>0.14524167877000235</v>
      </c>
    </row>
    <row r="24" spans="1:11" x14ac:dyDescent="0.2">
      <c r="A24" s="107" t="s">
        <v>194</v>
      </c>
      <c r="B24" s="73">
        <f>IF($B$9="kWh",$B$4,$B$5)</f>
        <v>1000</v>
      </c>
      <c r="C24" s="126">
        <f>VLOOKUP($B$3,'Data for Bill Impacts'!$A$3:$Y$15,14,0)</f>
        <v>2.0000000000000001E-4</v>
      </c>
      <c r="D24" s="34">
        <f>B24*C24</f>
        <v>0.2</v>
      </c>
      <c r="E24" s="73">
        <f t="shared" si="6"/>
        <v>1000</v>
      </c>
      <c r="F24" s="126">
        <f>VLOOKUP($B$3,'Data for Bill Impacts'!$A$3:$Y$15,23,0)</f>
        <v>2.0000000000000001E-4</v>
      </c>
      <c r="G24" s="34">
        <f>E24*F24</f>
        <v>0.2</v>
      </c>
      <c r="H24" s="22">
        <f t="shared" si="1"/>
        <v>0</v>
      </c>
      <c r="I24" s="23">
        <f>IF(ISERROR(H24/D24),0,(H24/D24))</f>
        <v>0</v>
      </c>
      <c r="J24" s="23">
        <f t="shared" ref="J24" si="9">G24/$G$46</f>
        <v>9.5853426308281273E-4</v>
      </c>
      <c r="K24" s="108">
        <f t="shared" si="4"/>
        <v>9.4312778422079462E-4</v>
      </c>
    </row>
    <row r="25" spans="1:11" s="1" customFormat="1" x14ac:dyDescent="0.2">
      <c r="A25" s="110" t="s">
        <v>72</v>
      </c>
      <c r="B25" s="74"/>
      <c r="C25" s="35"/>
      <c r="D25" s="35">
        <f>SUM(D19:D24)</f>
        <v>55.320000000000007</v>
      </c>
      <c r="E25" s="73"/>
      <c r="F25" s="35"/>
      <c r="G25" s="35">
        <f>SUM(G19:G24)</f>
        <v>56.610000000000007</v>
      </c>
      <c r="H25" s="35">
        <f t="shared" si="1"/>
        <v>1.2899999999999991</v>
      </c>
      <c r="I25" s="36">
        <f t="shared" si="2"/>
        <v>2.331887201735356E-2</v>
      </c>
      <c r="J25" s="36">
        <f>G25/$G$46</f>
        <v>0.27131312316559014</v>
      </c>
      <c r="K25" s="111">
        <f t="shared" si="4"/>
        <v>0.26695231932369595</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G26/$G$46</f>
        <v>3.7862103391771099E-3</v>
      </c>
      <c r="K26" s="108">
        <f t="shared" si="4"/>
        <v>3.7253547476721388E-3</v>
      </c>
    </row>
    <row r="27" spans="1:11" s="1" customFormat="1" x14ac:dyDescent="0.2">
      <c r="A27" s="119" t="s">
        <v>75</v>
      </c>
      <c r="B27" s="120">
        <f>B8-B4</f>
        <v>67</v>
      </c>
      <c r="C27" s="121">
        <f>IF(B4&gt;B7,C13,C12)</f>
        <v>0.121</v>
      </c>
      <c r="D27" s="22">
        <f>B27*C27</f>
        <v>8.1069999999999993</v>
      </c>
      <c r="E27" s="73">
        <f>B27</f>
        <v>67</v>
      </c>
      <c r="F27" s="121">
        <f>C27</f>
        <v>0.121</v>
      </c>
      <c r="G27" s="22">
        <f>E27*F27</f>
        <v>8.1069999999999993</v>
      </c>
      <c r="H27" s="22">
        <f t="shared" si="1"/>
        <v>0</v>
      </c>
      <c r="I27" s="23">
        <f>IF(ISERROR(H27/D27),0,(H27/D27))</f>
        <v>0</v>
      </c>
      <c r="J27" s="23">
        <f t="shared" ref="J27:J46" si="10">G27/$G$46</f>
        <v>3.8854186354061807E-2</v>
      </c>
      <c r="K27" s="108">
        <f t="shared" ref="K27:K41" si="11">G27/$G$51</f>
        <v>3.8229684733389904E-2</v>
      </c>
    </row>
    <row r="28" spans="1:11" s="1" customFormat="1" x14ac:dyDescent="0.2">
      <c r="A28" s="119" t="s">
        <v>74</v>
      </c>
      <c r="B28" s="120">
        <f>B8-B4</f>
        <v>67</v>
      </c>
      <c r="C28" s="121">
        <f>0.65*C15+0.17*C16+0.18*C17</f>
        <v>0.11139</v>
      </c>
      <c r="D28" s="22">
        <f>B28*C28</f>
        <v>7.4631300000000005</v>
      </c>
      <c r="E28" s="73">
        <f>B28</f>
        <v>67</v>
      </c>
      <c r="F28" s="121">
        <f>C28</f>
        <v>0.11139</v>
      </c>
      <c r="G28" s="22">
        <f>E28*F28</f>
        <v>7.4631300000000005</v>
      </c>
      <c r="H28" s="22">
        <f t="shared" si="1"/>
        <v>0</v>
      </c>
      <c r="I28" s="23">
        <f>IF(ISERROR(H28/D28),0,(H28/D28))</f>
        <v>0</v>
      </c>
      <c r="J28" s="23">
        <f t="shared" si="10"/>
        <v>3.5768329074206157E-2</v>
      </c>
      <c r="K28" s="108">
        <f t="shared" si="11"/>
        <v>3.5193426301258698E-2</v>
      </c>
    </row>
    <row r="29" spans="1:11" s="1" customFormat="1" x14ac:dyDescent="0.2">
      <c r="A29" s="110" t="s">
        <v>78</v>
      </c>
      <c r="B29" s="74"/>
      <c r="C29" s="35"/>
      <c r="D29" s="35">
        <f>SUM(D25,D26:D27)</f>
        <v>64.217000000000013</v>
      </c>
      <c r="E29" s="73"/>
      <c r="F29" s="35"/>
      <c r="G29" s="35">
        <f>SUM(G25,G26:G27)</f>
        <v>65.507000000000005</v>
      </c>
      <c r="H29" s="35">
        <f t="shared" si="1"/>
        <v>1.289999999999992</v>
      </c>
      <c r="I29" s="36">
        <f>IF(ISERROR(H29/D29),0,(H29/D29))</f>
        <v>2.0088138654873192E-2</v>
      </c>
      <c r="J29" s="36">
        <f t="shared" si="10"/>
        <v>0.31395351985882908</v>
      </c>
      <c r="K29" s="111">
        <f t="shared" si="11"/>
        <v>0.30890735880475795</v>
      </c>
    </row>
    <row r="30" spans="1:11" s="1" customFormat="1" x14ac:dyDescent="0.2">
      <c r="A30" s="110" t="s">
        <v>77</v>
      </c>
      <c r="B30" s="74"/>
      <c r="C30" s="35"/>
      <c r="D30" s="35">
        <f>SUM(D25,D26,D28)</f>
        <v>63.573130000000006</v>
      </c>
      <c r="E30" s="73"/>
      <c r="F30" s="35"/>
      <c r="G30" s="35">
        <f>SUM(G25,G26,G28)</f>
        <v>64.863130000000012</v>
      </c>
      <c r="H30" s="35">
        <f t="shared" si="1"/>
        <v>1.2900000000000063</v>
      </c>
      <c r="I30" s="36">
        <f>IF(ISERROR(H30/D30),0,(H30/D30))</f>
        <v>2.029159174638729E-2</v>
      </c>
      <c r="J30" s="36">
        <f t="shared" si="10"/>
        <v>0.31086766257897341</v>
      </c>
      <c r="K30" s="111">
        <f t="shared" si="11"/>
        <v>0.30587110037262677</v>
      </c>
    </row>
    <row r="31" spans="1:11" x14ac:dyDescent="0.2">
      <c r="A31" s="107" t="s">
        <v>40</v>
      </c>
      <c r="B31" s="73">
        <f>B8</f>
        <v>1067</v>
      </c>
      <c r="C31" s="126">
        <f>VLOOKUP($B$3,'Data for Bill Impacts'!$A$3:$Y$15,15,0)</f>
        <v>6.1060000000000003E-3</v>
      </c>
      <c r="D31" s="22">
        <f>B31*C31</f>
        <v>6.5151020000000006</v>
      </c>
      <c r="E31" s="73">
        <f t="shared" si="6"/>
        <v>1067</v>
      </c>
      <c r="F31" s="78">
        <f>VLOOKUP($B$3,'Data for Bill Impacts'!$A$3:$Y$15,24,0)</f>
        <v>5.7999999999999996E-3</v>
      </c>
      <c r="G31" s="22">
        <f>E31*F31</f>
        <v>6.1885999999999992</v>
      </c>
      <c r="H31" s="22">
        <f t="shared" si="1"/>
        <v>-0.3265020000000014</v>
      </c>
      <c r="I31" s="23">
        <f t="shared" si="2"/>
        <v>-5.0114641336390646E-2</v>
      </c>
      <c r="J31" s="23">
        <f t="shared" si="10"/>
        <v>2.9659925702571466E-2</v>
      </c>
      <c r="K31" s="108">
        <f t="shared" si="11"/>
        <v>2.9183203027144042E-2</v>
      </c>
    </row>
    <row r="32" spans="1:11" x14ac:dyDescent="0.2">
      <c r="A32" s="107" t="s">
        <v>41</v>
      </c>
      <c r="B32" s="73">
        <f>B8</f>
        <v>1067</v>
      </c>
      <c r="C32" s="126">
        <f>VLOOKUP($B$3,'Data for Bill Impacts'!$A$3:$Y$15,16,0)</f>
        <v>4.6519999999999999E-3</v>
      </c>
      <c r="D32" s="22">
        <f>B32*C32</f>
        <v>4.9636839999999998</v>
      </c>
      <c r="E32" s="73">
        <f t="shared" si="6"/>
        <v>1067</v>
      </c>
      <c r="F32" s="78">
        <f>VLOOKUP($B$3,'Data for Bill Impacts'!$A$3:$Y$15,25,0)</f>
        <v>4.7000000000000002E-3</v>
      </c>
      <c r="G32" s="22">
        <f>E32*F32</f>
        <v>5.0148999999999999</v>
      </c>
      <c r="H32" s="22">
        <f t="shared" si="1"/>
        <v>5.121600000000015E-2</v>
      </c>
      <c r="I32" s="23">
        <f t="shared" si="2"/>
        <v>1.0318142734307855E-2</v>
      </c>
      <c r="J32" s="23">
        <f t="shared" si="10"/>
        <v>2.4034767379669985E-2</v>
      </c>
      <c r="K32" s="108">
        <f t="shared" si="11"/>
        <v>2.3648457625444312E-2</v>
      </c>
    </row>
    <row r="33" spans="1:11" s="1" customFormat="1" x14ac:dyDescent="0.2">
      <c r="A33" s="110" t="s">
        <v>76</v>
      </c>
      <c r="B33" s="74"/>
      <c r="C33" s="35"/>
      <c r="D33" s="35">
        <f>SUM(D31:D32)</f>
        <v>11.478785999999999</v>
      </c>
      <c r="E33" s="73"/>
      <c r="F33" s="35"/>
      <c r="G33" s="35">
        <f>SUM(G31:G32)</f>
        <v>11.203499999999998</v>
      </c>
      <c r="H33" s="35">
        <f t="shared" si="1"/>
        <v>-0.27528600000000125</v>
      </c>
      <c r="I33" s="36">
        <f t="shared" si="2"/>
        <v>-2.3982152816508756E-2</v>
      </c>
      <c r="J33" s="36">
        <f t="shared" si="10"/>
        <v>5.3694693082241451E-2</v>
      </c>
      <c r="K33" s="111">
        <f t="shared" si="11"/>
        <v>5.2831660652588354E-2</v>
      </c>
    </row>
    <row r="34" spans="1:11" s="1" customFormat="1" x14ac:dyDescent="0.2">
      <c r="A34" s="110" t="s">
        <v>95</v>
      </c>
      <c r="B34" s="74"/>
      <c r="C34" s="35"/>
      <c r="D34" s="35">
        <f>D29+D33</f>
        <v>75.695786000000012</v>
      </c>
      <c r="E34" s="73"/>
      <c r="F34" s="35"/>
      <c r="G34" s="35">
        <f>G29+G33</f>
        <v>76.710499999999996</v>
      </c>
      <c r="H34" s="35">
        <f t="shared" si="1"/>
        <v>1.0147139999999837</v>
      </c>
      <c r="I34" s="36">
        <f t="shared" si="2"/>
        <v>1.3405158379622129E-2</v>
      </c>
      <c r="J34" s="36">
        <f t="shared" si="10"/>
        <v>0.36764821294107047</v>
      </c>
      <c r="K34" s="111">
        <f t="shared" si="11"/>
        <v>0.36173901945734627</v>
      </c>
    </row>
    <row r="35" spans="1:11" s="1" customFormat="1" x14ac:dyDescent="0.2">
      <c r="A35" s="110" t="s">
        <v>96</v>
      </c>
      <c r="B35" s="74"/>
      <c r="C35" s="35"/>
      <c r="D35" s="35">
        <f>D30+D33</f>
        <v>75.051916000000006</v>
      </c>
      <c r="E35" s="73"/>
      <c r="F35" s="35"/>
      <c r="G35" s="35">
        <f>G30+G33</f>
        <v>76.066630000000004</v>
      </c>
      <c r="H35" s="35">
        <f t="shared" si="1"/>
        <v>1.0147139999999979</v>
      </c>
      <c r="I35" s="36">
        <f t="shared" si="2"/>
        <v>1.3520161164173315E-2</v>
      </c>
      <c r="J35" s="36">
        <f t="shared" si="10"/>
        <v>0.36456235566121487</v>
      </c>
      <c r="K35" s="111">
        <f t="shared" si="11"/>
        <v>0.35870276102521509</v>
      </c>
    </row>
    <row r="36" spans="1:11" x14ac:dyDescent="0.2">
      <c r="A36" s="107" t="s">
        <v>42</v>
      </c>
      <c r="B36" s="73">
        <f>B8</f>
        <v>1067</v>
      </c>
      <c r="C36" s="34">
        <v>3.5999999999999999E-3</v>
      </c>
      <c r="D36" s="22">
        <f>B36*C36</f>
        <v>3.8411999999999997</v>
      </c>
      <c r="E36" s="73">
        <f t="shared" si="6"/>
        <v>1067</v>
      </c>
      <c r="F36" s="34">
        <v>3.5999999999999999E-3</v>
      </c>
      <c r="G36" s="22">
        <f>E36*F36</f>
        <v>3.8411999999999997</v>
      </c>
      <c r="H36" s="22">
        <f t="shared" si="1"/>
        <v>0</v>
      </c>
      <c r="I36" s="23">
        <f t="shared" si="2"/>
        <v>0</v>
      </c>
      <c r="J36" s="23">
        <f t="shared" si="10"/>
        <v>1.8409609056768497E-2</v>
      </c>
      <c r="K36" s="108">
        <f t="shared" si="11"/>
        <v>1.8113712223744579E-2</v>
      </c>
    </row>
    <row r="37" spans="1:11" x14ac:dyDescent="0.2">
      <c r="A37" s="107" t="s">
        <v>43</v>
      </c>
      <c r="B37" s="73">
        <f>B8</f>
        <v>1067</v>
      </c>
      <c r="C37" s="34">
        <v>2.0999999999999999E-3</v>
      </c>
      <c r="D37" s="22">
        <f>B37*C37</f>
        <v>2.2406999999999999</v>
      </c>
      <c r="E37" s="73">
        <f t="shared" si="6"/>
        <v>1067</v>
      </c>
      <c r="F37" s="34">
        <v>2.0999999999999999E-3</v>
      </c>
      <c r="G37" s="22">
        <f>E37*F37</f>
        <v>2.2406999999999999</v>
      </c>
      <c r="H37" s="22">
        <f>G37-D37</f>
        <v>0</v>
      </c>
      <c r="I37" s="23">
        <f t="shared" si="2"/>
        <v>0</v>
      </c>
      <c r="J37" s="23">
        <f t="shared" si="10"/>
        <v>1.0738938616448292E-2</v>
      </c>
      <c r="K37" s="108">
        <f t="shared" si="11"/>
        <v>1.0566332130517671E-2</v>
      </c>
    </row>
    <row r="38" spans="1:11" x14ac:dyDescent="0.2">
      <c r="A38" s="107" t="s">
        <v>100</v>
      </c>
      <c r="B38" s="73">
        <f>B8</f>
        <v>1067</v>
      </c>
      <c r="C38" s="34">
        <v>1.1000000000000001E-3</v>
      </c>
      <c r="D38" s="22">
        <f>B38*C38</f>
        <v>1.1737</v>
      </c>
      <c r="E38" s="73">
        <f t="shared" si="6"/>
        <v>1067</v>
      </c>
      <c r="F38" s="34">
        <v>1.1000000000000001E-3</v>
      </c>
      <c r="G38" s="22">
        <f>E38*F38</f>
        <v>1.1737</v>
      </c>
      <c r="H38" s="22">
        <f>G38-D38</f>
        <v>0</v>
      </c>
      <c r="I38" s="23">
        <f t="shared" ref="I38" si="12">IF(ISERROR(H38/D38),0,(H38/D38))</f>
        <v>0</v>
      </c>
      <c r="J38" s="23">
        <f t="shared" ref="J38" si="13">G38/$G$46</f>
        <v>5.6251583229014858E-3</v>
      </c>
      <c r="K38" s="108">
        <f t="shared" ref="K38" si="14">G38/$G$51</f>
        <v>5.5347454016997331E-3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10"/>
        <v>1.1981678288535158E-3</v>
      </c>
      <c r="K39" s="108">
        <f t="shared" si="11"/>
        <v>1.1789097302759932E-3</v>
      </c>
    </row>
    <row r="40" spans="1:11" s="1" customFormat="1" x14ac:dyDescent="0.2">
      <c r="A40" s="110" t="s">
        <v>45</v>
      </c>
      <c r="B40" s="74"/>
      <c r="C40" s="35"/>
      <c r="D40" s="35">
        <f>SUM(D36:D39)</f>
        <v>7.5055999999999994</v>
      </c>
      <c r="E40" s="73"/>
      <c r="F40" s="35"/>
      <c r="G40" s="35">
        <f>SUM(G36:G39)</f>
        <v>7.5055999999999994</v>
      </c>
      <c r="H40" s="35">
        <f t="shared" si="1"/>
        <v>0</v>
      </c>
      <c r="I40" s="36">
        <f t="shared" si="2"/>
        <v>0</v>
      </c>
      <c r="J40" s="36">
        <f t="shared" si="10"/>
        <v>3.5971873824971787E-2</v>
      </c>
      <c r="K40" s="111">
        <f t="shared" si="11"/>
        <v>3.5393699486237974E-2</v>
      </c>
    </row>
    <row r="41" spans="1:11" s="1" customFormat="1" ht="13.5" thickBot="1" x14ac:dyDescent="0.25">
      <c r="A41" s="112" t="s">
        <v>46</v>
      </c>
      <c r="B41" s="113">
        <f>B4</f>
        <v>1000</v>
      </c>
      <c r="C41" s="114">
        <v>7.0000000000000001E-3</v>
      </c>
      <c r="D41" s="115">
        <f>B41*C41</f>
        <v>7</v>
      </c>
      <c r="E41" s="116">
        <f t="shared" si="6"/>
        <v>1000</v>
      </c>
      <c r="F41" s="114">
        <f>C41</f>
        <v>7.0000000000000001E-3</v>
      </c>
      <c r="G41" s="115">
        <f>E41*F41</f>
        <v>7</v>
      </c>
      <c r="H41" s="115">
        <f t="shared" si="1"/>
        <v>0</v>
      </c>
      <c r="I41" s="117">
        <f t="shared" si="2"/>
        <v>0</v>
      </c>
      <c r="J41" s="117">
        <f t="shared" si="10"/>
        <v>3.3548699207898443E-2</v>
      </c>
      <c r="K41" s="118">
        <f t="shared" si="11"/>
        <v>3.3009472447727811E-2</v>
      </c>
    </row>
    <row r="42" spans="1:11" s="1" customFormat="1" x14ac:dyDescent="0.2">
      <c r="A42" s="37" t="s">
        <v>137</v>
      </c>
      <c r="B42" s="38"/>
      <c r="C42" s="39"/>
      <c r="D42" s="39">
        <f>SUM(D14,D25,D26,D27,D33,D40,D41)</f>
        <v>197.70138599999999</v>
      </c>
      <c r="E42" s="38"/>
      <c r="F42" s="39"/>
      <c r="G42" s="39">
        <f>SUM(G14,G25,G26,G27,G33,G40,G41)</f>
        <v>198.71609999999998</v>
      </c>
      <c r="H42" s="39">
        <f t="shared" si="1"/>
        <v>1.0147139999999979</v>
      </c>
      <c r="I42" s="40">
        <f>IF(ISERROR(H42/D42),0,(H42/D42))</f>
        <v>5.132558858236826E-3</v>
      </c>
      <c r="J42" s="40">
        <f t="shared" si="10"/>
        <v>0.95238095238095244</v>
      </c>
      <c r="K42" s="41"/>
    </row>
    <row r="43" spans="1:11" x14ac:dyDescent="0.2">
      <c r="A43" s="150" t="s">
        <v>138</v>
      </c>
      <c r="B43" s="43"/>
      <c r="C43" s="26">
        <v>0.13</v>
      </c>
      <c r="D43" s="26">
        <f>D42*C43</f>
        <v>25.701180179999998</v>
      </c>
      <c r="E43" s="26"/>
      <c r="F43" s="26">
        <f>C43</f>
        <v>0.13</v>
      </c>
      <c r="G43" s="26">
        <f>G42*F43</f>
        <v>25.833092999999998</v>
      </c>
      <c r="H43" s="26">
        <f t="shared" si="1"/>
        <v>0.13191282000000015</v>
      </c>
      <c r="I43" s="44">
        <f t="shared" si="2"/>
        <v>5.1325588582368424E-3</v>
      </c>
      <c r="J43" s="44">
        <f t="shared" si="10"/>
        <v>0.12380952380952381</v>
      </c>
      <c r="K43" s="45"/>
    </row>
    <row r="44" spans="1:11" s="1" customFormat="1" x14ac:dyDescent="0.2">
      <c r="A44" s="46" t="s">
        <v>139</v>
      </c>
      <c r="B44" s="24"/>
      <c r="C44" s="25"/>
      <c r="D44" s="25">
        <f>SUM(D42:D43)</f>
        <v>223.40256617999998</v>
      </c>
      <c r="E44" s="25"/>
      <c r="F44" s="25"/>
      <c r="G44" s="25">
        <f>SUM(G42:G43)</f>
        <v>224.54919299999997</v>
      </c>
      <c r="H44" s="25">
        <f t="shared" si="1"/>
        <v>1.1466268199999945</v>
      </c>
      <c r="I44" s="27">
        <f t="shared" si="2"/>
        <v>5.1325588582368121E-3</v>
      </c>
      <c r="J44" s="27">
        <f t="shared" si="10"/>
        <v>1.0761904761904761</v>
      </c>
      <c r="K44" s="47"/>
    </row>
    <row r="45" spans="1:11" x14ac:dyDescent="0.2">
      <c r="A45" s="42" t="s">
        <v>140</v>
      </c>
      <c r="B45" s="43"/>
      <c r="C45" s="26">
        <v>-0.08</v>
      </c>
      <c r="D45" s="26">
        <f>D42*C45</f>
        <v>-15.816110879999998</v>
      </c>
      <c r="E45" s="26"/>
      <c r="F45" s="26">
        <f>C45</f>
        <v>-0.08</v>
      </c>
      <c r="G45" s="26">
        <f>G42*F45</f>
        <v>-15.897288</v>
      </c>
      <c r="H45" s="26">
        <f t="shared" si="1"/>
        <v>-8.1177120000001324E-2</v>
      </c>
      <c r="I45" s="44">
        <f t="shared" si="2"/>
        <v>5.1325588582369205E-3</v>
      </c>
      <c r="J45" s="44">
        <f t="shared" si="10"/>
        <v>-7.6190476190476197E-2</v>
      </c>
      <c r="K45" s="45"/>
    </row>
    <row r="46" spans="1:11" s="1" customFormat="1" ht="13.5" thickBot="1" x14ac:dyDescent="0.25">
      <c r="A46" s="48" t="s">
        <v>141</v>
      </c>
      <c r="B46" s="49"/>
      <c r="C46" s="50"/>
      <c r="D46" s="50">
        <f>SUM(D44:D45)</f>
        <v>207.58645529999998</v>
      </c>
      <c r="E46" s="50"/>
      <c r="F46" s="50"/>
      <c r="G46" s="50">
        <f>SUM(G44:G45)</f>
        <v>208.65190499999997</v>
      </c>
      <c r="H46" s="50">
        <f t="shared" si="1"/>
        <v>1.0654496999999878</v>
      </c>
      <c r="I46" s="51">
        <f t="shared" si="2"/>
        <v>5.1325588582367783E-3</v>
      </c>
      <c r="J46" s="51">
        <f t="shared" si="10"/>
        <v>1</v>
      </c>
      <c r="K46" s="52"/>
    </row>
    <row r="47" spans="1:11" x14ac:dyDescent="0.2">
      <c r="A47" s="53" t="s">
        <v>142</v>
      </c>
      <c r="B47" s="54"/>
      <c r="C47" s="55"/>
      <c r="D47" s="55">
        <f>SUM(D18,D25,D26,D28,D33,D40,D41)</f>
        <v>200.94751599999998</v>
      </c>
      <c r="E47" s="55"/>
      <c r="F47" s="55"/>
      <c r="G47" s="55">
        <f>SUM(G18,G25,G26,G28,G33,G40,G41)</f>
        <v>201.96222999999998</v>
      </c>
      <c r="H47" s="55">
        <f>G47-D47</f>
        <v>1.0147139999999979</v>
      </c>
      <c r="I47" s="56">
        <f>IF(ISERROR(H47/D47),0,(H47/D47))</f>
        <v>5.0496468938685361E-3</v>
      </c>
      <c r="J47" s="56"/>
      <c r="K47" s="57">
        <f>G47/$G$51</f>
        <v>0.95238095238095233</v>
      </c>
    </row>
    <row r="48" spans="1:11" x14ac:dyDescent="0.2">
      <c r="A48" s="151" t="s">
        <v>138</v>
      </c>
      <c r="B48" s="59"/>
      <c r="C48" s="31">
        <v>0.13</v>
      </c>
      <c r="D48" s="31">
        <f>D47*C48</f>
        <v>26.123177079999998</v>
      </c>
      <c r="E48" s="31"/>
      <c r="F48" s="31">
        <f>C48</f>
        <v>0.13</v>
      </c>
      <c r="G48" s="31">
        <f>G47*F48</f>
        <v>26.255089899999998</v>
      </c>
      <c r="H48" s="31">
        <f>G48-D48</f>
        <v>0.13191282000000015</v>
      </c>
      <c r="I48" s="32">
        <f>IF(ISERROR(H48/D48),0,(H48/D48))</f>
        <v>5.0496468938685526E-3</v>
      </c>
      <c r="J48" s="32"/>
      <c r="K48" s="60">
        <f>G48/$G$51</f>
        <v>0.1238095238095238</v>
      </c>
    </row>
    <row r="49" spans="1:11" x14ac:dyDescent="0.2">
      <c r="A49" s="141" t="s">
        <v>143</v>
      </c>
      <c r="B49" s="29"/>
      <c r="C49" s="30"/>
      <c r="D49" s="30">
        <f>SUM(D47:D48)</f>
        <v>227.07069307999998</v>
      </c>
      <c r="E49" s="30"/>
      <c r="F49" s="30"/>
      <c r="G49" s="30">
        <f>SUM(G47:G48)</f>
        <v>228.21731989999998</v>
      </c>
      <c r="H49" s="30">
        <f>G49-D49</f>
        <v>1.1466268199999945</v>
      </c>
      <c r="I49" s="33">
        <f>IF(ISERROR(H49/D49),0,(H49/D49))</f>
        <v>5.0496468938685223E-3</v>
      </c>
      <c r="J49" s="33"/>
      <c r="K49" s="62">
        <f>G49/$G$51</f>
        <v>1.0761904761904761</v>
      </c>
    </row>
    <row r="50" spans="1:11" x14ac:dyDescent="0.2">
      <c r="A50" s="58" t="s">
        <v>140</v>
      </c>
      <c r="B50" s="59"/>
      <c r="C50" s="31">
        <v>-0.08</v>
      </c>
      <c r="D50" s="31">
        <f>D47*C50</f>
        <v>-16.07580128</v>
      </c>
      <c r="E50" s="31"/>
      <c r="F50" s="31">
        <f>C50</f>
        <v>-0.08</v>
      </c>
      <c r="G50" s="31">
        <f>G47*F50</f>
        <v>-16.1569784</v>
      </c>
      <c r="H50" s="31">
        <f>G50-D50</f>
        <v>-8.1177119999999547E-2</v>
      </c>
      <c r="I50" s="32">
        <f>IF(ISERROR(H50/D50),0,(H50/D50))</f>
        <v>5.0496468938685179E-3</v>
      </c>
      <c r="J50" s="32"/>
      <c r="K50" s="60">
        <f>G50/$G$51</f>
        <v>-7.6190476190476197E-2</v>
      </c>
    </row>
    <row r="51" spans="1:11" ht="13.5" thickBot="1" x14ac:dyDescent="0.25">
      <c r="A51" s="63" t="s">
        <v>144</v>
      </c>
      <c r="B51" s="64"/>
      <c r="C51" s="65"/>
      <c r="D51" s="65">
        <f>SUM(D49:D50)</f>
        <v>210.99489179999998</v>
      </c>
      <c r="E51" s="65"/>
      <c r="F51" s="65"/>
      <c r="G51" s="65">
        <f>SUM(G49:G50)</f>
        <v>212.06034149999999</v>
      </c>
      <c r="H51" s="65">
        <f>G51-D51</f>
        <v>1.0654497000000163</v>
      </c>
      <c r="I51" s="66">
        <f>IF(ISERROR(H51/D51),0,(H51/D51))</f>
        <v>5.0496468938686237E-3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c r="K64"/>
    </row>
    <row r="65" spans="6:11" x14ac:dyDescent="0.2">
      <c r="F65" s="69"/>
      <c r="K65"/>
    </row>
    <row r="66" spans="6:11" x14ac:dyDescent="0.2">
      <c r="F66" s="69"/>
      <c r="K66"/>
    </row>
    <row r="67" spans="6:11" x14ac:dyDescent="0.2">
      <c r="F67" s="69"/>
      <c r="K67"/>
    </row>
    <row r="68" spans="6:11" x14ac:dyDescent="0.2">
      <c r="F68" s="69"/>
      <c r="K68"/>
    </row>
  </sheetData>
  <mergeCells count="1">
    <mergeCell ref="A1:K1"/>
  </mergeCell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theme="1" tint="0.499984740745262"/>
    <pageSetUpPr fitToPage="1"/>
  </sheetPr>
  <dimension ref="A1:K68"/>
  <sheetViews>
    <sheetView view="pageBreakPreview" topLeftCell="A19" zoomScaleNormal="100" zoomScaleSheetLayoutView="100" workbookViewId="0">
      <selection activeCell="C19" sqref="C19"/>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48" t="s">
        <v>110</v>
      </c>
      <c r="B1" s="349"/>
      <c r="C1" s="349"/>
      <c r="D1" s="349"/>
      <c r="E1" s="349"/>
      <c r="F1" s="349"/>
      <c r="G1" s="349"/>
      <c r="H1" s="349"/>
      <c r="I1" s="349"/>
      <c r="J1" s="349"/>
      <c r="K1" s="350"/>
    </row>
    <row r="3" spans="1:11" x14ac:dyDescent="0.2">
      <c r="A3" s="13" t="s">
        <v>13</v>
      </c>
      <c r="B3" s="13" t="s">
        <v>89</v>
      </c>
    </row>
    <row r="4" spans="1:11" x14ac:dyDescent="0.2">
      <c r="A4" s="15" t="s">
        <v>62</v>
      </c>
      <c r="B4" s="15">
        <v>2000</v>
      </c>
    </row>
    <row r="5" spans="1:11" x14ac:dyDescent="0.2">
      <c r="A5" s="15" t="s">
        <v>16</v>
      </c>
      <c r="B5" s="15">
        <f>VLOOKUP($B$3,'Data for Bill Impacts'!$A$3:$Y$15,5,0)</f>
        <v>0</v>
      </c>
    </row>
    <row r="6" spans="1:11" x14ac:dyDescent="0.2">
      <c r="A6" s="15" t="s">
        <v>20</v>
      </c>
      <c r="B6" s="15">
        <f>VLOOKUP($B$3,'Data for Bill Impacts'!$A$3:$Y$15,2,0)</f>
        <v>1.0669999999999999</v>
      </c>
    </row>
    <row r="7" spans="1:11" x14ac:dyDescent="0.2">
      <c r="A7" s="15" t="s">
        <v>15</v>
      </c>
      <c r="B7" s="15">
        <f>VLOOKUP($B$3,'Data for Bill Impacts'!$A$3:$Y$15,4,0)</f>
        <v>750</v>
      </c>
    </row>
    <row r="8" spans="1:11" x14ac:dyDescent="0.2">
      <c r="A8" s="15" t="s">
        <v>82</v>
      </c>
      <c r="B8" s="15">
        <f>B4*B6</f>
        <v>2134</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0.10299999999999999</v>
      </c>
      <c r="D12" s="104">
        <f>B12*C12</f>
        <v>77.25</v>
      </c>
      <c r="E12" s="102">
        <f>B12</f>
        <v>750</v>
      </c>
      <c r="F12" s="103">
        <f>C12</f>
        <v>0.10299999999999999</v>
      </c>
      <c r="G12" s="104">
        <f>E12*F12</f>
        <v>77.25</v>
      </c>
      <c r="H12" s="104">
        <f>G12-D12</f>
        <v>0</v>
      </c>
      <c r="I12" s="105">
        <f>IF(ISERROR(H12/D12),0,(H12/D12))</f>
        <v>0</v>
      </c>
      <c r="J12" s="105">
        <f>G12/$G$46</f>
        <v>0.19145156494739693</v>
      </c>
      <c r="K12" s="106"/>
    </row>
    <row r="13" spans="1:11" x14ac:dyDescent="0.2">
      <c r="A13" s="107" t="s">
        <v>32</v>
      </c>
      <c r="B13" s="73">
        <f>IF(B4&gt;B7,(B4)-B7,0)</f>
        <v>1250</v>
      </c>
      <c r="C13" s="21">
        <v>0.121</v>
      </c>
      <c r="D13" s="22">
        <f>B13*C13</f>
        <v>151.25</v>
      </c>
      <c r="E13" s="73">
        <f t="shared" ref="E13" si="0">B13</f>
        <v>1250</v>
      </c>
      <c r="F13" s="21">
        <f>C13</f>
        <v>0.121</v>
      </c>
      <c r="G13" s="22">
        <f>E13*F13</f>
        <v>151.25</v>
      </c>
      <c r="H13" s="22">
        <f t="shared" ref="H13:H46" si="1">G13-D13</f>
        <v>0</v>
      </c>
      <c r="I13" s="23">
        <f t="shared" ref="I13:I46" si="2">IF(ISERROR(H13/D13),0,(H13/D13))</f>
        <v>0</v>
      </c>
      <c r="J13" s="23">
        <f>G13/$G$46</f>
        <v>0.3748485333112464</v>
      </c>
      <c r="K13" s="108"/>
    </row>
    <row r="14" spans="1:11" s="1" customFormat="1" x14ac:dyDescent="0.2">
      <c r="A14" s="46" t="s">
        <v>33</v>
      </c>
      <c r="B14" s="24"/>
      <c r="C14" s="25"/>
      <c r="D14" s="25">
        <f>SUM(D12:D13)</f>
        <v>228.5</v>
      </c>
      <c r="E14" s="76"/>
      <c r="F14" s="25"/>
      <c r="G14" s="25">
        <f>SUM(G12:G13)</f>
        <v>228.5</v>
      </c>
      <c r="H14" s="25">
        <f t="shared" si="1"/>
        <v>0</v>
      </c>
      <c r="I14" s="27">
        <f t="shared" si="2"/>
        <v>0</v>
      </c>
      <c r="J14" s="27">
        <f>G14/$G$46</f>
        <v>0.56630009825864336</v>
      </c>
      <c r="K14" s="108"/>
    </row>
    <row r="15" spans="1:11" s="1" customFormat="1" x14ac:dyDescent="0.2">
      <c r="A15" s="109" t="s">
        <v>34</v>
      </c>
      <c r="B15" s="75">
        <f>B4*0.65</f>
        <v>1300</v>
      </c>
      <c r="C15" s="28">
        <v>8.6999999999999994E-2</v>
      </c>
      <c r="D15" s="22">
        <f>B15*C15</f>
        <v>113.1</v>
      </c>
      <c r="E15" s="73">
        <f t="shared" ref="E15:F17" si="3">B15</f>
        <v>1300</v>
      </c>
      <c r="F15" s="28">
        <f t="shared" si="3"/>
        <v>8.6999999999999994E-2</v>
      </c>
      <c r="G15" s="22">
        <f>E15*F15</f>
        <v>113.1</v>
      </c>
      <c r="H15" s="22">
        <f t="shared" si="1"/>
        <v>0</v>
      </c>
      <c r="I15" s="23">
        <f t="shared" si="2"/>
        <v>0</v>
      </c>
      <c r="J15" s="23"/>
      <c r="K15" s="108">
        <f t="shared" ref="K15:K26" si="4">G15/$G$51</f>
        <v>0.28550643400108694</v>
      </c>
    </row>
    <row r="16" spans="1:11" s="1" customFormat="1" x14ac:dyDescent="0.2">
      <c r="A16" s="109" t="s">
        <v>35</v>
      </c>
      <c r="B16" s="75">
        <f>B4*0.17</f>
        <v>340</v>
      </c>
      <c r="C16" s="28">
        <v>0.13200000000000001</v>
      </c>
      <c r="D16" s="22">
        <f>B16*C16</f>
        <v>44.88</v>
      </c>
      <c r="E16" s="73">
        <f t="shared" si="3"/>
        <v>340</v>
      </c>
      <c r="F16" s="28">
        <f t="shared" si="3"/>
        <v>0.13200000000000001</v>
      </c>
      <c r="G16" s="22">
        <f>E16*F16</f>
        <v>44.88</v>
      </c>
      <c r="H16" s="22">
        <f t="shared" si="1"/>
        <v>0</v>
      </c>
      <c r="I16" s="23">
        <f t="shared" si="2"/>
        <v>0</v>
      </c>
      <c r="J16" s="23"/>
      <c r="K16" s="108">
        <f t="shared" si="4"/>
        <v>0.11329379980520586</v>
      </c>
    </row>
    <row r="17" spans="1:11" s="1" customFormat="1" x14ac:dyDescent="0.2">
      <c r="A17" s="109" t="s">
        <v>36</v>
      </c>
      <c r="B17" s="75">
        <f>B4*0.18</f>
        <v>360</v>
      </c>
      <c r="C17" s="28">
        <v>0.18</v>
      </c>
      <c r="D17" s="22">
        <f>B17*C17</f>
        <v>64.8</v>
      </c>
      <c r="E17" s="73">
        <f t="shared" si="3"/>
        <v>360</v>
      </c>
      <c r="F17" s="28">
        <f t="shared" si="3"/>
        <v>0.18</v>
      </c>
      <c r="G17" s="22">
        <f>E17*F17</f>
        <v>64.8</v>
      </c>
      <c r="H17" s="22">
        <f t="shared" si="1"/>
        <v>0</v>
      </c>
      <c r="I17" s="23">
        <f t="shared" si="2"/>
        <v>0</v>
      </c>
      <c r="J17" s="23"/>
      <c r="K17" s="108">
        <f t="shared" si="4"/>
        <v>0.16357928314120632</v>
      </c>
    </row>
    <row r="18" spans="1:11" s="1" customFormat="1" x14ac:dyDescent="0.2">
      <c r="A18" s="61" t="s">
        <v>37</v>
      </c>
      <c r="B18" s="29"/>
      <c r="C18" s="30"/>
      <c r="D18" s="30">
        <f>SUM(D15:D17)</f>
        <v>222.77999999999997</v>
      </c>
      <c r="E18" s="77"/>
      <c r="F18" s="30"/>
      <c r="G18" s="30">
        <f>SUM(G15:G17)</f>
        <v>222.77999999999997</v>
      </c>
      <c r="H18" s="31">
        <f t="shared" si="1"/>
        <v>0</v>
      </c>
      <c r="I18" s="32">
        <f t="shared" si="2"/>
        <v>0</v>
      </c>
      <c r="J18" s="33">
        <f t="shared" ref="J18:J23" si="5">G18/$G$46</f>
        <v>0.5521240082715998</v>
      </c>
      <c r="K18" s="62">
        <f t="shared" si="4"/>
        <v>0.5623795169474991</v>
      </c>
    </row>
    <row r="19" spans="1:11" x14ac:dyDescent="0.2">
      <c r="A19" s="107" t="s">
        <v>38</v>
      </c>
      <c r="B19" s="73">
        <v>1</v>
      </c>
      <c r="C19" s="78">
        <f>VLOOKUP($B$3,'Data for Bill Impacts'!$A$3:$Y$15,7,0)</f>
        <v>25.11</v>
      </c>
      <c r="D19" s="22">
        <f>B19*C19</f>
        <v>25.11</v>
      </c>
      <c r="E19" s="73">
        <f t="shared" ref="E19:E41" si="6">B19</f>
        <v>1</v>
      </c>
      <c r="F19" s="78">
        <f>VLOOKUP($B$3,'Data for Bill Impacts'!$A$3:$Y$15,17,0)</f>
        <v>25.6</v>
      </c>
      <c r="G19" s="22">
        <f>E19*F19</f>
        <v>25.6</v>
      </c>
      <c r="H19" s="22">
        <f t="shared" si="1"/>
        <v>0.49000000000000199</v>
      </c>
      <c r="I19" s="23">
        <f t="shared" si="2"/>
        <v>1.9514137793707767E-2</v>
      </c>
      <c r="J19" s="23">
        <f t="shared" si="5"/>
        <v>6.3445437704250637E-2</v>
      </c>
      <c r="K19" s="108">
        <f t="shared" si="4"/>
        <v>6.4623914327390161E-2</v>
      </c>
    </row>
    <row r="20" spans="1:11" hidden="1" x14ac:dyDescent="0.2">
      <c r="A20" s="107" t="s">
        <v>83</v>
      </c>
      <c r="B20" s="73">
        <v>1</v>
      </c>
      <c r="C20" s="78">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84</v>
      </c>
      <c r="B21" s="73">
        <v>1</v>
      </c>
      <c r="C21" s="78">
        <v>0</v>
      </c>
      <c r="D21" s="22">
        <f t="shared" ref="D21:D22" si="8">B21*C21</f>
        <v>0</v>
      </c>
      <c r="E21" s="73">
        <f t="shared" si="6"/>
        <v>1</v>
      </c>
      <c r="F21" s="122">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0.01</v>
      </c>
      <c r="D22" s="22">
        <f t="shared" si="8"/>
        <v>0.01</v>
      </c>
      <c r="E22" s="73">
        <f t="shared" si="6"/>
        <v>1</v>
      </c>
      <c r="F22" s="122">
        <f>VLOOKUP($B$3,'Data for Bill Impacts'!$A$3:$Y$15,22,0)</f>
        <v>0.01</v>
      </c>
      <c r="G22" s="22">
        <f t="shared" si="7"/>
        <v>0.01</v>
      </c>
      <c r="H22" s="22">
        <f t="shared" si="1"/>
        <v>0</v>
      </c>
      <c r="I22" s="23">
        <f t="shared" si="2"/>
        <v>0</v>
      </c>
      <c r="J22" s="23">
        <f t="shared" si="5"/>
        <v>2.4783374103222904E-5</v>
      </c>
      <c r="K22" s="108">
        <f t="shared" si="4"/>
        <v>2.5243716534136778E-5</v>
      </c>
    </row>
    <row r="23" spans="1:11" x14ac:dyDescent="0.2">
      <c r="A23" s="107" t="s">
        <v>39</v>
      </c>
      <c r="B23" s="73">
        <f>IF($B$9="kWh",$B$4,$B$5)</f>
        <v>2000</v>
      </c>
      <c r="C23" s="126">
        <f>VLOOKUP($B$3,'Data for Bill Impacts'!$A$3:$Y$15,10,0)</f>
        <v>0.03</v>
      </c>
      <c r="D23" s="22">
        <f>B23*C23</f>
        <v>60</v>
      </c>
      <c r="E23" s="73">
        <f t="shared" si="6"/>
        <v>2000</v>
      </c>
      <c r="F23" s="78">
        <f>VLOOKUP($B$3,'Data for Bill Impacts'!$A$3:$Y$15,19,0)</f>
        <v>3.0800000000000001E-2</v>
      </c>
      <c r="G23" s="22">
        <f>E23*F23</f>
        <v>61.6</v>
      </c>
      <c r="H23" s="22">
        <f t="shared" si="1"/>
        <v>1.6000000000000014</v>
      </c>
      <c r="I23" s="23">
        <f t="shared" si="2"/>
        <v>2.6666666666666689E-2</v>
      </c>
      <c r="J23" s="23">
        <f t="shared" si="5"/>
        <v>0.15266558447585307</v>
      </c>
      <c r="K23" s="108">
        <f t="shared" si="4"/>
        <v>0.15550129385028255</v>
      </c>
    </row>
    <row r="24" spans="1:11" x14ac:dyDescent="0.2">
      <c r="A24" s="107" t="s">
        <v>194</v>
      </c>
      <c r="B24" s="73">
        <f>IF($B$9="kWh",$B$4,$B$5)</f>
        <v>2000</v>
      </c>
      <c r="C24" s="126">
        <f>VLOOKUP($B$3,'Data for Bill Impacts'!$A$3:$Y$15,14,0)</f>
        <v>2.0000000000000001E-4</v>
      </c>
      <c r="D24" s="34">
        <f>B24*C24</f>
        <v>0.4</v>
      </c>
      <c r="E24" s="73">
        <f t="shared" si="6"/>
        <v>2000</v>
      </c>
      <c r="F24" s="126">
        <f>VLOOKUP($B$3,'Data for Bill Impacts'!$A$3:$Y$15,23,0)</f>
        <v>2.0000000000000001E-4</v>
      </c>
      <c r="G24" s="34">
        <f>E24*F24</f>
        <v>0.4</v>
      </c>
      <c r="H24" s="22">
        <f t="shared" si="1"/>
        <v>0</v>
      </c>
      <c r="I24" s="23">
        <f>IF(ISERROR(H24/D24),0,(H24/D24))</f>
        <v>0</v>
      </c>
      <c r="J24" s="23">
        <f t="shared" ref="J24" si="9">G24/$G$46</f>
        <v>9.9133496412891621E-4</v>
      </c>
      <c r="K24" s="108">
        <f t="shared" si="4"/>
        <v>1.0097486613654713E-3</v>
      </c>
    </row>
    <row r="25" spans="1:11" s="1" customFormat="1" x14ac:dyDescent="0.2">
      <c r="A25" s="110" t="s">
        <v>72</v>
      </c>
      <c r="B25" s="74"/>
      <c r="C25" s="35"/>
      <c r="D25" s="35">
        <f>SUM(D19:D24)</f>
        <v>85.52000000000001</v>
      </c>
      <c r="E25" s="73"/>
      <c r="F25" s="35"/>
      <c r="G25" s="35">
        <f>SUM(G19:G24)</f>
        <v>87.610000000000014</v>
      </c>
      <c r="H25" s="35">
        <f t="shared" si="1"/>
        <v>2.0900000000000034</v>
      </c>
      <c r="I25" s="36">
        <f t="shared" si="2"/>
        <v>2.4438727782974779E-2</v>
      </c>
      <c r="J25" s="36">
        <f>G25/$G$46</f>
        <v>0.21712714051833587</v>
      </c>
      <c r="K25" s="111">
        <f t="shared" si="4"/>
        <v>0.22116020055557234</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G26/$G$46</f>
        <v>1.9578865541546092E-3</v>
      </c>
      <c r="K26" s="108">
        <f t="shared" si="4"/>
        <v>1.9942536061968055E-3</v>
      </c>
    </row>
    <row r="27" spans="1:11" s="1" customFormat="1" x14ac:dyDescent="0.2">
      <c r="A27" s="119" t="s">
        <v>75</v>
      </c>
      <c r="B27" s="120">
        <f>B8-B4</f>
        <v>134</v>
      </c>
      <c r="C27" s="121">
        <f>IF(B4&gt;B7,C13,C12)</f>
        <v>0.121</v>
      </c>
      <c r="D27" s="22">
        <f>B27*C27</f>
        <v>16.213999999999999</v>
      </c>
      <c r="E27" s="73">
        <f>B27</f>
        <v>134</v>
      </c>
      <c r="F27" s="121">
        <f>C27</f>
        <v>0.121</v>
      </c>
      <c r="G27" s="22">
        <f>E27*F27</f>
        <v>16.213999999999999</v>
      </c>
      <c r="H27" s="22">
        <f t="shared" si="1"/>
        <v>0</v>
      </c>
      <c r="I27" s="23">
        <f>IF(ISERROR(H27/D27),0,(H27/D27))</f>
        <v>0</v>
      </c>
      <c r="J27" s="23">
        <f t="shared" ref="J27:J46" si="10">G27/$G$46</f>
        <v>4.0183762770965609E-2</v>
      </c>
      <c r="K27" s="108">
        <f t="shared" ref="K27:K41" si="11">G27/$G$51</f>
        <v>4.0930161988449371E-2</v>
      </c>
    </row>
    <row r="28" spans="1:11" s="1" customFormat="1" x14ac:dyDescent="0.2">
      <c r="A28" s="119" t="s">
        <v>74</v>
      </c>
      <c r="B28" s="120">
        <f>B8-B4</f>
        <v>134</v>
      </c>
      <c r="C28" s="121">
        <f>0.65*C15+0.17*C16+0.18*C17</f>
        <v>0.11139</v>
      </c>
      <c r="D28" s="22">
        <f>B28*C28</f>
        <v>14.926260000000001</v>
      </c>
      <c r="E28" s="73">
        <f>B28</f>
        <v>134</v>
      </c>
      <c r="F28" s="121">
        <f>C28</f>
        <v>0.11139</v>
      </c>
      <c r="G28" s="22">
        <f>E28*F28</f>
        <v>14.926260000000001</v>
      </c>
      <c r="H28" s="22">
        <f t="shared" si="1"/>
        <v>0</v>
      </c>
      <c r="I28" s="23">
        <f>IF(ISERROR(H28/D28),0,(H28/D28))</f>
        <v>0</v>
      </c>
      <c r="J28" s="23">
        <f t="shared" si="10"/>
        <v>3.699230855419719E-2</v>
      </c>
      <c r="K28" s="108">
        <f t="shared" si="11"/>
        <v>3.7679427635482446E-2</v>
      </c>
    </row>
    <row r="29" spans="1:11" s="1" customFormat="1" x14ac:dyDescent="0.2">
      <c r="A29" s="110" t="s">
        <v>78</v>
      </c>
      <c r="B29" s="74"/>
      <c r="C29" s="35"/>
      <c r="D29" s="35">
        <f>SUM(D25,D26:D27)</f>
        <v>102.52400000000002</v>
      </c>
      <c r="E29" s="73"/>
      <c r="F29" s="35"/>
      <c r="G29" s="35">
        <f>SUM(G25,G26:G27)</f>
        <v>104.61400000000002</v>
      </c>
      <c r="H29" s="35">
        <f t="shared" si="1"/>
        <v>2.0900000000000034</v>
      </c>
      <c r="I29" s="36">
        <f>IF(ISERROR(H29/D29),0,(H29/D29))</f>
        <v>2.0385470719051179E-2</v>
      </c>
      <c r="J29" s="36">
        <f t="shared" si="10"/>
        <v>0.25926878984345614</v>
      </c>
      <c r="K29" s="111">
        <f t="shared" si="11"/>
        <v>0.26408461615021855</v>
      </c>
    </row>
    <row r="30" spans="1:11" s="1" customFormat="1" x14ac:dyDescent="0.2">
      <c r="A30" s="110" t="s">
        <v>77</v>
      </c>
      <c r="B30" s="74"/>
      <c r="C30" s="35"/>
      <c r="D30" s="35">
        <f>SUM(D25,D26,D28)</f>
        <v>101.23626000000002</v>
      </c>
      <c r="E30" s="73"/>
      <c r="F30" s="35"/>
      <c r="G30" s="35">
        <f>SUM(G25,G26,G28)</f>
        <v>103.32626000000002</v>
      </c>
      <c r="H30" s="35">
        <f t="shared" si="1"/>
        <v>2.0900000000000034</v>
      </c>
      <c r="I30" s="36">
        <f>IF(ISERROR(H30/D30),0,(H30/D30))</f>
        <v>2.0644776881326939E-2</v>
      </c>
      <c r="J30" s="36">
        <f t="shared" si="10"/>
        <v>0.25607733562668766</v>
      </c>
      <c r="K30" s="111">
        <f t="shared" si="11"/>
        <v>0.26083388179725159</v>
      </c>
    </row>
    <row r="31" spans="1:11" x14ac:dyDescent="0.2">
      <c r="A31" s="107" t="s">
        <v>40</v>
      </c>
      <c r="B31" s="73">
        <f>B8</f>
        <v>2134</v>
      </c>
      <c r="C31" s="126">
        <f>VLOOKUP($B$3,'Data for Bill Impacts'!$A$3:$Y$15,15,0)</f>
        <v>6.1060000000000003E-3</v>
      </c>
      <c r="D31" s="22">
        <f>B31*C31</f>
        <v>13.030204000000001</v>
      </c>
      <c r="E31" s="73">
        <f t="shared" si="6"/>
        <v>2134</v>
      </c>
      <c r="F31" s="78">
        <f>VLOOKUP($B$3,'Data for Bill Impacts'!$A$3:$Y$15,24,0)</f>
        <v>5.7999999999999996E-3</v>
      </c>
      <c r="G31" s="22">
        <f>E31*F31</f>
        <v>12.377199999999998</v>
      </c>
      <c r="H31" s="22">
        <f t="shared" si="1"/>
        <v>-0.6530040000000028</v>
      </c>
      <c r="I31" s="23">
        <f t="shared" si="2"/>
        <v>-5.0114641336390646E-2</v>
      </c>
      <c r="J31" s="23">
        <f t="shared" si="10"/>
        <v>3.0674877795041047E-2</v>
      </c>
      <c r="K31" s="108">
        <f t="shared" si="11"/>
        <v>3.1244652828631769E-2</v>
      </c>
    </row>
    <row r="32" spans="1:11" x14ac:dyDescent="0.2">
      <c r="A32" s="107" t="s">
        <v>41</v>
      </c>
      <c r="B32" s="73">
        <f>B8</f>
        <v>2134</v>
      </c>
      <c r="C32" s="126">
        <f>VLOOKUP($B$3,'Data for Bill Impacts'!$A$3:$Y$15,16,0)</f>
        <v>4.6519999999999999E-3</v>
      </c>
      <c r="D32" s="22">
        <f>B32*C32</f>
        <v>9.9273679999999995</v>
      </c>
      <c r="E32" s="73">
        <f t="shared" si="6"/>
        <v>2134</v>
      </c>
      <c r="F32" s="78">
        <f>VLOOKUP($B$3,'Data for Bill Impacts'!$A$3:$Y$15,25,0)</f>
        <v>4.7000000000000002E-3</v>
      </c>
      <c r="G32" s="22">
        <f>E32*F32</f>
        <v>10.0298</v>
      </c>
      <c r="H32" s="22">
        <f t="shared" si="1"/>
        <v>0.1024320000000003</v>
      </c>
      <c r="I32" s="23">
        <f t="shared" si="2"/>
        <v>1.0318142734307855E-2</v>
      </c>
      <c r="J32" s="23">
        <f t="shared" si="10"/>
        <v>2.4857228558050507E-2</v>
      </c>
      <c r="K32" s="108">
        <f t="shared" si="11"/>
        <v>2.5318942809408506E-2</v>
      </c>
    </row>
    <row r="33" spans="1:11" s="1" customFormat="1" x14ac:dyDescent="0.2">
      <c r="A33" s="110" t="s">
        <v>76</v>
      </c>
      <c r="B33" s="74"/>
      <c r="C33" s="35"/>
      <c r="D33" s="35">
        <f>SUM(D31:D32)</f>
        <v>22.957571999999999</v>
      </c>
      <c r="E33" s="73"/>
      <c r="F33" s="35"/>
      <c r="G33" s="35">
        <f>SUM(G31:G32)</f>
        <v>22.406999999999996</v>
      </c>
      <c r="H33" s="35">
        <f t="shared" si="1"/>
        <v>-0.5505720000000025</v>
      </c>
      <c r="I33" s="36">
        <f t="shared" si="2"/>
        <v>-2.3982152816508756E-2</v>
      </c>
      <c r="J33" s="36">
        <f t="shared" si="10"/>
        <v>5.5532106353091547E-2</v>
      </c>
      <c r="K33" s="111">
        <f t="shared" si="11"/>
        <v>5.6563595638040268E-2</v>
      </c>
    </row>
    <row r="34" spans="1:11" s="1" customFormat="1" ht="13.5" customHeight="1" x14ac:dyDescent="0.2">
      <c r="A34" s="110" t="s">
        <v>95</v>
      </c>
      <c r="B34" s="74"/>
      <c r="C34" s="35"/>
      <c r="D34" s="35">
        <f>D29+D33</f>
        <v>125.48157200000001</v>
      </c>
      <c r="E34" s="73"/>
      <c r="F34" s="35"/>
      <c r="G34" s="35">
        <f>G29+G33</f>
        <v>127.02100000000002</v>
      </c>
      <c r="H34" s="35">
        <f t="shared" si="1"/>
        <v>1.5394280000000009</v>
      </c>
      <c r="I34" s="36">
        <f t="shared" si="2"/>
        <v>1.226815998129192E-2</v>
      </c>
      <c r="J34" s="36">
        <f t="shared" si="10"/>
        <v>0.31480089619654766</v>
      </c>
      <c r="K34" s="111">
        <f t="shared" si="11"/>
        <v>0.32064821178825881</v>
      </c>
    </row>
    <row r="35" spans="1:11" s="1" customFormat="1" ht="13.5" customHeight="1" x14ac:dyDescent="0.2">
      <c r="A35" s="110" t="s">
        <v>96</v>
      </c>
      <c r="B35" s="74"/>
      <c r="C35" s="35"/>
      <c r="D35" s="35">
        <f>D30+D33</f>
        <v>124.19383200000001</v>
      </c>
      <c r="E35" s="73"/>
      <c r="F35" s="35"/>
      <c r="G35" s="35">
        <f>G30+G33</f>
        <v>125.73326000000002</v>
      </c>
      <c r="H35" s="35">
        <f t="shared" si="1"/>
        <v>1.5394280000000009</v>
      </c>
      <c r="I35" s="36">
        <f t="shared" si="2"/>
        <v>1.2395365979205802E-2</v>
      </c>
      <c r="J35" s="36">
        <f t="shared" si="10"/>
        <v>0.31160944197977924</v>
      </c>
      <c r="K35" s="111">
        <f t="shared" si="11"/>
        <v>0.3173974774352919</v>
      </c>
    </row>
    <row r="36" spans="1:11" x14ac:dyDescent="0.2">
      <c r="A36" s="107" t="s">
        <v>42</v>
      </c>
      <c r="B36" s="73">
        <f>B8</f>
        <v>2134</v>
      </c>
      <c r="C36" s="34">
        <v>3.5999999999999999E-3</v>
      </c>
      <c r="D36" s="22">
        <f>B36*C36</f>
        <v>7.6823999999999995</v>
      </c>
      <c r="E36" s="73">
        <f t="shared" si="6"/>
        <v>2134</v>
      </c>
      <c r="F36" s="34">
        <v>3.5999999999999999E-3</v>
      </c>
      <c r="G36" s="22">
        <f>E36*F36</f>
        <v>7.6823999999999995</v>
      </c>
      <c r="H36" s="22">
        <f t="shared" si="1"/>
        <v>0</v>
      </c>
      <c r="I36" s="23">
        <f t="shared" si="2"/>
        <v>0</v>
      </c>
      <c r="J36" s="23">
        <f t="shared" si="10"/>
        <v>1.9039579321059961E-2</v>
      </c>
      <c r="K36" s="108">
        <f t="shared" si="11"/>
        <v>1.9393232790185237E-2</v>
      </c>
    </row>
    <row r="37" spans="1:11" x14ac:dyDescent="0.2">
      <c r="A37" s="107" t="s">
        <v>43</v>
      </c>
      <c r="B37" s="73">
        <f>B8</f>
        <v>2134</v>
      </c>
      <c r="C37" s="34">
        <v>2.0999999999999999E-3</v>
      </c>
      <c r="D37" s="22">
        <f>B37*C37</f>
        <v>4.4813999999999998</v>
      </c>
      <c r="E37" s="73">
        <f t="shared" si="6"/>
        <v>2134</v>
      </c>
      <c r="F37" s="34">
        <v>2.0999999999999999E-3</v>
      </c>
      <c r="G37" s="22">
        <f>E37*F37</f>
        <v>4.4813999999999998</v>
      </c>
      <c r="H37" s="22">
        <f>G37-D37</f>
        <v>0</v>
      </c>
      <c r="I37" s="23">
        <f t="shared" si="2"/>
        <v>0</v>
      </c>
      <c r="J37" s="23">
        <f t="shared" si="10"/>
        <v>1.1106421270618311E-2</v>
      </c>
      <c r="K37" s="108">
        <f t="shared" si="11"/>
        <v>1.1312719127608055E-2</v>
      </c>
    </row>
    <row r="38" spans="1:11" x14ac:dyDescent="0.2">
      <c r="A38" s="107" t="s">
        <v>100</v>
      </c>
      <c r="B38" s="73">
        <f>B8</f>
        <v>2134</v>
      </c>
      <c r="C38" s="34">
        <v>1.1000000000000001E-3</v>
      </c>
      <c r="D38" s="22">
        <f>B38*C38</f>
        <v>2.3473999999999999</v>
      </c>
      <c r="E38" s="73">
        <f t="shared" si="6"/>
        <v>2134</v>
      </c>
      <c r="F38" s="34">
        <v>1.1000000000000001E-3</v>
      </c>
      <c r="G38" s="22">
        <f>E38*F38</f>
        <v>2.3473999999999999</v>
      </c>
      <c r="H38" s="22">
        <f>G38-D38</f>
        <v>0</v>
      </c>
      <c r="I38" s="23">
        <f t="shared" ref="I38" si="12">IF(ISERROR(H38/D38),0,(H38/D38))</f>
        <v>0</v>
      </c>
      <c r="J38" s="23">
        <f t="shared" ref="J38" si="13">G38/$G$46</f>
        <v>5.8176492369905438E-3</v>
      </c>
      <c r="K38" s="108">
        <f t="shared" ref="K38" si="14">G38/$G$51</f>
        <v>5.9257100192232669E-3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10"/>
        <v>6.1958435258057255E-4</v>
      </c>
      <c r="K39" s="108">
        <f t="shared" si="11"/>
        <v>6.3109291335341946E-4</v>
      </c>
    </row>
    <row r="40" spans="1:11" s="1" customFormat="1" x14ac:dyDescent="0.2">
      <c r="A40" s="110" t="s">
        <v>45</v>
      </c>
      <c r="B40" s="74"/>
      <c r="C40" s="35"/>
      <c r="D40" s="35">
        <f>SUM(D36:D39)</f>
        <v>14.761199999999999</v>
      </c>
      <c r="E40" s="73"/>
      <c r="F40" s="35"/>
      <c r="G40" s="35">
        <f>SUM(G36:G39)</f>
        <v>14.761199999999999</v>
      </c>
      <c r="H40" s="35">
        <f t="shared" si="1"/>
        <v>0</v>
      </c>
      <c r="I40" s="36">
        <f t="shared" si="2"/>
        <v>0</v>
      </c>
      <c r="J40" s="36">
        <f t="shared" si="10"/>
        <v>3.658323418124939E-2</v>
      </c>
      <c r="K40" s="111">
        <f t="shared" si="11"/>
        <v>3.7262754850369978E-2</v>
      </c>
    </row>
    <row r="41" spans="1:11" s="1" customFormat="1" ht="13.5" thickBot="1" x14ac:dyDescent="0.25">
      <c r="A41" s="112" t="s">
        <v>46</v>
      </c>
      <c r="B41" s="113">
        <f>B4</f>
        <v>2000</v>
      </c>
      <c r="C41" s="114">
        <v>7.0000000000000001E-3</v>
      </c>
      <c r="D41" s="115">
        <f>B41*C41</f>
        <v>14</v>
      </c>
      <c r="E41" s="116">
        <f t="shared" si="6"/>
        <v>2000</v>
      </c>
      <c r="F41" s="114">
        <f>C41</f>
        <v>7.0000000000000001E-3</v>
      </c>
      <c r="G41" s="115">
        <f>E41*F41</f>
        <v>14</v>
      </c>
      <c r="H41" s="115">
        <f t="shared" si="1"/>
        <v>0</v>
      </c>
      <c r="I41" s="117">
        <f t="shared" si="2"/>
        <v>0</v>
      </c>
      <c r="J41" s="117">
        <f t="shared" si="10"/>
        <v>3.4696723744512062E-2</v>
      </c>
      <c r="K41" s="118">
        <f t="shared" si="11"/>
        <v>3.5341203147791489E-2</v>
      </c>
    </row>
    <row r="42" spans="1:11" s="1" customFormat="1" x14ac:dyDescent="0.2">
      <c r="A42" s="37" t="s">
        <v>137</v>
      </c>
      <c r="B42" s="38"/>
      <c r="C42" s="39"/>
      <c r="D42" s="39">
        <f>SUM(D14,D25,D26,D27,D33,D40,D41)</f>
        <v>382.742772</v>
      </c>
      <c r="E42" s="38"/>
      <c r="F42" s="39"/>
      <c r="G42" s="39">
        <f>SUM(G14,G25,G26,G27,G33,G40,G41)</f>
        <v>384.28219999999999</v>
      </c>
      <c r="H42" s="39">
        <f t="shared" si="1"/>
        <v>1.5394279999999867</v>
      </c>
      <c r="I42" s="40">
        <f>IF(ISERROR(H42/D42),0,(H42/D42))</f>
        <v>4.0220955498540068E-3</v>
      </c>
      <c r="J42" s="40">
        <f t="shared" si="10"/>
        <v>0.95238095238095233</v>
      </c>
      <c r="K42" s="41"/>
    </row>
    <row r="43" spans="1:11" x14ac:dyDescent="0.2">
      <c r="A43" s="150" t="s">
        <v>138</v>
      </c>
      <c r="B43" s="43"/>
      <c r="C43" s="26">
        <v>0.13</v>
      </c>
      <c r="D43" s="26">
        <f>D42*C43</f>
        <v>49.756560360000002</v>
      </c>
      <c r="E43" s="26"/>
      <c r="F43" s="26">
        <f>C43</f>
        <v>0.13</v>
      </c>
      <c r="G43" s="26">
        <f>G42*F43</f>
        <v>49.956685999999998</v>
      </c>
      <c r="H43" s="26">
        <f t="shared" si="1"/>
        <v>0.200125639999996</v>
      </c>
      <c r="I43" s="44">
        <f t="shared" si="2"/>
        <v>4.0220955498539608E-3</v>
      </c>
      <c r="J43" s="44">
        <f t="shared" si="10"/>
        <v>0.1238095238095238</v>
      </c>
      <c r="K43" s="45"/>
    </row>
    <row r="44" spans="1:11" s="1" customFormat="1" x14ac:dyDescent="0.2">
      <c r="A44" s="46" t="s">
        <v>139</v>
      </c>
      <c r="B44" s="24"/>
      <c r="C44" s="25"/>
      <c r="D44" s="25">
        <f>SUM(D42:D43)</f>
        <v>432.49933235999998</v>
      </c>
      <c r="E44" s="25"/>
      <c r="F44" s="25"/>
      <c r="G44" s="25">
        <f>SUM(G42:G43)</f>
        <v>434.23888599999998</v>
      </c>
      <c r="H44" s="25">
        <f t="shared" si="1"/>
        <v>1.7395536399999969</v>
      </c>
      <c r="I44" s="27">
        <f t="shared" si="2"/>
        <v>4.0220955498540345E-3</v>
      </c>
      <c r="J44" s="27">
        <f t="shared" si="10"/>
        <v>1.0761904761904761</v>
      </c>
      <c r="K44" s="47"/>
    </row>
    <row r="45" spans="1:11" x14ac:dyDescent="0.2">
      <c r="A45" s="42" t="s">
        <v>140</v>
      </c>
      <c r="B45" s="43"/>
      <c r="C45" s="26">
        <v>-0.08</v>
      </c>
      <c r="D45" s="26">
        <f>D42*C45</f>
        <v>-30.619421760000002</v>
      </c>
      <c r="E45" s="26"/>
      <c r="F45" s="26">
        <f>C45</f>
        <v>-0.08</v>
      </c>
      <c r="G45" s="26">
        <f>G42*F45</f>
        <v>-30.742576</v>
      </c>
      <c r="H45" s="26">
        <f t="shared" si="1"/>
        <v>-0.12315423999999808</v>
      </c>
      <c r="I45" s="44">
        <f t="shared" si="2"/>
        <v>4.0220955498539782E-3</v>
      </c>
      <c r="J45" s="44">
        <f t="shared" si="10"/>
        <v>-7.6190476190476197E-2</v>
      </c>
      <c r="K45" s="45"/>
    </row>
    <row r="46" spans="1:11" s="1" customFormat="1" ht="13.5" thickBot="1" x14ac:dyDescent="0.25">
      <c r="A46" s="48" t="s">
        <v>141</v>
      </c>
      <c r="B46" s="49"/>
      <c r="C46" s="50"/>
      <c r="D46" s="50">
        <f>SUM(D44:D45)</f>
        <v>401.87991059999996</v>
      </c>
      <c r="E46" s="50"/>
      <c r="F46" s="50"/>
      <c r="G46" s="50">
        <f>SUM(G44:G45)</f>
        <v>403.49630999999999</v>
      </c>
      <c r="H46" s="50">
        <f t="shared" si="1"/>
        <v>1.6163994000000343</v>
      </c>
      <c r="I46" s="51">
        <f t="shared" si="2"/>
        <v>4.0220955498541273E-3</v>
      </c>
      <c r="J46" s="51">
        <f t="shared" si="10"/>
        <v>1</v>
      </c>
      <c r="K46" s="52"/>
    </row>
    <row r="47" spans="1:11" x14ac:dyDescent="0.2">
      <c r="A47" s="53" t="s">
        <v>142</v>
      </c>
      <c r="B47" s="54"/>
      <c r="C47" s="55"/>
      <c r="D47" s="55">
        <f>SUM(D18,D25,D26,D28,D33,D40,D41)</f>
        <v>375.73503199999999</v>
      </c>
      <c r="E47" s="55"/>
      <c r="F47" s="55"/>
      <c r="G47" s="55">
        <f>SUM(G18,G25,G26,G28,G33,G40,G41)</f>
        <v>377.27445999999998</v>
      </c>
      <c r="H47" s="55">
        <f>G47-D47</f>
        <v>1.5394279999999867</v>
      </c>
      <c r="I47" s="56">
        <f>IF(ISERROR(H47/D47),0,(H47/D47))</f>
        <v>4.0971106468453726E-3</v>
      </c>
      <c r="J47" s="56"/>
      <c r="K47" s="57">
        <f>G47/$G$51</f>
        <v>0.95238095238095244</v>
      </c>
    </row>
    <row r="48" spans="1:11" x14ac:dyDescent="0.2">
      <c r="A48" s="58" t="s">
        <v>138</v>
      </c>
      <c r="B48" s="59"/>
      <c r="C48" s="31">
        <v>0.13</v>
      </c>
      <c r="D48" s="31">
        <f>D47*C48</f>
        <v>48.845554159999999</v>
      </c>
      <c r="E48" s="31"/>
      <c r="F48" s="31">
        <f>C48</f>
        <v>0.13</v>
      </c>
      <c r="G48" s="31">
        <f>G47*F48</f>
        <v>49.045679800000002</v>
      </c>
      <c r="H48" s="31">
        <f>G48-D48</f>
        <v>0.2001256400000031</v>
      </c>
      <c r="I48" s="32">
        <f>IF(ISERROR(H48/D48),0,(H48/D48))</f>
        <v>4.0971106468454714E-3</v>
      </c>
      <c r="J48" s="32"/>
      <c r="K48" s="60">
        <f>G48/$G$51</f>
        <v>0.12380952380952383</v>
      </c>
    </row>
    <row r="49" spans="1:11" x14ac:dyDescent="0.2">
      <c r="A49" s="141" t="s">
        <v>143</v>
      </c>
      <c r="B49" s="29"/>
      <c r="C49" s="30"/>
      <c r="D49" s="30">
        <f>SUM(D47:D48)</f>
        <v>424.58058616</v>
      </c>
      <c r="E49" s="30"/>
      <c r="F49" s="30"/>
      <c r="G49" s="30">
        <f>SUM(G47:G48)</f>
        <v>426.32013979999999</v>
      </c>
      <c r="H49" s="30">
        <f>G49-D49</f>
        <v>1.7395536399999969</v>
      </c>
      <c r="I49" s="33">
        <f>IF(ISERROR(H49/D49),0,(H49/D49))</f>
        <v>4.0971106468454003E-3</v>
      </c>
      <c r="J49" s="33"/>
      <c r="K49" s="62">
        <f>G49/$G$51</f>
        <v>1.0761904761904764</v>
      </c>
    </row>
    <row r="50" spans="1:11" x14ac:dyDescent="0.2">
      <c r="A50" s="58" t="s">
        <v>140</v>
      </c>
      <c r="B50" s="59"/>
      <c r="C50" s="31">
        <v>-0.08</v>
      </c>
      <c r="D50" s="31">
        <f>D47*C50</f>
        <v>-30.05880256</v>
      </c>
      <c r="E50" s="31"/>
      <c r="F50" s="31">
        <f>C50</f>
        <v>-0.08</v>
      </c>
      <c r="G50" s="31">
        <f>G47*F50</f>
        <v>-30.181956799999998</v>
      </c>
      <c r="H50" s="31">
        <f>G50-D50</f>
        <v>-0.12315423999999808</v>
      </c>
      <c r="I50" s="32">
        <f>IF(ISERROR(H50/D50),0,(H50/D50))</f>
        <v>4.0971106468453439E-3</v>
      </c>
      <c r="J50" s="32"/>
      <c r="K50" s="60">
        <f>G50/$G$51</f>
        <v>-7.6190476190476197E-2</v>
      </c>
    </row>
    <row r="51" spans="1:11" ht="13.5" thickBot="1" x14ac:dyDescent="0.25">
      <c r="A51" s="63" t="s">
        <v>144</v>
      </c>
      <c r="B51" s="64"/>
      <c r="C51" s="65"/>
      <c r="D51" s="65">
        <f>SUM(D49:D50)</f>
        <v>394.52178359999999</v>
      </c>
      <c r="E51" s="65"/>
      <c r="F51" s="65"/>
      <c r="G51" s="65">
        <f>SUM(G49:G50)</f>
        <v>396.13818299999997</v>
      </c>
      <c r="H51" s="65">
        <f>G51-D51</f>
        <v>1.6163993999999775</v>
      </c>
      <c r="I51" s="66">
        <f>IF(ISERROR(H51/D51),0,(H51/D51))</f>
        <v>4.0971106468453509E-3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c r="K64"/>
    </row>
    <row r="65" spans="6:11" x14ac:dyDescent="0.2">
      <c r="F65" s="69"/>
      <c r="K65"/>
    </row>
    <row r="66" spans="6:11" x14ac:dyDescent="0.2">
      <c r="F66" s="69"/>
      <c r="K66"/>
    </row>
    <row r="67" spans="6:11" x14ac:dyDescent="0.2">
      <c r="F67" s="69"/>
      <c r="K67"/>
    </row>
    <row r="68" spans="6:11" x14ac:dyDescent="0.2">
      <c r="F68" s="69"/>
      <c r="K68"/>
    </row>
  </sheetData>
  <mergeCells count="1">
    <mergeCell ref="A1:K1"/>
  </mergeCell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6">
    <tabColor theme="1" tint="0.499984740745262"/>
    <pageSetUpPr fitToPage="1"/>
  </sheetPr>
  <dimension ref="A1:K68"/>
  <sheetViews>
    <sheetView topLeftCell="A19" workbookViewId="0">
      <selection activeCell="C19" sqref="C19"/>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48" t="s">
        <v>112</v>
      </c>
      <c r="B1" s="349"/>
      <c r="C1" s="349"/>
      <c r="D1" s="349"/>
      <c r="E1" s="349"/>
      <c r="F1" s="349"/>
      <c r="G1" s="349"/>
      <c r="H1" s="349"/>
      <c r="I1" s="349"/>
      <c r="J1" s="349"/>
      <c r="K1" s="350"/>
    </row>
    <row r="3" spans="1:11" x14ac:dyDescent="0.2">
      <c r="A3" s="13" t="s">
        <v>13</v>
      </c>
      <c r="B3" s="13" t="s">
        <v>89</v>
      </c>
    </row>
    <row r="4" spans="1:11" x14ac:dyDescent="0.2">
      <c r="A4" s="15" t="s">
        <v>62</v>
      </c>
      <c r="B4" s="79">
        <f>'Data for Bill Impacts_HONI Avg '!C8</f>
        <v>2759</v>
      </c>
    </row>
    <row r="5" spans="1:11" x14ac:dyDescent="0.2">
      <c r="A5" s="15" t="s">
        <v>16</v>
      </c>
      <c r="B5" s="15">
        <f>VLOOKUP($B$3,'Data for Bill Impacts'!$A$3:$Y$15,5,0)</f>
        <v>0</v>
      </c>
    </row>
    <row r="6" spans="1:11" x14ac:dyDescent="0.2">
      <c r="A6" s="15" t="s">
        <v>20</v>
      </c>
      <c r="B6" s="15">
        <f>VLOOKUP($B$3,'Data for Bill Impacts'!$A$3:$Y$15,2,0)</f>
        <v>1.0669999999999999</v>
      </c>
    </row>
    <row r="7" spans="1:11" x14ac:dyDescent="0.2">
      <c r="A7" s="15" t="s">
        <v>15</v>
      </c>
      <c r="B7" s="15">
        <f>VLOOKUP($B$3,'Data for Bill Impacts'!$A$3:$Y$15,4,0)</f>
        <v>750</v>
      </c>
    </row>
    <row r="8" spans="1:11" x14ac:dyDescent="0.2">
      <c r="A8" s="15" t="s">
        <v>82</v>
      </c>
      <c r="B8" s="15">
        <f>B4*B6</f>
        <v>2943.8530000000001</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0.10299999999999999</v>
      </c>
      <c r="D12" s="104">
        <f>B12*C12</f>
        <v>77.25</v>
      </c>
      <c r="E12" s="102">
        <f>B12</f>
        <v>750</v>
      </c>
      <c r="F12" s="103">
        <f>C12</f>
        <v>0.10299999999999999</v>
      </c>
      <c r="G12" s="104">
        <f>E12*F12</f>
        <v>77.25</v>
      </c>
      <c r="H12" s="104">
        <f>G12-D12</f>
        <v>0</v>
      </c>
      <c r="I12" s="105">
        <f>IF(ISERROR(H12/D12),0,(H12/D12))</f>
        <v>0</v>
      </c>
      <c r="J12" s="105">
        <f>G12/$G$46</f>
        <v>0.14010219775163818</v>
      </c>
      <c r="K12" s="106"/>
    </row>
    <row r="13" spans="1:11" x14ac:dyDescent="0.2">
      <c r="A13" s="107" t="s">
        <v>32</v>
      </c>
      <c r="B13" s="73">
        <f>IF(B4&gt;B7,(B4)-B7,0)</f>
        <v>2009</v>
      </c>
      <c r="C13" s="21">
        <v>0.121</v>
      </c>
      <c r="D13" s="22">
        <f>B13*C13</f>
        <v>243.089</v>
      </c>
      <c r="E13" s="73">
        <f t="shared" ref="E13" si="0">B13</f>
        <v>2009</v>
      </c>
      <c r="F13" s="21">
        <f>C13</f>
        <v>0.121</v>
      </c>
      <c r="G13" s="22">
        <f>E13*F13</f>
        <v>243.089</v>
      </c>
      <c r="H13" s="22">
        <f t="shared" ref="H13:H46" si="1">G13-D13</f>
        <v>0</v>
      </c>
      <c r="I13" s="23">
        <f t="shared" ref="I13:I46" si="2">IF(ISERROR(H13/D13),0,(H13/D13))</f>
        <v>0</v>
      </c>
      <c r="J13" s="23">
        <f>G13/$G$46</f>
        <v>0.44087123817796731</v>
      </c>
      <c r="K13" s="108"/>
    </row>
    <row r="14" spans="1:11" s="1" customFormat="1" x14ac:dyDescent="0.2">
      <c r="A14" s="46" t="s">
        <v>33</v>
      </c>
      <c r="B14" s="24"/>
      <c r="C14" s="25"/>
      <c r="D14" s="25">
        <f>SUM(D12:D13)</f>
        <v>320.339</v>
      </c>
      <c r="E14" s="76"/>
      <c r="F14" s="25"/>
      <c r="G14" s="25">
        <f>SUM(G12:G13)</f>
        <v>320.339</v>
      </c>
      <c r="H14" s="25">
        <f t="shared" si="1"/>
        <v>0</v>
      </c>
      <c r="I14" s="27">
        <f t="shared" si="2"/>
        <v>0</v>
      </c>
      <c r="J14" s="27">
        <f>G14/$G$46</f>
        <v>0.58097343592960549</v>
      </c>
      <c r="K14" s="108"/>
    </row>
    <row r="15" spans="1:11" s="1" customFormat="1" x14ac:dyDescent="0.2">
      <c r="A15" s="109" t="s">
        <v>34</v>
      </c>
      <c r="B15" s="75">
        <f>B4*0.65</f>
        <v>1793.3500000000001</v>
      </c>
      <c r="C15" s="28">
        <v>8.6999999999999994E-2</v>
      </c>
      <c r="D15" s="22">
        <f>B15*C15</f>
        <v>156.02144999999999</v>
      </c>
      <c r="E15" s="73">
        <f t="shared" ref="E15:F17" si="3">B15</f>
        <v>1793.3500000000001</v>
      </c>
      <c r="F15" s="28">
        <f t="shared" si="3"/>
        <v>8.6999999999999994E-2</v>
      </c>
      <c r="G15" s="22">
        <f>E15*F15</f>
        <v>156.02144999999999</v>
      </c>
      <c r="H15" s="22">
        <f t="shared" si="1"/>
        <v>0</v>
      </c>
      <c r="I15" s="23">
        <f t="shared" si="2"/>
        <v>0</v>
      </c>
      <c r="J15" s="23"/>
      <c r="K15" s="108">
        <f t="shared" ref="K15:K26" si="4">G15/$G$51</f>
        <v>0.2911645039389395</v>
      </c>
    </row>
    <row r="16" spans="1:11" s="1" customFormat="1" x14ac:dyDescent="0.2">
      <c r="A16" s="109" t="s">
        <v>35</v>
      </c>
      <c r="B16" s="75">
        <f>B4*0.17</f>
        <v>469.03000000000003</v>
      </c>
      <c r="C16" s="28">
        <v>0.13200000000000001</v>
      </c>
      <c r="D16" s="22">
        <f>B16*C16</f>
        <v>61.911960000000008</v>
      </c>
      <c r="E16" s="73">
        <f t="shared" si="3"/>
        <v>469.03000000000003</v>
      </c>
      <c r="F16" s="28">
        <f t="shared" si="3"/>
        <v>0.13200000000000001</v>
      </c>
      <c r="G16" s="22">
        <f>E16*F16</f>
        <v>61.911960000000008</v>
      </c>
      <c r="H16" s="22">
        <f t="shared" si="1"/>
        <v>0</v>
      </c>
      <c r="I16" s="23">
        <f t="shared" si="2"/>
        <v>0</v>
      </c>
      <c r="J16" s="23"/>
      <c r="K16" s="108">
        <f t="shared" si="4"/>
        <v>0.11553901800866143</v>
      </c>
    </row>
    <row r="17" spans="1:11" s="1" customFormat="1" x14ac:dyDescent="0.2">
      <c r="A17" s="109" t="s">
        <v>36</v>
      </c>
      <c r="B17" s="75">
        <f>B4*0.18</f>
        <v>496.62</v>
      </c>
      <c r="C17" s="28">
        <v>0.18</v>
      </c>
      <c r="D17" s="22">
        <f>B17*C17</f>
        <v>89.391599999999997</v>
      </c>
      <c r="E17" s="73">
        <f t="shared" si="3"/>
        <v>496.62</v>
      </c>
      <c r="F17" s="28">
        <f t="shared" si="3"/>
        <v>0.18</v>
      </c>
      <c r="G17" s="22">
        <f>E17*F17</f>
        <v>89.391599999999997</v>
      </c>
      <c r="H17" s="22">
        <f t="shared" si="1"/>
        <v>0</v>
      </c>
      <c r="I17" s="23">
        <f t="shared" si="2"/>
        <v>0</v>
      </c>
      <c r="J17" s="23"/>
      <c r="K17" s="108">
        <f t="shared" si="4"/>
        <v>0.16682104204459133</v>
      </c>
    </row>
    <row r="18" spans="1:11" s="1" customFormat="1" x14ac:dyDescent="0.2">
      <c r="A18" s="61" t="s">
        <v>37</v>
      </c>
      <c r="B18" s="29"/>
      <c r="C18" s="30"/>
      <c r="D18" s="30">
        <f>SUM(D15:D17)</f>
        <v>307.32500999999996</v>
      </c>
      <c r="E18" s="77"/>
      <c r="F18" s="30"/>
      <c r="G18" s="30">
        <f>SUM(G15:G17)</f>
        <v>307.32500999999996</v>
      </c>
      <c r="H18" s="31">
        <f t="shared" si="1"/>
        <v>0</v>
      </c>
      <c r="I18" s="32">
        <f t="shared" si="2"/>
        <v>0</v>
      </c>
      <c r="J18" s="33">
        <f t="shared" ref="J18:J23" si="5">G18/$G$46</f>
        <v>0.55737099449895378</v>
      </c>
      <c r="K18" s="62">
        <f t="shared" si="4"/>
        <v>0.5735245639921922</v>
      </c>
    </row>
    <row r="19" spans="1:11" x14ac:dyDescent="0.2">
      <c r="A19" s="107" t="s">
        <v>38</v>
      </c>
      <c r="B19" s="73">
        <v>1</v>
      </c>
      <c r="C19" s="78">
        <f>VLOOKUP($B$3,'Data for Bill Impacts'!$A$3:$Y$15,7,0)</f>
        <v>25.11</v>
      </c>
      <c r="D19" s="22">
        <f>B19*C19</f>
        <v>25.11</v>
      </c>
      <c r="E19" s="73">
        <f t="shared" ref="E19:E41" si="6">B19</f>
        <v>1</v>
      </c>
      <c r="F19" s="78">
        <f>VLOOKUP($B$3,'Data for Bill Impacts'!$A$3:$Y$15,17,0)</f>
        <v>25.6</v>
      </c>
      <c r="G19" s="22">
        <f>E19*F19</f>
        <v>25.6</v>
      </c>
      <c r="H19" s="22">
        <f t="shared" si="1"/>
        <v>0.49000000000000199</v>
      </c>
      <c r="I19" s="23">
        <f t="shared" si="2"/>
        <v>1.9514137793707767E-2</v>
      </c>
      <c r="J19" s="23">
        <f t="shared" si="5"/>
        <v>4.6428689481449029E-2</v>
      </c>
      <c r="K19" s="108">
        <f t="shared" si="4"/>
        <v>4.7774272709533543E-2</v>
      </c>
    </row>
    <row r="20" spans="1:11" hidden="1" x14ac:dyDescent="0.2">
      <c r="A20" s="107" t="s">
        <v>83</v>
      </c>
      <c r="B20" s="73">
        <v>1</v>
      </c>
      <c r="C20" s="78">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84</v>
      </c>
      <c r="B21" s="73">
        <v>1</v>
      </c>
      <c r="C21" s="78">
        <v>0</v>
      </c>
      <c r="D21" s="22">
        <f t="shared" ref="D21:D22" si="8">B21*C21</f>
        <v>0</v>
      </c>
      <c r="E21" s="73">
        <f t="shared" si="6"/>
        <v>1</v>
      </c>
      <c r="F21" s="122">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0.01</v>
      </c>
      <c r="D22" s="22">
        <f t="shared" si="8"/>
        <v>0.01</v>
      </c>
      <c r="E22" s="73">
        <f t="shared" si="6"/>
        <v>1</v>
      </c>
      <c r="F22" s="122">
        <f>VLOOKUP($B$3,'Data for Bill Impacts'!$A$3:$Y$15,22,0)</f>
        <v>0.01</v>
      </c>
      <c r="G22" s="22">
        <f t="shared" si="7"/>
        <v>0.01</v>
      </c>
      <c r="H22" s="22">
        <f t="shared" si="1"/>
        <v>0</v>
      </c>
      <c r="I22" s="23">
        <f t="shared" si="2"/>
        <v>0</v>
      </c>
      <c r="J22" s="23">
        <f t="shared" si="5"/>
        <v>1.8136206828691025E-5</v>
      </c>
      <c r="K22" s="108">
        <f t="shared" si="4"/>
        <v>1.866182527716154E-5</v>
      </c>
    </row>
    <row r="23" spans="1:11" x14ac:dyDescent="0.2">
      <c r="A23" s="107" t="s">
        <v>39</v>
      </c>
      <c r="B23" s="73">
        <f>IF($B$9="kWh",$B$4,$B$5)</f>
        <v>2759</v>
      </c>
      <c r="C23" s="126">
        <f>VLOOKUP($B$3,'Data for Bill Impacts'!$A$3:$Y$15,10,0)</f>
        <v>0.03</v>
      </c>
      <c r="D23" s="22">
        <f>B23*C23</f>
        <v>82.77</v>
      </c>
      <c r="E23" s="73">
        <f t="shared" si="6"/>
        <v>2759</v>
      </c>
      <c r="F23" s="78">
        <f>VLOOKUP($B$3,'Data for Bill Impacts'!$A$3:$Y$15,19,0)</f>
        <v>3.0800000000000001E-2</v>
      </c>
      <c r="G23" s="22">
        <f>E23*F23</f>
        <v>84.977199999999996</v>
      </c>
      <c r="H23" s="22">
        <f t="shared" si="1"/>
        <v>2.2072000000000003</v>
      </c>
      <c r="I23" s="23">
        <f t="shared" si="2"/>
        <v>2.6666666666666672E-2</v>
      </c>
      <c r="J23" s="23">
        <f t="shared" si="5"/>
        <v>0.15411640749230429</v>
      </c>
      <c r="K23" s="108">
        <f t="shared" si="4"/>
        <v>0.15858296589424115</v>
      </c>
    </row>
    <row r="24" spans="1:11" x14ac:dyDescent="0.2">
      <c r="A24" s="107" t="s">
        <v>194</v>
      </c>
      <c r="B24" s="73">
        <f>IF($B$9="kWh",$B$4,$B$5)</f>
        <v>2759</v>
      </c>
      <c r="C24" s="126">
        <f>VLOOKUP($B$3,'Data for Bill Impacts'!$A$3:$Y$15,14,0)</f>
        <v>2.0000000000000001E-4</v>
      </c>
      <c r="D24" s="34">
        <f>B24*C24</f>
        <v>0.55180000000000007</v>
      </c>
      <c r="E24" s="73">
        <f t="shared" si="6"/>
        <v>2759</v>
      </c>
      <c r="F24" s="126">
        <f>VLOOKUP($B$3,'Data for Bill Impacts'!$A$3:$Y$15,23,0)</f>
        <v>2.0000000000000001E-4</v>
      </c>
      <c r="G24" s="34">
        <f>E24*F24</f>
        <v>0.55180000000000007</v>
      </c>
      <c r="H24" s="22">
        <f t="shared" si="1"/>
        <v>0</v>
      </c>
      <c r="I24" s="23">
        <f>IF(ISERROR(H24/D24),0,(H24/D24))</f>
        <v>0</v>
      </c>
      <c r="J24" s="23">
        <f t="shared" ref="J24" si="9">G24/$G$46</f>
        <v>1.0007558928071709E-3</v>
      </c>
      <c r="K24" s="108">
        <f t="shared" si="4"/>
        <v>1.0297595187937739E-3</v>
      </c>
    </row>
    <row r="25" spans="1:11" s="1" customFormat="1" x14ac:dyDescent="0.2">
      <c r="A25" s="110" t="s">
        <v>72</v>
      </c>
      <c r="B25" s="74"/>
      <c r="C25" s="35"/>
      <c r="D25" s="35">
        <f>SUM(D19:D24)</f>
        <v>108.4418</v>
      </c>
      <c r="E25" s="73"/>
      <c r="F25" s="35"/>
      <c r="G25" s="35">
        <f>SUM(G19:G24)</f>
        <v>111.139</v>
      </c>
      <c r="H25" s="35">
        <f t="shared" si="1"/>
        <v>2.6971999999999952</v>
      </c>
      <c r="I25" s="36">
        <f t="shared" si="2"/>
        <v>2.4872327829305627E-2</v>
      </c>
      <c r="J25" s="36">
        <f>G25/$G$46</f>
        <v>0.20156398907338918</v>
      </c>
      <c r="K25" s="111">
        <f t="shared" si="4"/>
        <v>0.20740565994784563</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G26/$G$46</f>
        <v>1.4327603394665911E-3</v>
      </c>
      <c r="K26" s="108">
        <f t="shared" si="4"/>
        <v>1.4742841968957616E-3</v>
      </c>
    </row>
    <row r="27" spans="1:11" s="1" customFormat="1" x14ac:dyDescent="0.2">
      <c r="A27" s="119" t="s">
        <v>75</v>
      </c>
      <c r="B27" s="120">
        <f>B8-B4</f>
        <v>184.85300000000007</v>
      </c>
      <c r="C27" s="121">
        <f>IF(B4&gt;B7,C13,C12)</f>
        <v>0.121</v>
      </c>
      <c r="D27" s="22">
        <f>B27*C27</f>
        <v>22.367213000000007</v>
      </c>
      <c r="E27" s="73">
        <f>B27</f>
        <v>184.85300000000007</v>
      </c>
      <c r="F27" s="121">
        <f>C27</f>
        <v>0.121</v>
      </c>
      <c r="G27" s="22">
        <f>E27*F27</f>
        <v>22.367213000000007</v>
      </c>
      <c r="H27" s="22">
        <f t="shared" si="1"/>
        <v>0</v>
      </c>
      <c r="I27" s="23">
        <f>IF(ISERROR(H27/D27),0,(H27/D27))</f>
        <v>0</v>
      </c>
      <c r="J27" s="23">
        <f t="shared" ref="J27:J46" si="10">G27/$G$46</f>
        <v>4.0565640114938684E-2</v>
      </c>
      <c r="K27" s="108">
        <f t="shared" ref="K27:K41" si="11">G27/$G$51</f>
        <v>4.1741302094305634E-2</v>
      </c>
    </row>
    <row r="28" spans="1:11" s="1" customFormat="1" x14ac:dyDescent="0.2">
      <c r="A28" s="119" t="s">
        <v>74</v>
      </c>
      <c r="B28" s="120">
        <f>B8-B4</f>
        <v>184.85300000000007</v>
      </c>
      <c r="C28" s="121">
        <f>0.65*C15+0.17*C16+0.18*C17</f>
        <v>0.11139</v>
      </c>
      <c r="D28" s="22">
        <f>B28*C28</f>
        <v>20.590775670000006</v>
      </c>
      <c r="E28" s="73">
        <f>B28</f>
        <v>184.85300000000007</v>
      </c>
      <c r="F28" s="121">
        <f>C28</f>
        <v>0.11139</v>
      </c>
      <c r="G28" s="22">
        <f>E28*F28</f>
        <v>20.590775670000006</v>
      </c>
      <c r="H28" s="22">
        <f t="shared" si="1"/>
        <v>0</v>
      </c>
      <c r="I28" s="23">
        <f>IF(ISERROR(H28/D28),0,(H28/D28))</f>
        <v>0</v>
      </c>
      <c r="J28" s="23">
        <f t="shared" si="10"/>
        <v>3.7343856631429917E-2</v>
      </c>
      <c r="K28" s="108">
        <f t="shared" si="11"/>
        <v>3.8426145787476898E-2</v>
      </c>
    </row>
    <row r="29" spans="1:11" s="1" customFormat="1" x14ac:dyDescent="0.2">
      <c r="A29" s="110" t="s">
        <v>78</v>
      </c>
      <c r="B29" s="74"/>
      <c r="C29" s="35"/>
      <c r="D29" s="35">
        <f>SUM(D25,D26:D27)</f>
        <v>131.59901300000001</v>
      </c>
      <c r="E29" s="73"/>
      <c r="F29" s="35"/>
      <c r="G29" s="35">
        <f>SUM(G25,G26:G27)</f>
        <v>134.29621300000002</v>
      </c>
      <c r="H29" s="35">
        <f t="shared" si="1"/>
        <v>2.6972000000000094</v>
      </c>
      <c r="I29" s="36">
        <f>IF(ISERROR(H29/D29),0,(H29/D29))</f>
        <v>2.0495594446441699E-2</v>
      </c>
      <c r="J29" s="36">
        <f t="shared" si="10"/>
        <v>0.24356238952779449</v>
      </c>
      <c r="K29" s="111">
        <f t="shared" si="11"/>
        <v>0.25062124623904708</v>
      </c>
    </row>
    <row r="30" spans="1:11" s="1" customFormat="1" x14ac:dyDescent="0.2">
      <c r="A30" s="110" t="s">
        <v>77</v>
      </c>
      <c r="B30" s="74"/>
      <c r="C30" s="35"/>
      <c r="D30" s="35">
        <f>SUM(D25,D26,D28)</f>
        <v>129.82257567000002</v>
      </c>
      <c r="E30" s="73"/>
      <c r="F30" s="35"/>
      <c r="G30" s="35">
        <f>SUM(G25,G26,G28)</f>
        <v>132.51977567</v>
      </c>
      <c r="H30" s="35">
        <f t="shared" si="1"/>
        <v>2.6971999999999809</v>
      </c>
      <c r="I30" s="36">
        <f>IF(ISERROR(H30/D30),0,(H30/D30))</f>
        <v>2.0776047510073104E-2</v>
      </c>
      <c r="J30" s="36">
        <f t="shared" si="10"/>
        <v>0.2403406060442857</v>
      </c>
      <c r="K30" s="111">
        <f t="shared" si="11"/>
        <v>0.24730608993221828</v>
      </c>
    </row>
    <row r="31" spans="1:11" x14ac:dyDescent="0.2">
      <c r="A31" s="107" t="s">
        <v>40</v>
      </c>
      <c r="B31" s="73">
        <f>B8</f>
        <v>2943.8530000000001</v>
      </c>
      <c r="C31" s="126">
        <f>VLOOKUP($B$3,'Data for Bill Impacts'!$A$3:$Y$15,15,0)</f>
        <v>6.1060000000000003E-3</v>
      </c>
      <c r="D31" s="22">
        <f>B31*C31</f>
        <v>17.975166418000001</v>
      </c>
      <c r="E31" s="73">
        <f t="shared" si="6"/>
        <v>2943.8530000000001</v>
      </c>
      <c r="F31" s="78">
        <f>VLOOKUP($B$3,'Data for Bill Impacts'!$A$3:$Y$15,24,0)</f>
        <v>5.7999999999999996E-3</v>
      </c>
      <c r="G31" s="22">
        <f>E31*F31</f>
        <v>17.074347400000001</v>
      </c>
      <c r="H31" s="22">
        <f t="shared" si="1"/>
        <v>-0.90081901799999997</v>
      </c>
      <c r="I31" s="23">
        <f t="shared" si="2"/>
        <v>-5.0114641336390431E-2</v>
      </c>
      <c r="J31" s="23">
        <f t="shared" si="10"/>
        <v>3.0966389591132289E-2</v>
      </c>
      <c r="K31" s="108">
        <f t="shared" si="11"/>
        <v>3.1863848790035745E-2</v>
      </c>
    </row>
    <row r="32" spans="1:11" x14ac:dyDescent="0.2">
      <c r="A32" s="107" t="s">
        <v>41</v>
      </c>
      <c r="B32" s="73">
        <f>B8</f>
        <v>2943.8530000000001</v>
      </c>
      <c r="C32" s="126">
        <f>VLOOKUP($B$3,'Data for Bill Impacts'!$A$3:$Y$15,16,0)</f>
        <v>4.6519999999999999E-3</v>
      </c>
      <c r="D32" s="22">
        <f>B32*C32</f>
        <v>13.694804156</v>
      </c>
      <c r="E32" s="73">
        <f t="shared" si="6"/>
        <v>2943.8530000000001</v>
      </c>
      <c r="F32" s="78">
        <f>VLOOKUP($B$3,'Data for Bill Impacts'!$A$3:$Y$15,25,0)</f>
        <v>4.7000000000000002E-3</v>
      </c>
      <c r="G32" s="22">
        <f>E32*F32</f>
        <v>13.836109100000002</v>
      </c>
      <c r="H32" s="22">
        <f t="shared" si="1"/>
        <v>0.1413049440000016</v>
      </c>
      <c r="I32" s="23">
        <f t="shared" si="2"/>
        <v>1.0318142734307941E-2</v>
      </c>
      <c r="J32" s="23">
        <f t="shared" si="10"/>
        <v>2.5093453634193408E-2</v>
      </c>
      <c r="K32" s="108">
        <f t="shared" si="11"/>
        <v>2.5820705053994482E-2</v>
      </c>
    </row>
    <row r="33" spans="1:11" s="1" customFormat="1" x14ac:dyDescent="0.2">
      <c r="A33" s="110" t="s">
        <v>76</v>
      </c>
      <c r="B33" s="74"/>
      <c r="C33" s="35"/>
      <c r="D33" s="35">
        <f>SUM(D31:D32)</f>
        <v>31.669970574000001</v>
      </c>
      <c r="E33" s="73"/>
      <c r="F33" s="35"/>
      <c r="G33" s="35">
        <f>SUM(G31:G32)</f>
        <v>30.910456500000002</v>
      </c>
      <c r="H33" s="35">
        <f t="shared" si="1"/>
        <v>-0.75951407399999837</v>
      </c>
      <c r="I33" s="36">
        <f t="shared" si="2"/>
        <v>-2.3982152816508593E-2</v>
      </c>
      <c r="J33" s="36">
        <f t="shared" si="10"/>
        <v>5.6059843225325694E-2</v>
      </c>
      <c r="K33" s="111">
        <f t="shared" si="11"/>
        <v>5.7684553844030227E-2</v>
      </c>
    </row>
    <row r="34" spans="1:11" s="1" customFormat="1" ht="13.5" customHeight="1" x14ac:dyDescent="0.2">
      <c r="A34" s="110" t="s">
        <v>95</v>
      </c>
      <c r="B34" s="74"/>
      <c r="C34" s="35"/>
      <c r="D34" s="35">
        <f>D29+D33</f>
        <v>163.268983574</v>
      </c>
      <c r="E34" s="73"/>
      <c r="F34" s="35"/>
      <c r="G34" s="35">
        <f>G29+G33</f>
        <v>165.20666950000003</v>
      </c>
      <c r="H34" s="35">
        <f t="shared" si="1"/>
        <v>1.9376859260000288</v>
      </c>
      <c r="I34" s="36">
        <f t="shared" si="2"/>
        <v>1.1868058975952358E-2</v>
      </c>
      <c r="J34" s="36">
        <f t="shared" si="10"/>
        <v>0.29962223275312022</v>
      </c>
      <c r="K34" s="111">
        <f t="shared" si="11"/>
        <v>0.30830580008307729</v>
      </c>
    </row>
    <row r="35" spans="1:11" s="1" customFormat="1" ht="13.5" customHeight="1" x14ac:dyDescent="0.2">
      <c r="A35" s="110" t="s">
        <v>96</v>
      </c>
      <c r="B35" s="74"/>
      <c r="C35" s="35"/>
      <c r="D35" s="35">
        <f>D30+D33</f>
        <v>161.49254624400001</v>
      </c>
      <c r="E35" s="73"/>
      <c r="F35" s="35"/>
      <c r="G35" s="35">
        <f>G30+G33</f>
        <v>163.43023217000001</v>
      </c>
      <c r="H35" s="35">
        <f t="shared" si="1"/>
        <v>1.9376859260000003</v>
      </c>
      <c r="I35" s="36">
        <f t="shared" si="2"/>
        <v>1.199860904460779E-2</v>
      </c>
      <c r="J35" s="36">
        <f t="shared" si="10"/>
        <v>0.2964004492696114</v>
      </c>
      <c r="K35" s="111">
        <f t="shared" si="11"/>
        <v>0.30499064377624852</v>
      </c>
    </row>
    <row r="36" spans="1:11" x14ac:dyDescent="0.2">
      <c r="A36" s="107" t="s">
        <v>42</v>
      </c>
      <c r="B36" s="73">
        <f>B8</f>
        <v>2943.8530000000001</v>
      </c>
      <c r="C36" s="34">
        <v>3.5999999999999999E-3</v>
      </c>
      <c r="D36" s="22">
        <f>B36*C36</f>
        <v>10.597870800000001</v>
      </c>
      <c r="E36" s="73">
        <f t="shared" si="6"/>
        <v>2943.8530000000001</v>
      </c>
      <c r="F36" s="34">
        <v>3.5999999999999999E-3</v>
      </c>
      <c r="G36" s="22">
        <f>E36*F36</f>
        <v>10.597870800000001</v>
      </c>
      <c r="H36" s="22">
        <f t="shared" si="1"/>
        <v>0</v>
      </c>
      <c r="I36" s="23">
        <f t="shared" si="2"/>
        <v>0</v>
      </c>
      <c r="J36" s="23">
        <f t="shared" si="10"/>
        <v>1.9220517677254523E-2</v>
      </c>
      <c r="K36" s="108">
        <f t="shared" si="11"/>
        <v>1.9777561317953222E-2</v>
      </c>
    </row>
    <row r="37" spans="1:11" x14ac:dyDescent="0.2">
      <c r="A37" s="107" t="s">
        <v>43</v>
      </c>
      <c r="B37" s="73">
        <f>B8</f>
        <v>2943.8530000000001</v>
      </c>
      <c r="C37" s="34">
        <v>2.0999999999999999E-3</v>
      </c>
      <c r="D37" s="22">
        <f>B37*C37</f>
        <v>6.1820912999999997</v>
      </c>
      <c r="E37" s="73">
        <f t="shared" si="6"/>
        <v>2943.8530000000001</v>
      </c>
      <c r="F37" s="34">
        <v>2.0999999999999999E-3</v>
      </c>
      <c r="G37" s="22">
        <f>E37*F37</f>
        <v>6.1820912999999997</v>
      </c>
      <c r="H37" s="22">
        <f>G37-D37</f>
        <v>0</v>
      </c>
      <c r="I37" s="23">
        <f t="shared" si="2"/>
        <v>0</v>
      </c>
      <c r="J37" s="23">
        <f t="shared" si="10"/>
        <v>1.1211968645065138E-2</v>
      </c>
      <c r="K37" s="108">
        <f t="shared" si="11"/>
        <v>1.1536910768806044E-2</v>
      </c>
    </row>
    <row r="38" spans="1:11" x14ac:dyDescent="0.2">
      <c r="A38" s="107" t="s">
        <v>100</v>
      </c>
      <c r="B38" s="73">
        <f>B8</f>
        <v>2943.8530000000001</v>
      </c>
      <c r="C38" s="34">
        <v>1.1000000000000001E-3</v>
      </c>
      <c r="D38" s="22">
        <f>B38*C38</f>
        <v>3.2382383000000003</v>
      </c>
      <c r="E38" s="73">
        <f t="shared" si="6"/>
        <v>2943.8530000000001</v>
      </c>
      <c r="F38" s="34">
        <v>1.1000000000000001E-3</v>
      </c>
      <c r="G38" s="22">
        <f>E38*F38</f>
        <v>3.2382383000000003</v>
      </c>
      <c r="H38" s="22">
        <f>G38-D38</f>
        <v>0</v>
      </c>
      <c r="I38" s="23">
        <f t="shared" si="2"/>
        <v>0</v>
      </c>
      <c r="J38" s="23">
        <f t="shared" si="10"/>
        <v>5.8729359569388824E-3</v>
      </c>
      <c r="K38" s="108">
        <f t="shared" si="11"/>
        <v>6.0431437360412617E-3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10"/>
        <v>4.5340517071727564E-4</v>
      </c>
      <c r="K39" s="108">
        <f t="shared" si="11"/>
        <v>4.6654563192903846E-4</v>
      </c>
    </row>
    <row r="40" spans="1:11" s="1" customFormat="1" x14ac:dyDescent="0.2">
      <c r="A40" s="110" t="s">
        <v>45</v>
      </c>
      <c r="B40" s="74"/>
      <c r="C40" s="35"/>
      <c r="D40" s="35">
        <f>SUM(D36:D39)</f>
        <v>20.268200399999998</v>
      </c>
      <c r="E40" s="73"/>
      <c r="F40" s="35"/>
      <c r="G40" s="35">
        <f>SUM(G36:G39)</f>
        <v>20.268200399999998</v>
      </c>
      <c r="H40" s="35">
        <f t="shared" si="1"/>
        <v>0</v>
      </c>
      <c r="I40" s="36">
        <f t="shared" si="2"/>
        <v>0</v>
      </c>
      <c r="J40" s="36">
        <f t="shared" si="10"/>
        <v>3.6758827449975814E-2</v>
      </c>
      <c r="K40" s="111">
        <f t="shared" si="11"/>
        <v>3.7824161454729562E-2</v>
      </c>
    </row>
    <row r="41" spans="1:11" s="1" customFormat="1" ht="13.5" thickBot="1" x14ac:dyDescent="0.25">
      <c r="A41" s="112" t="s">
        <v>46</v>
      </c>
      <c r="B41" s="113">
        <f>B4</f>
        <v>2759</v>
      </c>
      <c r="C41" s="114">
        <v>7.0000000000000001E-3</v>
      </c>
      <c r="D41" s="115">
        <f>B41*C41</f>
        <v>19.312999999999999</v>
      </c>
      <c r="E41" s="116">
        <f t="shared" si="6"/>
        <v>2759</v>
      </c>
      <c r="F41" s="114">
        <f>C41</f>
        <v>7.0000000000000001E-3</v>
      </c>
      <c r="G41" s="115">
        <f>E41*F41</f>
        <v>19.312999999999999</v>
      </c>
      <c r="H41" s="115">
        <f t="shared" si="1"/>
        <v>0</v>
      </c>
      <c r="I41" s="117">
        <f t="shared" si="2"/>
        <v>0</v>
      </c>
      <c r="J41" s="117">
        <f t="shared" si="10"/>
        <v>3.502645624825098E-2</v>
      </c>
      <c r="K41" s="118">
        <f t="shared" si="11"/>
        <v>3.6041583157782081E-2</v>
      </c>
    </row>
    <row r="42" spans="1:11" s="1" customFormat="1" x14ac:dyDescent="0.2">
      <c r="A42" s="37" t="s">
        <v>137</v>
      </c>
      <c r="B42" s="38"/>
      <c r="C42" s="39"/>
      <c r="D42" s="39">
        <f>SUM(D14,D25,D26,D27,D33,D40,D41)</f>
        <v>523.189183974</v>
      </c>
      <c r="E42" s="38"/>
      <c r="F42" s="39"/>
      <c r="G42" s="39">
        <f>SUM(G14,G25,G26,G27,G33,G40,G41)</f>
        <v>525.12686990000009</v>
      </c>
      <c r="H42" s="39">
        <f t="shared" si="1"/>
        <v>1.9376859260000856</v>
      </c>
      <c r="I42" s="40">
        <f>IF(ISERROR(H42/D42),0,(H42/D42))</f>
        <v>3.7036047100246997E-3</v>
      </c>
      <c r="J42" s="40">
        <f t="shared" si="10"/>
        <v>0.95238095238095255</v>
      </c>
      <c r="K42" s="41"/>
    </row>
    <row r="43" spans="1:11" x14ac:dyDescent="0.2">
      <c r="A43" s="150" t="s">
        <v>138</v>
      </c>
      <c r="B43" s="43"/>
      <c r="C43" s="26">
        <v>0.13</v>
      </c>
      <c r="D43" s="26">
        <f>D42*C43</f>
        <v>68.014593916620001</v>
      </c>
      <c r="E43" s="26"/>
      <c r="F43" s="26">
        <f>C43</f>
        <v>0.13</v>
      </c>
      <c r="G43" s="26">
        <f>G42*F43</f>
        <v>68.266493087000015</v>
      </c>
      <c r="H43" s="26">
        <f t="shared" si="1"/>
        <v>0.25189917038001397</v>
      </c>
      <c r="I43" s="44">
        <f t="shared" si="2"/>
        <v>3.7036047100247414E-3</v>
      </c>
      <c r="J43" s="44">
        <f t="shared" si="10"/>
        <v>0.12380952380952384</v>
      </c>
      <c r="K43" s="45"/>
    </row>
    <row r="44" spans="1:11" s="1" customFormat="1" x14ac:dyDescent="0.2">
      <c r="A44" s="46" t="s">
        <v>139</v>
      </c>
      <c r="B44" s="24"/>
      <c r="C44" s="25"/>
      <c r="D44" s="25">
        <f>SUM(D42:D43)</f>
        <v>591.20377789062002</v>
      </c>
      <c r="E44" s="25"/>
      <c r="F44" s="25"/>
      <c r="G44" s="25">
        <f>SUM(G42:G43)</f>
        <v>593.39336298700005</v>
      </c>
      <c r="H44" s="25">
        <f t="shared" si="1"/>
        <v>2.1895850963800285</v>
      </c>
      <c r="I44" s="27">
        <f t="shared" si="2"/>
        <v>3.7036047100245844E-3</v>
      </c>
      <c r="J44" s="27">
        <f t="shared" si="10"/>
        <v>1.0761904761904764</v>
      </c>
      <c r="K44" s="47"/>
    </row>
    <row r="45" spans="1:11" x14ac:dyDescent="0.2">
      <c r="A45" s="42" t="s">
        <v>140</v>
      </c>
      <c r="B45" s="43"/>
      <c r="C45" s="26">
        <v>-0.08</v>
      </c>
      <c r="D45" s="26">
        <f>D42*C45</f>
        <v>-41.855134717920002</v>
      </c>
      <c r="E45" s="26"/>
      <c r="F45" s="26">
        <f>C45</f>
        <v>-0.08</v>
      </c>
      <c r="G45" s="26">
        <f>G42*F45</f>
        <v>-42.010149592000005</v>
      </c>
      <c r="H45" s="26">
        <f t="shared" si="1"/>
        <v>-0.15501487408000258</v>
      </c>
      <c r="I45" s="44">
        <f t="shared" si="2"/>
        <v>3.7036047100245978E-3</v>
      </c>
      <c r="J45" s="44">
        <f t="shared" si="10"/>
        <v>-7.6190476190476197E-2</v>
      </c>
      <c r="K45" s="45"/>
    </row>
    <row r="46" spans="1:11" s="1" customFormat="1" ht="13.5" thickBot="1" x14ac:dyDescent="0.25">
      <c r="A46" s="48" t="s">
        <v>141</v>
      </c>
      <c r="B46" s="49"/>
      <c r="C46" s="50"/>
      <c r="D46" s="50">
        <f>SUM(D44:D45)</f>
        <v>549.34864317270001</v>
      </c>
      <c r="E46" s="50"/>
      <c r="F46" s="50"/>
      <c r="G46" s="50">
        <f>SUM(G44:G45)</f>
        <v>551.38321339499998</v>
      </c>
      <c r="H46" s="50">
        <f t="shared" si="1"/>
        <v>2.0345702222999762</v>
      </c>
      <c r="I46" s="51">
        <f t="shared" si="2"/>
        <v>3.7036047100244929E-3</v>
      </c>
      <c r="J46" s="51">
        <f t="shared" si="10"/>
        <v>1</v>
      </c>
      <c r="K46" s="52"/>
    </row>
    <row r="47" spans="1:11" x14ac:dyDescent="0.2">
      <c r="A47" s="53" t="s">
        <v>142</v>
      </c>
      <c r="B47" s="54"/>
      <c r="C47" s="55"/>
      <c r="D47" s="55">
        <f>SUM(D18,D25,D26,D28,D33,D40,D41)</f>
        <v>508.398756644</v>
      </c>
      <c r="E47" s="55"/>
      <c r="F47" s="55"/>
      <c r="G47" s="55">
        <f>SUM(G18,G25,G26,G28,G33,G40,G41)</f>
        <v>510.33644257000003</v>
      </c>
      <c r="H47" s="55">
        <f>G47-D47</f>
        <v>1.9376859260000288</v>
      </c>
      <c r="I47" s="56">
        <f>IF(ISERROR(H47/D47),0,(H47/D47))</f>
        <v>3.8113506389962902E-3</v>
      </c>
      <c r="J47" s="56"/>
      <c r="K47" s="57">
        <f>G47/$G$51</f>
        <v>0.95238095238095244</v>
      </c>
    </row>
    <row r="48" spans="1:11" x14ac:dyDescent="0.2">
      <c r="A48" s="58" t="s">
        <v>138</v>
      </c>
      <c r="B48" s="59"/>
      <c r="C48" s="31">
        <v>0.13</v>
      </c>
      <c r="D48" s="31">
        <f>D47*C48</f>
        <v>66.091838363720001</v>
      </c>
      <c r="E48" s="31"/>
      <c r="F48" s="31">
        <f>C48</f>
        <v>0.13</v>
      </c>
      <c r="G48" s="31">
        <f>G47*F48</f>
        <v>66.343737534100001</v>
      </c>
      <c r="H48" s="31">
        <f>G48-D48</f>
        <v>0.25189917037999976</v>
      </c>
      <c r="I48" s="32">
        <f>IF(ISERROR(H48/D48),0,(H48/D48))</f>
        <v>3.8113506389962299E-3</v>
      </c>
      <c r="J48" s="32"/>
      <c r="K48" s="60">
        <f>G48/$G$51</f>
        <v>0.12380952380952381</v>
      </c>
    </row>
    <row r="49" spans="1:11" x14ac:dyDescent="0.2">
      <c r="A49" s="141" t="s">
        <v>143</v>
      </c>
      <c r="B49" s="29"/>
      <c r="C49" s="30"/>
      <c r="D49" s="30">
        <f>SUM(D47:D48)</f>
        <v>574.49059500772</v>
      </c>
      <c r="E49" s="30"/>
      <c r="F49" s="30"/>
      <c r="G49" s="30">
        <f>SUM(G47:G48)</f>
        <v>576.68018010410003</v>
      </c>
      <c r="H49" s="30">
        <f>G49-D49</f>
        <v>2.1895850963800285</v>
      </c>
      <c r="I49" s="33">
        <f>IF(ISERROR(H49/D49),0,(H49/D49))</f>
        <v>3.8113506389962832E-3</v>
      </c>
      <c r="J49" s="33"/>
      <c r="K49" s="62">
        <f>G49/$G$51</f>
        <v>1.0761904761904764</v>
      </c>
    </row>
    <row r="50" spans="1:11" x14ac:dyDescent="0.2">
      <c r="A50" s="58" t="s">
        <v>140</v>
      </c>
      <c r="B50" s="59"/>
      <c r="C50" s="31">
        <v>-0.08</v>
      </c>
      <c r="D50" s="31">
        <f>D47*C50</f>
        <v>-40.671900531520002</v>
      </c>
      <c r="E50" s="31"/>
      <c r="F50" s="31">
        <f>C50</f>
        <v>-0.08</v>
      </c>
      <c r="G50" s="31">
        <f>G47*F50</f>
        <v>-40.826915405600005</v>
      </c>
      <c r="H50" s="31">
        <f>G50-D50</f>
        <v>-0.15501487408000258</v>
      </c>
      <c r="I50" s="32">
        <f>IF(ISERROR(H50/D50),0,(H50/D50))</f>
        <v>3.8113506389962967E-3</v>
      </c>
      <c r="J50" s="32"/>
      <c r="K50" s="60">
        <f>G50/$G$51</f>
        <v>-7.6190476190476197E-2</v>
      </c>
    </row>
    <row r="51" spans="1:11" ht="13.5" thickBot="1" x14ac:dyDescent="0.25">
      <c r="A51" s="63" t="s">
        <v>144</v>
      </c>
      <c r="B51" s="64"/>
      <c r="C51" s="65"/>
      <c r="D51" s="65">
        <f>SUM(D49:D50)</f>
        <v>533.81869447619999</v>
      </c>
      <c r="E51" s="65"/>
      <c r="F51" s="65"/>
      <c r="G51" s="65">
        <f>SUM(G49:G50)</f>
        <v>535.85326469849997</v>
      </c>
      <c r="H51" s="65">
        <f>G51-D51</f>
        <v>2.0345702222999762</v>
      </c>
      <c r="I51" s="66">
        <f>IF(ISERROR(H51/D51),0,(H51/D51))</f>
        <v>3.8113506389961891E-3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c r="K64"/>
    </row>
    <row r="65" spans="6:11" x14ac:dyDescent="0.2">
      <c r="F65" s="69"/>
      <c r="K65"/>
    </row>
    <row r="66" spans="6:11" x14ac:dyDescent="0.2">
      <c r="F66" s="69"/>
      <c r="K66"/>
    </row>
    <row r="67" spans="6:11" x14ac:dyDescent="0.2">
      <c r="F67" s="69"/>
      <c r="K67"/>
    </row>
    <row r="68" spans="6:11" x14ac:dyDescent="0.2">
      <c r="F68" s="69"/>
      <c r="K68"/>
    </row>
  </sheetData>
  <mergeCells count="1">
    <mergeCell ref="A1:K1"/>
  </mergeCell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tabColor theme="1" tint="0.499984740745262"/>
    <pageSetUpPr fitToPage="1"/>
  </sheetPr>
  <dimension ref="A1:K68"/>
  <sheetViews>
    <sheetView view="pageBreakPreview" topLeftCell="A19" zoomScaleNormal="100" zoomScaleSheetLayoutView="100" workbookViewId="0">
      <selection activeCell="C19" sqref="C19"/>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48" t="s">
        <v>111</v>
      </c>
      <c r="B1" s="349"/>
      <c r="C1" s="349"/>
      <c r="D1" s="349"/>
      <c r="E1" s="349"/>
      <c r="F1" s="349"/>
      <c r="G1" s="349"/>
      <c r="H1" s="349"/>
      <c r="I1" s="349"/>
      <c r="J1" s="349"/>
      <c r="K1" s="350"/>
    </row>
    <row r="3" spans="1:11" x14ac:dyDescent="0.2">
      <c r="A3" s="13" t="s">
        <v>13</v>
      </c>
      <c r="B3" s="13" t="s">
        <v>89</v>
      </c>
    </row>
    <row r="4" spans="1:11" x14ac:dyDescent="0.2">
      <c r="A4" s="15" t="s">
        <v>62</v>
      </c>
      <c r="B4" s="15">
        <v>15000</v>
      </c>
    </row>
    <row r="5" spans="1:11" x14ac:dyDescent="0.2">
      <c r="A5" s="15" t="s">
        <v>16</v>
      </c>
      <c r="B5" s="15">
        <f>VLOOKUP($B$3,'Data for Bill Impacts'!$A$3:$Y$15,5,0)</f>
        <v>0</v>
      </c>
    </row>
    <row r="6" spans="1:11" x14ac:dyDescent="0.2">
      <c r="A6" s="15" t="s">
        <v>20</v>
      </c>
      <c r="B6" s="15">
        <f>VLOOKUP($B$3,'Data for Bill Impacts'!$A$3:$Y$15,2,0)</f>
        <v>1.0669999999999999</v>
      </c>
    </row>
    <row r="7" spans="1:11" x14ac:dyDescent="0.2">
      <c r="A7" s="15" t="s">
        <v>15</v>
      </c>
      <c r="B7" s="15">
        <f>VLOOKUP($B$3,'Data for Bill Impacts'!$A$3:$Y$15,4,0)</f>
        <v>750</v>
      </c>
    </row>
    <row r="8" spans="1:11" x14ac:dyDescent="0.2">
      <c r="A8" s="15" t="s">
        <v>82</v>
      </c>
      <c r="B8" s="15">
        <f>B4*B6</f>
        <v>16005</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0.10299999999999999</v>
      </c>
      <c r="D12" s="104">
        <f>B12*C12</f>
        <v>77.25</v>
      </c>
      <c r="E12" s="102">
        <f>B12</f>
        <v>750</v>
      </c>
      <c r="F12" s="103">
        <f>C12</f>
        <v>0.10299999999999999</v>
      </c>
      <c r="G12" s="104">
        <f>E12*F12</f>
        <v>77.25</v>
      </c>
      <c r="H12" s="104">
        <f>G12-D12</f>
        <v>0</v>
      </c>
      <c r="I12" s="105">
        <f>IF(ISERROR(H12/D12),0,(H12/D12))</f>
        <v>0</v>
      </c>
      <c r="J12" s="105">
        <f>G12/$G$46</f>
        <v>2.6307064588517538E-2</v>
      </c>
      <c r="K12" s="106"/>
    </row>
    <row r="13" spans="1:11" x14ac:dyDescent="0.2">
      <c r="A13" s="107" t="s">
        <v>32</v>
      </c>
      <c r="B13" s="73">
        <f>IF(B4&gt;B7,(B4)-B7,0)</f>
        <v>14250</v>
      </c>
      <c r="C13" s="21">
        <v>0.121</v>
      </c>
      <c r="D13" s="22">
        <f>B13*C13</f>
        <v>1724.25</v>
      </c>
      <c r="E13" s="73">
        <f t="shared" ref="E13" si="0">B13</f>
        <v>14250</v>
      </c>
      <c r="F13" s="21">
        <f>C13</f>
        <v>0.121</v>
      </c>
      <c r="G13" s="22">
        <f>E13*F13</f>
        <v>1724.25</v>
      </c>
      <c r="H13" s="22">
        <f t="shared" ref="H13:H46" si="1">G13-D13</f>
        <v>0</v>
      </c>
      <c r="I13" s="23">
        <f t="shared" ref="I13:I46" si="2">IF(ISERROR(H13/D13),0,(H13/D13))</f>
        <v>0</v>
      </c>
      <c r="J13" s="23">
        <f>G13/$G$46</f>
        <v>0.58718389795147397</v>
      </c>
      <c r="K13" s="108"/>
    </row>
    <row r="14" spans="1:11" s="1" customFormat="1" x14ac:dyDescent="0.2">
      <c r="A14" s="46" t="s">
        <v>33</v>
      </c>
      <c r="B14" s="24"/>
      <c r="C14" s="25"/>
      <c r="D14" s="25">
        <f>SUM(D12:D13)</f>
        <v>1801.5</v>
      </c>
      <c r="E14" s="76"/>
      <c r="F14" s="25"/>
      <c r="G14" s="25">
        <f>SUM(G12:G13)</f>
        <v>1801.5</v>
      </c>
      <c r="H14" s="25">
        <f t="shared" si="1"/>
        <v>0</v>
      </c>
      <c r="I14" s="27">
        <f t="shared" si="2"/>
        <v>0</v>
      </c>
      <c r="J14" s="27">
        <f>G14/$G$46</f>
        <v>0.61349096253999158</v>
      </c>
      <c r="K14" s="108"/>
    </row>
    <row r="15" spans="1:11" s="1" customFormat="1" x14ac:dyDescent="0.2">
      <c r="A15" s="109" t="s">
        <v>34</v>
      </c>
      <c r="B15" s="75">
        <f>B4*0.65</f>
        <v>9750</v>
      </c>
      <c r="C15" s="28">
        <v>8.6999999999999994E-2</v>
      </c>
      <c r="D15" s="22">
        <f>B15*C15</f>
        <v>848.24999999999989</v>
      </c>
      <c r="E15" s="73">
        <f t="shared" ref="E15:F17" si="3">B15</f>
        <v>9750</v>
      </c>
      <c r="F15" s="28">
        <f t="shared" si="3"/>
        <v>8.6999999999999994E-2</v>
      </c>
      <c r="G15" s="22">
        <f>E15*F15</f>
        <v>848.24999999999989</v>
      </c>
      <c r="H15" s="22">
        <f t="shared" si="1"/>
        <v>0</v>
      </c>
      <c r="I15" s="23">
        <f t="shared" si="2"/>
        <v>0</v>
      </c>
      <c r="J15" s="23"/>
      <c r="K15" s="108">
        <f t="shared" ref="K15:K26" si="4">G15/$G$51</f>
        <v>0.30412489925056008</v>
      </c>
    </row>
    <row r="16" spans="1:11" s="1" customFormat="1" x14ac:dyDescent="0.2">
      <c r="A16" s="109" t="s">
        <v>35</v>
      </c>
      <c r="B16" s="75">
        <f>B4*0.17</f>
        <v>2550</v>
      </c>
      <c r="C16" s="28">
        <v>0.13200000000000001</v>
      </c>
      <c r="D16" s="22">
        <f>B16*C16</f>
        <v>336.6</v>
      </c>
      <c r="E16" s="73">
        <f t="shared" si="3"/>
        <v>2550</v>
      </c>
      <c r="F16" s="28">
        <f t="shared" si="3"/>
        <v>0.13200000000000001</v>
      </c>
      <c r="G16" s="22">
        <f>E16*F16</f>
        <v>336.6</v>
      </c>
      <c r="H16" s="22">
        <f t="shared" si="1"/>
        <v>0</v>
      </c>
      <c r="I16" s="23">
        <f t="shared" si="2"/>
        <v>0</v>
      </c>
      <c r="J16" s="23"/>
      <c r="K16" s="108">
        <f t="shared" si="4"/>
        <v>0.12068192288563342</v>
      </c>
    </row>
    <row r="17" spans="1:11" s="1" customFormat="1" x14ac:dyDescent="0.2">
      <c r="A17" s="109" t="s">
        <v>36</v>
      </c>
      <c r="B17" s="75">
        <f>B4*0.18</f>
        <v>2700</v>
      </c>
      <c r="C17" s="28">
        <v>0.18</v>
      </c>
      <c r="D17" s="22">
        <f>B17*C17</f>
        <v>486</v>
      </c>
      <c r="E17" s="73">
        <f t="shared" si="3"/>
        <v>2700</v>
      </c>
      <c r="F17" s="28">
        <f t="shared" si="3"/>
        <v>0.18</v>
      </c>
      <c r="G17" s="22">
        <f>E17*F17</f>
        <v>486</v>
      </c>
      <c r="H17" s="22">
        <f t="shared" si="1"/>
        <v>0</v>
      </c>
      <c r="I17" s="23">
        <f t="shared" si="2"/>
        <v>0</v>
      </c>
      <c r="J17" s="23"/>
      <c r="K17" s="108">
        <f t="shared" si="4"/>
        <v>0.17424662662631563</v>
      </c>
    </row>
    <row r="18" spans="1:11" s="1" customFormat="1" x14ac:dyDescent="0.2">
      <c r="A18" s="61" t="s">
        <v>37</v>
      </c>
      <c r="B18" s="29"/>
      <c r="C18" s="30"/>
      <c r="D18" s="30">
        <f>SUM(D15:D17)</f>
        <v>1670.85</v>
      </c>
      <c r="E18" s="77"/>
      <c r="F18" s="30"/>
      <c r="G18" s="30">
        <f>SUM(G15:G17)</f>
        <v>1670.85</v>
      </c>
      <c r="H18" s="31">
        <f t="shared" si="1"/>
        <v>0</v>
      </c>
      <c r="I18" s="32">
        <f t="shared" si="2"/>
        <v>0</v>
      </c>
      <c r="J18" s="33">
        <f t="shared" ref="J18:J23" si="5">G18/$G$46</f>
        <v>0.56899882029416859</v>
      </c>
      <c r="K18" s="62">
        <f t="shared" si="4"/>
        <v>0.5990534487625091</v>
      </c>
    </row>
    <row r="19" spans="1:11" x14ac:dyDescent="0.2">
      <c r="A19" s="107" t="s">
        <v>38</v>
      </c>
      <c r="B19" s="73">
        <v>1</v>
      </c>
      <c r="C19" s="78">
        <f>VLOOKUP($B$3,'Data for Bill Impacts'!$A$3:$Y$15,7,0)</f>
        <v>25.11</v>
      </c>
      <c r="D19" s="22">
        <f>B19*C19</f>
        <v>25.11</v>
      </c>
      <c r="E19" s="73">
        <f t="shared" ref="E19:E41" si="6">B19</f>
        <v>1</v>
      </c>
      <c r="F19" s="78">
        <f>VLOOKUP($B$3,'Data for Bill Impacts'!$A$3:$Y$15,17,0)</f>
        <v>25.6</v>
      </c>
      <c r="G19" s="22">
        <f>E19*F19</f>
        <v>25.6</v>
      </c>
      <c r="H19" s="22">
        <f t="shared" si="1"/>
        <v>0.49000000000000199</v>
      </c>
      <c r="I19" s="23">
        <f t="shared" si="2"/>
        <v>1.9514137793707767E-2</v>
      </c>
      <c r="J19" s="23">
        <f t="shared" si="5"/>
        <v>8.7179398506931904E-3</v>
      </c>
      <c r="K19" s="108">
        <f t="shared" si="4"/>
        <v>9.1784231309334982E-3</v>
      </c>
    </row>
    <row r="20" spans="1:11" hidden="1" x14ac:dyDescent="0.2">
      <c r="A20" s="107" t="s">
        <v>83</v>
      </c>
      <c r="B20" s="73">
        <v>1</v>
      </c>
      <c r="C20" s="78">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84</v>
      </c>
      <c r="B21" s="73">
        <v>1</v>
      </c>
      <c r="C21" s="78">
        <v>0</v>
      </c>
      <c r="D21" s="22">
        <f t="shared" ref="D21:D22" si="8">B21*C21</f>
        <v>0</v>
      </c>
      <c r="E21" s="73">
        <f t="shared" si="6"/>
        <v>1</v>
      </c>
      <c r="F21" s="122">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0.01</v>
      </c>
      <c r="D22" s="22">
        <f t="shared" si="8"/>
        <v>0.01</v>
      </c>
      <c r="E22" s="73">
        <f t="shared" si="6"/>
        <v>1</v>
      </c>
      <c r="F22" s="122">
        <f>VLOOKUP($B$3,'Data for Bill Impacts'!$A$3:$Y$15,22,0)</f>
        <v>0.01</v>
      </c>
      <c r="G22" s="22">
        <f t="shared" si="7"/>
        <v>0.01</v>
      </c>
      <c r="H22" s="22">
        <f t="shared" si="1"/>
        <v>0</v>
      </c>
      <c r="I22" s="23">
        <f t="shared" si="2"/>
        <v>0</v>
      </c>
      <c r="J22" s="23">
        <f t="shared" si="5"/>
        <v>3.4054452541770279E-6</v>
      </c>
      <c r="K22" s="108">
        <f t="shared" si="4"/>
        <v>3.5853215355208974E-6</v>
      </c>
    </row>
    <row r="23" spans="1:11" x14ac:dyDescent="0.2">
      <c r="A23" s="107" t="s">
        <v>39</v>
      </c>
      <c r="B23" s="73">
        <f>IF($B$9="kWh",$B$4,$B$5)</f>
        <v>15000</v>
      </c>
      <c r="C23" s="126">
        <f>VLOOKUP($B$3,'Data for Bill Impacts'!$A$3:$Y$15,10,0)</f>
        <v>0.03</v>
      </c>
      <c r="D23" s="22">
        <f>B23*C23</f>
        <v>450</v>
      </c>
      <c r="E23" s="73">
        <f t="shared" si="6"/>
        <v>15000</v>
      </c>
      <c r="F23" s="78">
        <f>VLOOKUP($B$3,'Data for Bill Impacts'!$A$3:$Y$15,19,0)</f>
        <v>3.0800000000000001E-2</v>
      </c>
      <c r="G23" s="22">
        <f>E23*F23</f>
        <v>462</v>
      </c>
      <c r="H23" s="22">
        <f t="shared" si="1"/>
        <v>12</v>
      </c>
      <c r="I23" s="23">
        <f t="shared" si="2"/>
        <v>2.6666666666666668E-2</v>
      </c>
      <c r="J23" s="23">
        <f t="shared" si="5"/>
        <v>0.15733157074297868</v>
      </c>
      <c r="K23" s="108">
        <f t="shared" si="4"/>
        <v>0.16564185494106545</v>
      </c>
    </row>
    <row r="24" spans="1:11" x14ac:dyDescent="0.2">
      <c r="A24" s="107" t="s">
        <v>194</v>
      </c>
      <c r="B24" s="73">
        <f>IF($B$9="kWh",$B$4,$B$5)</f>
        <v>15000</v>
      </c>
      <c r="C24" s="126">
        <f>VLOOKUP($B$3,'Data for Bill Impacts'!$A$3:$Y$15,14,0)</f>
        <v>2.0000000000000001E-4</v>
      </c>
      <c r="D24" s="34">
        <f>B24*C24</f>
        <v>3</v>
      </c>
      <c r="E24" s="73">
        <f t="shared" si="6"/>
        <v>15000</v>
      </c>
      <c r="F24" s="126">
        <f>VLOOKUP($B$3,'Data for Bill Impacts'!$A$3:$Y$15,23,0)</f>
        <v>2.0000000000000001E-4</v>
      </c>
      <c r="G24" s="34">
        <f>E24*F24</f>
        <v>3</v>
      </c>
      <c r="H24" s="22">
        <f t="shared" si="1"/>
        <v>0</v>
      </c>
      <c r="I24" s="23">
        <f>IF(ISERROR(H24/D24),0,(H24/D24))</f>
        <v>0</v>
      </c>
      <c r="J24" s="23">
        <f t="shared" ref="J24" si="9">G24/$G$46</f>
        <v>1.0216335762531083E-3</v>
      </c>
      <c r="K24" s="108">
        <f t="shared" si="4"/>
        <v>1.0755964606562693E-3</v>
      </c>
    </row>
    <row r="25" spans="1:11" s="1" customFormat="1" x14ac:dyDescent="0.2">
      <c r="A25" s="110" t="s">
        <v>72</v>
      </c>
      <c r="B25" s="74"/>
      <c r="C25" s="35"/>
      <c r="D25" s="35">
        <f>SUM(D19:D24)</f>
        <v>478.12</v>
      </c>
      <c r="E25" s="73"/>
      <c r="F25" s="35"/>
      <c r="G25" s="35">
        <f>SUM(G19:G24)</f>
        <v>490.61</v>
      </c>
      <c r="H25" s="35">
        <f t="shared" si="1"/>
        <v>12.490000000000009</v>
      </c>
      <c r="I25" s="36">
        <f t="shared" si="2"/>
        <v>2.6123149000251002E-2</v>
      </c>
      <c r="J25" s="36">
        <f>G25/$G$46</f>
        <v>0.16707454961517915</v>
      </c>
      <c r="K25" s="111">
        <f t="shared" si="4"/>
        <v>0.17589945985419075</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G26/$G$46</f>
        <v>2.690301750799852E-4</v>
      </c>
      <c r="K26" s="108">
        <f t="shared" si="4"/>
        <v>2.8324040130615094E-4</v>
      </c>
    </row>
    <row r="27" spans="1:11" s="1" customFormat="1" x14ac:dyDescent="0.2">
      <c r="A27" s="119" t="s">
        <v>75</v>
      </c>
      <c r="B27" s="120">
        <f>B8-B4</f>
        <v>1005</v>
      </c>
      <c r="C27" s="121">
        <f>IF(B4&gt;B7,C13,C12)</f>
        <v>0.121</v>
      </c>
      <c r="D27" s="22">
        <f>B27*C27</f>
        <v>121.60499999999999</v>
      </c>
      <c r="E27" s="73">
        <f>B27</f>
        <v>1005</v>
      </c>
      <c r="F27" s="121">
        <f>C27</f>
        <v>0.121</v>
      </c>
      <c r="G27" s="22">
        <f>E27*F27</f>
        <v>121.60499999999999</v>
      </c>
      <c r="H27" s="22">
        <f t="shared" si="1"/>
        <v>0</v>
      </c>
      <c r="I27" s="23">
        <f>IF(ISERROR(H27/D27),0,(H27/D27))</f>
        <v>0</v>
      </c>
      <c r="J27" s="23">
        <f t="shared" ref="J27:J46" si="10">G27/$G$46</f>
        <v>4.1411917013419744E-2</v>
      </c>
      <c r="K27" s="108">
        <f t="shared" ref="K27:K41" si="11">G27/$G$51</f>
        <v>4.3599302532701868E-2</v>
      </c>
    </row>
    <row r="28" spans="1:11" s="1" customFormat="1" x14ac:dyDescent="0.2">
      <c r="A28" s="119" t="s">
        <v>74</v>
      </c>
      <c r="B28" s="120">
        <f>B8-B4</f>
        <v>1005</v>
      </c>
      <c r="C28" s="121">
        <f>0.65*C15+0.17*C16+0.18*C17</f>
        <v>0.11139</v>
      </c>
      <c r="D28" s="22">
        <f>B28*C28</f>
        <v>111.94695</v>
      </c>
      <c r="E28" s="73">
        <f>B28</f>
        <v>1005</v>
      </c>
      <c r="F28" s="121">
        <f>C28</f>
        <v>0.11139</v>
      </c>
      <c r="G28" s="22">
        <f>E28*F28</f>
        <v>111.94695</v>
      </c>
      <c r="H28" s="22">
        <f t="shared" si="1"/>
        <v>0</v>
      </c>
      <c r="I28" s="23">
        <f>IF(ISERROR(H28/D28),0,(H28/D28))</f>
        <v>0</v>
      </c>
      <c r="J28" s="23">
        <f t="shared" si="10"/>
        <v>3.8122920959709303E-2</v>
      </c>
      <c r="K28" s="108">
        <f t="shared" si="11"/>
        <v>4.0136581067088117E-2</v>
      </c>
    </row>
    <row r="29" spans="1:11" s="1" customFormat="1" x14ac:dyDescent="0.2">
      <c r="A29" s="110" t="s">
        <v>78</v>
      </c>
      <c r="B29" s="74"/>
      <c r="C29" s="35"/>
      <c r="D29" s="35">
        <f>SUM(D25,D26:D27)</f>
        <v>600.51499999999999</v>
      </c>
      <c r="E29" s="73"/>
      <c r="F29" s="35"/>
      <c r="G29" s="35">
        <f>SUM(G25,G26:G27)</f>
        <v>613.005</v>
      </c>
      <c r="H29" s="35">
        <f t="shared" si="1"/>
        <v>12.490000000000009</v>
      </c>
      <c r="I29" s="36">
        <f>IF(ISERROR(H29/D29),0,(H29/D29))</f>
        <v>2.0798814351015393E-2</v>
      </c>
      <c r="J29" s="36">
        <f t="shared" si="10"/>
        <v>0.20875549680367889</v>
      </c>
      <c r="K29" s="111">
        <f t="shared" si="11"/>
        <v>0.21978200278819879</v>
      </c>
    </row>
    <row r="30" spans="1:11" s="1" customFormat="1" x14ac:dyDescent="0.2">
      <c r="A30" s="110" t="s">
        <v>77</v>
      </c>
      <c r="B30" s="74"/>
      <c r="C30" s="35"/>
      <c r="D30" s="35">
        <f>SUM(D25,D26,D28)</f>
        <v>590.85694999999998</v>
      </c>
      <c r="E30" s="73"/>
      <c r="F30" s="35"/>
      <c r="G30" s="35">
        <f>SUM(G25,G26,G28)</f>
        <v>603.34694999999999</v>
      </c>
      <c r="H30" s="35">
        <f t="shared" si="1"/>
        <v>12.490000000000009</v>
      </c>
      <c r="I30" s="36">
        <f>IF(ISERROR(H30/D30),0,(H30/D30))</f>
        <v>2.1138788331084214E-2</v>
      </c>
      <c r="J30" s="36">
        <f t="shared" si="10"/>
        <v>0.20546650074996844</v>
      </c>
      <c r="K30" s="111">
        <f t="shared" si="11"/>
        <v>0.21631928132258502</v>
      </c>
    </row>
    <row r="31" spans="1:11" x14ac:dyDescent="0.2">
      <c r="A31" s="107" t="s">
        <v>40</v>
      </c>
      <c r="B31" s="73">
        <f>B8</f>
        <v>16005</v>
      </c>
      <c r="C31" s="126">
        <f>VLOOKUP($B$3,'Data for Bill Impacts'!$A$3:$Y$15,15,0)</f>
        <v>6.1060000000000003E-3</v>
      </c>
      <c r="D31" s="22">
        <f>B31*C31</f>
        <v>97.726530000000011</v>
      </c>
      <c r="E31" s="73">
        <f t="shared" si="6"/>
        <v>16005</v>
      </c>
      <c r="F31" s="78">
        <f>VLOOKUP($B$3,'Data for Bill Impacts'!$A$3:$Y$15,24,0)</f>
        <v>5.7999999999999996E-3</v>
      </c>
      <c r="G31" s="22">
        <f>E31*F31</f>
        <v>92.828999999999994</v>
      </c>
      <c r="H31" s="22">
        <f t="shared" si="1"/>
        <v>-4.8975300000000175</v>
      </c>
      <c r="I31" s="23">
        <f t="shared" si="2"/>
        <v>-5.0114641336390611E-2</v>
      </c>
      <c r="J31" s="23">
        <f t="shared" si="10"/>
        <v>3.1612407749999925E-2</v>
      </c>
      <c r="K31" s="108">
        <f t="shared" si="11"/>
        <v>3.3282181282086938E-2</v>
      </c>
    </row>
    <row r="32" spans="1:11" x14ac:dyDescent="0.2">
      <c r="A32" s="107" t="s">
        <v>41</v>
      </c>
      <c r="B32" s="73">
        <f>B8</f>
        <v>16005</v>
      </c>
      <c r="C32" s="126">
        <f>VLOOKUP($B$3,'Data for Bill Impacts'!$A$3:$Y$15,16,0)</f>
        <v>4.6519999999999999E-3</v>
      </c>
      <c r="D32" s="22">
        <f>B32*C32</f>
        <v>74.455259999999996</v>
      </c>
      <c r="E32" s="73">
        <f t="shared" si="6"/>
        <v>16005</v>
      </c>
      <c r="F32" s="78">
        <f>VLOOKUP($B$3,'Data for Bill Impacts'!$A$3:$Y$15,25,0)</f>
        <v>4.7000000000000002E-3</v>
      </c>
      <c r="G32" s="22">
        <f>E32*F32</f>
        <v>75.223500000000001</v>
      </c>
      <c r="H32" s="22">
        <f t="shared" si="1"/>
        <v>0.76824000000000581</v>
      </c>
      <c r="I32" s="23">
        <f t="shared" si="2"/>
        <v>1.0318142734307903E-2</v>
      </c>
      <c r="J32" s="23">
        <f t="shared" si="10"/>
        <v>2.5616951107758565E-2</v>
      </c>
      <c r="K32" s="108">
        <f t="shared" si="11"/>
        <v>2.6970043452725623E-2</v>
      </c>
    </row>
    <row r="33" spans="1:11" s="1" customFormat="1" x14ac:dyDescent="0.2">
      <c r="A33" s="110" t="s">
        <v>76</v>
      </c>
      <c r="B33" s="74"/>
      <c r="C33" s="35"/>
      <c r="D33" s="35">
        <f>SUM(D31:D32)</f>
        <v>172.18179000000001</v>
      </c>
      <c r="E33" s="73"/>
      <c r="F33" s="35"/>
      <c r="G33" s="35">
        <f>SUM(G31:G32)</f>
        <v>168.05250000000001</v>
      </c>
      <c r="H33" s="35">
        <f t="shared" si="1"/>
        <v>-4.1292899999999975</v>
      </c>
      <c r="I33" s="36">
        <f t="shared" si="2"/>
        <v>-2.3982152816508628E-2</v>
      </c>
      <c r="J33" s="36">
        <f t="shared" si="10"/>
        <v>5.7229358857758497E-2</v>
      </c>
      <c r="K33" s="111">
        <f t="shared" si="11"/>
        <v>6.0252224734812565E-2</v>
      </c>
    </row>
    <row r="34" spans="1:11" s="1" customFormat="1" ht="13.5" customHeight="1" x14ac:dyDescent="0.2">
      <c r="A34" s="110" t="s">
        <v>95</v>
      </c>
      <c r="B34" s="74"/>
      <c r="C34" s="35"/>
      <c r="D34" s="35">
        <f>D29+D33</f>
        <v>772.69678999999996</v>
      </c>
      <c r="E34" s="73"/>
      <c r="F34" s="35"/>
      <c r="G34" s="35">
        <f>G29+G33</f>
        <v>781.0575</v>
      </c>
      <c r="H34" s="35">
        <f t="shared" si="1"/>
        <v>8.3607100000000401</v>
      </c>
      <c r="I34" s="36">
        <f t="shared" si="2"/>
        <v>1.0820169189521339E-2</v>
      </c>
      <c r="J34" s="36">
        <f t="shared" si="10"/>
        <v>0.26598485566143737</v>
      </c>
      <c r="K34" s="111">
        <f t="shared" si="11"/>
        <v>0.28003422752301133</v>
      </c>
    </row>
    <row r="35" spans="1:11" s="1" customFormat="1" ht="13.5" customHeight="1" x14ac:dyDescent="0.2">
      <c r="A35" s="110" t="s">
        <v>96</v>
      </c>
      <c r="B35" s="74"/>
      <c r="C35" s="35"/>
      <c r="D35" s="35">
        <f>D30+D33</f>
        <v>763.03873999999996</v>
      </c>
      <c r="E35" s="73"/>
      <c r="F35" s="35"/>
      <c r="G35" s="35">
        <f>G30+G33</f>
        <v>771.39945</v>
      </c>
      <c r="H35" s="35">
        <f t="shared" si="1"/>
        <v>8.3607100000000401</v>
      </c>
      <c r="I35" s="36">
        <f t="shared" si="2"/>
        <v>1.0957123880761336E-2</v>
      </c>
      <c r="J35" s="36">
        <f t="shared" si="10"/>
        <v>0.26269585960772696</v>
      </c>
      <c r="K35" s="111">
        <f t="shared" si="11"/>
        <v>0.27657150605739755</v>
      </c>
    </row>
    <row r="36" spans="1:11" x14ac:dyDescent="0.2">
      <c r="A36" s="107" t="s">
        <v>42</v>
      </c>
      <c r="B36" s="73">
        <f>B8</f>
        <v>16005</v>
      </c>
      <c r="C36" s="34">
        <v>3.5999999999999999E-3</v>
      </c>
      <c r="D36" s="22">
        <f>B36*C36</f>
        <v>57.617999999999995</v>
      </c>
      <c r="E36" s="73">
        <f t="shared" si="6"/>
        <v>16005</v>
      </c>
      <c r="F36" s="34">
        <v>3.5999999999999999E-3</v>
      </c>
      <c r="G36" s="22">
        <f>E36*F36</f>
        <v>57.617999999999995</v>
      </c>
      <c r="H36" s="22">
        <f t="shared" si="1"/>
        <v>0</v>
      </c>
      <c r="I36" s="23">
        <f t="shared" si="2"/>
        <v>0</v>
      </c>
      <c r="J36" s="23">
        <f t="shared" si="10"/>
        <v>1.9621494465517197E-2</v>
      </c>
      <c r="K36" s="108">
        <f t="shared" si="11"/>
        <v>2.0657905623364305E-2</v>
      </c>
    </row>
    <row r="37" spans="1:11" x14ac:dyDescent="0.2">
      <c r="A37" s="107" t="s">
        <v>43</v>
      </c>
      <c r="B37" s="73">
        <f>B8</f>
        <v>16005</v>
      </c>
      <c r="C37" s="34">
        <v>2.0999999999999999E-3</v>
      </c>
      <c r="D37" s="22">
        <f>B37*C37</f>
        <v>33.610499999999995</v>
      </c>
      <c r="E37" s="73">
        <f t="shared" si="6"/>
        <v>16005</v>
      </c>
      <c r="F37" s="34">
        <v>2.0999999999999999E-3</v>
      </c>
      <c r="G37" s="22">
        <f>E37*F37</f>
        <v>33.610499999999995</v>
      </c>
      <c r="H37" s="22">
        <f>G37-D37</f>
        <v>0</v>
      </c>
      <c r="I37" s="23">
        <f t="shared" si="2"/>
        <v>0</v>
      </c>
      <c r="J37" s="23">
        <f t="shared" si="10"/>
        <v>1.1445871771551697E-2</v>
      </c>
      <c r="K37" s="108">
        <f t="shared" si="11"/>
        <v>1.2050444946962511E-2</v>
      </c>
    </row>
    <row r="38" spans="1:11" x14ac:dyDescent="0.2">
      <c r="A38" s="107" t="s">
        <v>100</v>
      </c>
      <c r="B38" s="73">
        <f>B8</f>
        <v>16005</v>
      </c>
      <c r="C38" s="34">
        <v>1.1000000000000001E-3</v>
      </c>
      <c r="D38" s="22">
        <f>B38*C38</f>
        <v>17.605500000000003</v>
      </c>
      <c r="E38" s="73">
        <f t="shared" si="6"/>
        <v>16005</v>
      </c>
      <c r="F38" s="34">
        <v>1.1000000000000001E-3</v>
      </c>
      <c r="G38" s="22">
        <f>E38*F38</f>
        <v>17.605500000000003</v>
      </c>
      <c r="H38" s="22">
        <f>G38-D38</f>
        <v>0</v>
      </c>
      <c r="I38" s="23">
        <f t="shared" ref="I38" si="12">IF(ISERROR(H38/D38),0,(H38/D38))</f>
        <v>0</v>
      </c>
      <c r="J38" s="23">
        <f t="shared" ref="J38" si="13">G38/$G$46</f>
        <v>5.9954566422413666E-3</v>
      </c>
      <c r="K38" s="108">
        <f t="shared" ref="K38" si="14">G38/$G$51</f>
        <v>6.3121378293613173E-3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10"/>
        <v>8.5136131354425688E-5</v>
      </c>
      <c r="K39" s="108">
        <f t="shared" si="11"/>
        <v>8.9633038388022443E-5</v>
      </c>
    </row>
    <row r="40" spans="1:11" s="1" customFormat="1" x14ac:dyDescent="0.2">
      <c r="A40" s="110" t="s">
        <v>45</v>
      </c>
      <c r="B40" s="74"/>
      <c r="C40" s="35"/>
      <c r="D40" s="35">
        <f>SUM(D36:D39)</f>
        <v>109.084</v>
      </c>
      <c r="E40" s="73"/>
      <c r="F40" s="35"/>
      <c r="G40" s="35">
        <f>SUM(G36:G39)</f>
        <v>109.084</v>
      </c>
      <c r="H40" s="35">
        <f t="shared" si="1"/>
        <v>0</v>
      </c>
      <c r="I40" s="36">
        <f t="shared" si="2"/>
        <v>0</v>
      </c>
      <c r="J40" s="36">
        <f t="shared" si="10"/>
        <v>3.7147959010664693E-2</v>
      </c>
      <c r="K40" s="111">
        <f t="shared" si="11"/>
        <v>3.9110121438076156E-2</v>
      </c>
    </row>
    <row r="41" spans="1:11" s="1" customFormat="1" ht="13.5" thickBot="1" x14ac:dyDescent="0.25">
      <c r="A41" s="112" t="s">
        <v>46</v>
      </c>
      <c r="B41" s="113">
        <f>B4</f>
        <v>15000</v>
      </c>
      <c r="C41" s="114">
        <v>7.0000000000000001E-3</v>
      </c>
      <c r="D41" s="115">
        <f>B41*C41</f>
        <v>105</v>
      </c>
      <c r="E41" s="116">
        <f t="shared" si="6"/>
        <v>15000</v>
      </c>
      <c r="F41" s="114">
        <f>C41</f>
        <v>7.0000000000000001E-3</v>
      </c>
      <c r="G41" s="115">
        <f>E41*F41</f>
        <v>105</v>
      </c>
      <c r="H41" s="115">
        <f t="shared" si="1"/>
        <v>0</v>
      </c>
      <c r="I41" s="117">
        <f t="shared" si="2"/>
        <v>0</v>
      </c>
      <c r="J41" s="117">
        <f t="shared" si="10"/>
        <v>3.575717516885879E-2</v>
      </c>
      <c r="K41" s="118">
        <f t="shared" si="11"/>
        <v>3.7645876122969421E-2</v>
      </c>
    </row>
    <row r="42" spans="1:11" s="1" customFormat="1" x14ac:dyDescent="0.2">
      <c r="A42" s="37" t="s">
        <v>137</v>
      </c>
      <c r="B42" s="38"/>
      <c r="C42" s="39"/>
      <c r="D42" s="39">
        <f>SUM(D14,D25,D26,D27,D33,D40,D41)</f>
        <v>2788.2807899999998</v>
      </c>
      <c r="E42" s="38"/>
      <c r="F42" s="39"/>
      <c r="G42" s="39">
        <f>SUM(G14,G25,G26,G27,G33,G40,G41)</f>
        <v>2796.6414999999997</v>
      </c>
      <c r="H42" s="39">
        <f t="shared" si="1"/>
        <v>8.3607099999999264</v>
      </c>
      <c r="I42" s="40">
        <f>IF(ISERROR(H42/D42),0,(H42/D42))</f>
        <v>2.998517950554014E-3</v>
      </c>
      <c r="J42" s="40">
        <f t="shared" si="10"/>
        <v>0.95238095238095233</v>
      </c>
      <c r="K42" s="41"/>
    </row>
    <row r="43" spans="1:11" x14ac:dyDescent="0.2">
      <c r="A43" s="150" t="s">
        <v>138</v>
      </c>
      <c r="B43" s="43"/>
      <c r="C43" s="26">
        <v>0.13</v>
      </c>
      <c r="D43" s="26">
        <f>D42*C43</f>
        <v>362.47650269999997</v>
      </c>
      <c r="E43" s="26"/>
      <c r="F43" s="26">
        <f>C43</f>
        <v>0.13</v>
      </c>
      <c r="G43" s="26">
        <f>G42*F43</f>
        <v>363.56339499999996</v>
      </c>
      <c r="H43" s="26">
        <f t="shared" si="1"/>
        <v>1.0868922999999882</v>
      </c>
      <c r="I43" s="44">
        <f t="shared" si="2"/>
        <v>2.9985179505540079E-3</v>
      </c>
      <c r="J43" s="44">
        <f t="shared" si="10"/>
        <v>0.1238095238095238</v>
      </c>
      <c r="K43" s="45"/>
    </row>
    <row r="44" spans="1:11" s="1" customFormat="1" x14ac:dyDescent="0.2">
      <c r="A44" s="46" t="s">
        <v>139</v>
      </c>
      <c r="B44" s="24"/>
      <c r="C44" s="25"/>
      <c r="D44" s="25">
        <f>SUM(D42:D43)</f>
        <v>3150.7572926999997</v>
      </c>
      <c r="E44" s="25"/>
      <c r="F44" s="25"/>
      <c r="G44" s="25">
        <f>SUM(G42:G43)</f>
        <v>3160.2048949999999</v>
      </c>
      <c r="H44" s="25">
        <f t="shared" si="1"/>
        <v>9.4476023000001987</v>
      </c>
      <c r="I44" s="27">
        <f t="shared" si="2"/>
        <v>2.9985179505541038E-3</v>
      </c>
      <c r="J44" s="27">
        <f t="shared" si="10"/>
        <v>1.0761904761904761</v>
      </c>
      <c r="K44" s="47"/>
    </row>
    <row r="45" spans="1:11" x14ac:dyDescent="0.2">
      <c r="A45" s="42" t="s">
        <v>140</v>
      </c>
      <c r="B45" s="43"/>
      <c r="C45" s="26">
        <v>-0.08</v>
      </c>
      <c r="D45" s="26">
        <f>D42*C45</f>
        <v>-223.0624632</v>
      </c>
      <c r="E45" s="26"/>
      <c r="F45" s="26">
        <f>C45</f>
        <v>-0.08</v>
      </c>
      <c r="G45" s="26">
        <f>G42*F45</f>
        <v>-223.73131999999998</v>
      </c>
      <c r="H45" s="26">
        <f t="shared" si="1"/>
        <v>-0.66885679999998615</v>
      </c>
      <c r="I45" s="44">
        <f t="shared" si="2"/>
        <v>2.998517950553978E-3</v>
      </c>
      <c r="J45" s="44">
        <f t="shared" si="10"/>
        <v>-7.6190476190476183E-2</v>
      </c>
      <c r="K45" s="45"/>
    </row>
    <row r="46" spans="1:11" s="1" customFormat="1" ht="13.5" thickBot="1" x14ac:dyDescent="0.25">
      <c r="A46" s="48" t="s">
        <v>141</v>
      </c>
      <c r="B46" s="49"/>
      <c r="C46" s="50"/>
      <c r="D46" s="50">
        <f>SUM(D44:D45)</f>
        <v>2927.6948294999997</v>
      </c>
      <c r="E46" s="50"/>
      <c r="F46" s="50"/>
      <c r="G46" s="50">
        <f>SUM(G44:G45)</f>
        <v>2936.473575</v>
      </c>
      <c r="H46" s="50">
        <f t="shared" si="1"/>
        <v>8.778745500000241</v>
      </c>
      <c r="I46" s="51">
        <f t="shared" si="2"/>
        <v>2.9985179505541228E-3</v>
      </c>
      <c r="J46" s="51">
        <f t="shared" si="10"/>
        <v>1</v>
      </c>
      <c r="K46" s="52"/>
    </row>
    <row r="47" spans="1:11" x14ac:dyDescent="0.2">
      <c r="A47" s="53" t="s">
        <v>142</v>
      </c>
      <c r="B47" s="54"/>
      <c r="C47" s="55"/>
      <c r="D47" s="55">
        <f>SUM(D18,D25,D26,D28,D33,D40,D41)</f>
        <v>2647.9727399999997</v>
      </c>
      <c r="E47" s="55"/>
      <c r="F47" s="55"/>
      <c r="G47" s="55">
        <f>SUM(G18,G25,G26,G28,G33,G40,G41)</f>
        <v>2656.3334500000001</v>
      </c>
      <c r="H47" s="55">
        <f>G47-D47</f>
        <v>8.3607100000003811</v>
      </c>
      <c r="I47" s="56">
        <f>IF(ISERROR(H47/D47),0,(H47/D47))</f>
        <v>3.1574003288267921E-3</v>
      </c>
      <c r="J47" s="56"/>
      <c r="K47" s="57">
        <f>G47/$G$51</f>
        <v>0.95238095238095233</v>
      </c>
    </row>
    <row r="48" spans="1:11" x14ac:dyDescent="0.2">
      <c r="A48" s="58" t="s">
        <v>138</v>
      </c>
      <c r="B48" s="59"/>
      <c r="C48" s="31">
        <v>0.13</v>
      </c>
      <c r="D48" s="31">
        <f>D47*C48</f>
        <v>344.23645619999996</v>
      </c>
      <c r="E48" s="31"/>
      <c r="F48" s="31">
        <f>C48</f>
        <v>0.13</v>
      </c>
      <c r="G48" s="31">
        <f>G47*F48</f>
        <v>345.32334850000001</v>
      </c>
      <c r="H48" s="31">
        <f>G48-D48</f>
        <v>1.086892300000045</v>
      </c>
      <c r="I48" s="32">
        <f>IF(ISERROR(H48/D48),0,(H48/D48))</f>
        <v>3.1574003288267791E-3</v>
      </c>
      <c r="J48" s="32"/>
      <c r="K48" s="60">
        <f>G48/$G$51</f>
        <v>0.1238095238095238</v>
      </c>
    </row>
    <row r="49" spans="1:11" x14ac:dyDescent="0.2">
      <c r="A49" s="141" t="s">
        <v>143</v>
      </c>
      <c r="B49" s="29"/>
      <c r="C49" s="30"/>
      <c r="D49" s="30">
        <f>SUM(D47:D48)</f>
        <v>2992.2091961999995</v>
      </c>
      <c r="E49" s="30"/>
      <c r="F49" s="30"/>
      <c r="G49" s="30">
        <f>SUM(G47:G48)</f>
        <v>3001.6567985000001</v>
      </c>
      <c r="H49" s="30">
        <f>G49-D49</f>
        <v>9.4476023000006535</v>
      </c>
      <c r="I49" s="33">
        <f>IF(ISERROR(H49/D49),0,(H49/D49))</f>
        <v>3.1574003288268671E-3</v>
      </c>
      <c r="J49" s="33"/>
      <c r="K49" s="62">
        <f>G49/$G$51</f>
        <v>1.0761904761904761</v>
      </c>
    </row>
    <row r="50" spans="1:11" x14ac:dyDescent="0.2">
      <c r="A50" s="58" t="s">
        <v>140</v>
      </c>
      <c r="B50" s="59"/>
      <c r="C50" s="31">
        <v>-0.08</v>
      </c>
      <c r="D50" s="31">
        <f>D47*C50</f>
        <v>-211.83781919999998</v>
      </c>
      <c r="E50" s="31"/>
      <c r="F50" s="31">
        <f>C50</f>
        <v>-0.08</v>
      </c>
      <c r="G50" s="31">
        <f>G47*F50</f>
        <v>-212.506676</v>
      </c>
      <c r="H50" s="31">
        <f>G50-D50</f>
        <v>-0.66885680000001457</v>
      </c>
      <c r="I50" s="32">
        <f>IF(ISERROR(H50/D50),0,(H50/D50))</f>
        <v>3.157400328826717E-3</v>
      </c>
      <c r="J50" s="32"/>
      <c r="K50" s="60">
        <f>G50/$G$51</f>
        <v>-7.6190476190476183E-2</v>
      </c>
    </row>
    <row r="51" spans="1:11" ht="13.5" thickBot="1" x14ac:dyDescent="0.25">
      <c r="A51" s="63" t="s">
        <v>144</v>
      </c>
      <c r="B51" s="64"/>
      <c r="C51" s="65"/>
      <c r="D51" s="65">
        <f>SUM(D49:D50)</f>
        <v>2780.3713769999995</v>
      </c>
      <c r="E51" s="65"/>
      <c r="F51" s="65"/>
      <c r="G51" s="65">
        <f>SUM(G49:G50)</f>
        <v>2789.1501225000002</v>
      </c>
      <c r="H51" s="65">
        <f>G51-D51</f>
        <v>8.7787455000006958</v>
      </c>
      <c r="I51" s="66">
        <f>IF(ISERROR(H51/D51),0,(H51/D51))</f>
        <v>3.1574003288268987E-3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17" orientation="landscape" r:id="rId1"/>
  <headerFooter>
    <oddHeader>&amp;RFiled: 2017-03-31
EB-2017-0049
Exhibit H1-4-1
Attachment 4
Page &amp;P of &amp;N</oddHeader>
  </headerFooter>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Impacts'!$A$3:$A$11</xm:f>
          </x14:formula1>
          <xm:sqref>B3</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theme="1" tint="0.499984740745262"/>
    <pageSetUpPr fitToPage="1"/>
  </sheetPr>
  <dimension ref="A1:K68"/>
  <sheetViews>
    <sheetView view="pageBreakPreview" topLeftCell="A19" zoomScaleNormal="100" zoomScaleSheetLayoutView="100" workbookViewId="0">
      <selection activeCell="C19" sqref="C19"/>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48" t="s">
        <v>109</v>
      </c>
      <c r="B1" s="349"/>
      <c r="C1" s="349"/>
      <c r="D1" s="349"/>
      <c r="E1" s="349"/>
      <c r="F1" s="349"/>
      <c r="G1" s="349"/>
      <c r="H1" s="349"/>
      <c r="I1" s="349"/>
      <c r="J1" s="349"/>
      <c r="K1" s="350"/>
    </row>
    <row r="3" spans="1:11" x14ac:dyDescent="0.2">
      <c r="A3" s="13" t="s">
        <v>13</v>
      </c>
      <c r="B3" s="13" t="s">
        <v>88</v>
      </c>
    </row>
    <row r="4" spans="1:11" x14ac:dyDescent="0.2">
      <c r="A4" s="15" t="s">
        <v>62</v>
      </c>
      <c r="B4" s="15">
        <v>1000</v>
      </c>
    </row>
    <row r="5" spans="1:11" x14ac:dyDescent="0.2">
      <c r="A5" s="15" t="s">
        <v>16</v>
      </c>
      <c r="B5" s="15">
        <f>VLOOKUP($B$3,'Data for Bill Impacts'!$A$3:$Y$15,5,0)</f>
        <v>0</v>
      </c>
    </row>
    <row r="6" spans="1:11" x14ac:dyDescent="0.2">
      <c r="A6" s="15" t="s">
        <v>20</v>
      </c>
      <c r="B6" s="15">
        <f>VLOOKUP($B$3,'Data for Bill Impacts'!$A$3:$Y$15,2,0)</f>
        <v>1.0960000000000001</v>
      </c>
    </row>
    <row r="7" spans="1:11" x14ac:dyDescent="0.2">
      <c r="A7" s="15" t="s">
        <v>15</v>
      </c>
      <c r="B7" s="15">
        <f>VLOOKUP($B$3,'Data for Bill Impacts'!$A$3:$Y$15,4,0)</f>
        <v>750</v>
      </c>
    </row>
    <row r="8" spans="1:11" x14ac:dyDescent="0.2">
      <c r="A8" s="15" t="s">
        <v>82</v>
      </c>
      <c r="B8" s="15">
        <f>B4*B6</f>
        <v>1096</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0.10299999999999999</v>
      </c>
      <c r="D12" s="104">
        <f>B12*C12</f>
        <v>77.25</v>
      </c>
      <c r="E12" s="102">
        <f>B12</f>
        <v>750</v>
      </c>
      <c r="F12" s="103">
        <f>C12</f>
        <v>0.10299999999999999</v>
      </c>
      <c r="G12" s="104">
        <f>E12*F12</f>
        <v>77.25</v>
      </c>
      <c r="H12" s="104">
        <f>G12-D12</f>
        <v>0</v>
      </c>
      <c r="I12" s="105">
        <f>IF(ISERROR(H12/D12),0,(H12/D12))</f>
        <v>0</v>
      </c>
      <c r="J12" s="105">
        <f>G12/$G$46</f>
        <v>0.30353904125042525</v>
      </c>
      <c r="K12" s="106"/>
    </row>
    <row r="13" spans="1:11" x14ac:dyDescent="0.2">
      <c r="A13" s="107" t="s">
        <v>32</v>
      </c>
      <c r="B13" s="73">
        <f>IF(B4&gt;B7,(B4)-B7,0)</f>
        <v>250</v>
      </c>
      <c r="C13" s="21">
        <v>0.121</v>
      </c>
      <c r="D13" s="22">
        <f>B13*C13</f>
        <v>30.25</v>
      </c>
      <c r="E13" s="73">
        <f t="shared" ref="E13" si="0">B13</f>
        <v>250</v>
      </c>
      <c r="F13" s="21">
        <f>C13</f>
        <v>0.121</v>
      </c>
      <c r="G13" s="22">
        <f>E13*F13</f>
        <v>30.25</v>
      </c>
      <c r="H13" s="22">
        <f t="shared" ref="H13:H46" si="1">G13-D13</f>
        <v>0</v>
      </c>
      <c r="I13" s="23">
        <f t="shared" ref="I13:I46" si="2">IF(ISERROR(H13/D13),0,(H13/D13))</f>
        <v>0</v>
      </c>
      <c r="J13" s="23">
        <f>G13/$G$46</f>
        <v>0.11886156631489143</v>
      </c>
      <c r="K13" s="108"/>
    </row>
    <row r="14" spans="1:11" s="1" customFormat="1" x14ac:dyDescent="0.2">
      <c r="A14" s="46" t="s">
        <v>33</v>
      </c>
      <c r="B14" s="24"/>
      <c r="C14" s="25"/>
      <c r="D14" s="25">
        <f>SUM(D12:D13)</f>
        <v>107.5</v>
      </c>
      <c r="E14" s="76"/>
      <c r="F14" s="25"/>
      <c r="G14" s="25">
        <f>SUM(G12:G13)</f>
        <v>107.5</v>
      </c>
      <c r="H14" s="25">
        <f t="shared" si="1"/>
        <v>0</v>
      </c>
      <c r="I14" s="27">
        <f t="shared" si="2"/>
        <v>0</v>
      </c>
      <c r="J14" s="27">
        <f>G14/$G$46</f>
        <v>0.42240060756531667</v>
      </c>
      <c r="K14" s="108"/>
    </row>
    <row r="15" spans="1:11" s="1" customFormat="1" x14ac:dyDescent="0.2">
      <c r="A15" s="109" t="s">
        <v>34</v>
      </c>
      <c r="B15" s="75">
        <f>B4*0.65</f>
        <v>650</v>
      </c>
      <c r="C15" s="28">
        <v>8.6999999999999994E-2</v>
      </c>
      <c r="D15" s="22">
        <f>B15*C15</f>
        <v>56.55</v>
      </c>
      <c r="E15" s="73">
        <f t="shared" ref="E15:F17" si="3">B15</f>
        <v>650</v>
      </c>
      <c r="F15" s="28">
        <f t="shared" si="3"/>
        <v>8.6999999999999994E-2</v>
      </c>
      <c r="G15" s="22">
        <f>E15*F15</f>
        <v>56.55</v>
      </c>
      <c r="H15" s="22">
        <f t="shared" si="1"/>
        <v>0</v>
      </c>
      <c r="I15" s="23">
        <f t="shared" si="2"/>
        <v>0</v>
      </c>
      <c r="J15" s="23"/>
      <c r="K15" s="108">
        <f t="shared" ref="K15:K26" si="4">G15/$G$51</f>
        <v>0.21951484912563918</v>
      </c>
    </row>
    <row r="16" spans="1:11" s="1" customFormat="1" x14ac:dyDescent="0.2">
      <c r="A16" s="109" t="s">
        <v>35</v>
      </c>
      <c r="B16" s="75">
        <f>B4*0.17</f>
        <v>170</v>
      </c>
      <c r="C16" s="28">
        <v>0.13200000000000001</v>
      </c>
      <c r="D16" s="22">
        <f>B16*C16</f>
        <v>22.44</v>
      </c>
      <c r="E16" s="73">
        <f t="shared" si="3"/>
        <v>170</v>
      </c>
      <c r="F16" s="28">
        <f t="shared" si="3"/>
        <v>0.13200000000000001</v>
      </c>
      <c r="G16" s="22">
        <f>E16*F16</f>
        <v>22.44</v>
      </c>
      <c r="H16" s="22">
        <f t="shared" si="1"/>
        <v>0</v>
      </c>
      <c r="I16" s="23">
        <f t="shared" si="2"/>
        <v>0</v>
      </c>
      <c r="J16" s="23"/>
      <c r="K16" s="108">
        <f t="shared" si="4"/>
        <v>8.7107218645081239E-2</v>
      </c>
    </row>
    <row r="17" spans="1:11" s="1" customFormat="1" x14ac:dyDescent="0.2">
      <c r="A17" s="109" t="s">
        <v>36</v>
      </c>
      <c r="B17" s="75">
        <f>B4*0.18</f>
        <v>180</v>
      </c>
      <c r="C17" s="28">
        <v>0.18</v>
      </c>
      <c r="D17" s="22">
        <f>B17*C17</f>
        <v>32.4</v>
      </c>
      <c r="E17" s="73">
        <f t="shared" si="3"/>
        <v>180</v>
      </c>
      <c r="F17" s="28">
        <f t="shared" si="3"/>
        <v>0.18</v>
      </c>
      <c r="G17" s="22">
        <f>E17*F17</f>
        <v>32.4</v>
      </c>
      <c r="H17" s="22">
        <f t="shared" si="1"/>
        <v>0</v>
      </c>
      <c r="I17" s="23">
        <f t="shared" si="2"/>
        <v>0</v>
      </c>
      <c r="J17" s="23"/>
      <c r="K17" s="108">
        <f t="shared" si="4"/>
        <v>0.1257697809314007</v>
      </c>
    </row>
    <row r="18" spans="1:11" s="1" customFormat="1" x14ac:dyDescent="0.2">
      <c r="A18" s="61" t="s">
        <v>37</v>
      </c>
      <c r="B18" s="29"/>
      <c r="C18" s="30"/>
      <c r="D18" s="30">
        <f>SUM(D15:D17)</f>
        <v>111.38999999999999</v>
      </c>
      <c r="E18" s="77"/>
      <c r="F18" s="30"/>
      <c r="G18" s="30">
        <f>SUM(G15:G17)</f>
        <v>111.38999999999999</v>
      </c>
      <c r="H18" s="31">
        <f t="shared" si="1"/>
        <v>0</v>
      </c>
      <c r="I18" s="32">
        <f t="shared" si="2"/>
        <v>0</v>
      </c>
      <c r="J18" s="33">
        <f t="shared" ref="J18:J23" si="5">G18/$G$46</f>
        <v>0.43768561559721503</v>
      </c>
      <c r="K18" s="62">
        <f t="shared" si="4"/>
        <v>0.43239184870212105</v>
      </c>
    </row>
    <row r="19" spans="1:11" x14ac:dyDescent="0.2">
      <c r="A19" s="107" t="s">
        <v>38</v>
      </c>
      <c r="B19" s="73">
        <v>1</v>
      </c>
      <c r="C19" s="78">
        <f>VLOOKUP($B$3,'Data for Bill Impacts'!$A$3:$Y$15,7,0)</f>
        <v>30.91</v>
      </c>
      <c r="D19" s="22">
        <f>B19*C19</f>
        <v>30.91</v>
      </c>
      <c r="E19" s="73">
        <f t="shared" ref="E19:E41" si="6">B19</f>
        <v>1</v>
      </c>
      <c r="F19" s="78">
        <f>VLOOKUP($B$3,'Data for Bill Impacts'!$A$3:$Y$15,17,0)</f>
        <v>31.41</v>
      </c>
      <c r="G19" s="22">
        <f>E19*F19</f>
        <v>31.41</v>
      </c>
      <c r="H19" s="22">
        <f t="shared" si="1"/>
        <v>0.5</v>
      </c>
      <c r="I19" s="23">
        <f t="shared" si="2"/>
        <v>1.6175994823681657E-2</v>
      </c>
      <c r="J19" s="23">
        <f t="shared" si="5"/>
        <v>0.12341956356861949</v>
      </c>
      <c r="K19" s="108">
        <f t="shared" si="4"/>
        <v>0.12192681540294124</v>
      </c>
    </row>
    <row r="20" spans="1:11" hidden="1" x14ac:dyDescent="0.2">
      <c r="A20" s="107" t="s">
        <v>83</v>
      </c>
      <c r="B20" s="73">
        <v>1</v>
      </c>
      <c r="C20" s="78">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84</v>
      </c>
      <c r="B21" s="73">
        <v>1</v>
      </c>
      <c r="C21" s="78">
        <v>0</v>
      </c>
      <c r="D21" s="22">
        <f t="shared" ref="D21:D22" si="8">B21*C21</f>
        <v>0</v>
      </c>
      <c r="E21" s="73">
        <f t="shared" si="6"/>
        <v>1</v>
      </c>
      <c r="F21" s="122">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v>
      </c>
      <c r="D22" s="22">
        <f t="shared" si="8"/>
        <v>0</v>
      </c>
      <c r="E22" s="73">
        <f t="shared" si="6"/>
        <v>1</v>
      </c>
      <c r="F22" s="122">
        <f>VLOOKUP($B$3,'Data for Bill Impacts'!$A$3:$Y$15,22,0)</f>
        <v>0</v>
      </c>
      <c r="G22" s="22">
        <f t="shared" si="7"/>
        <v>0</v>
      </c>
      <c r="H22" s="22">
        <f t="shared" si="1"/>
        <v>0</v>
      </c>
      <c r="I22" s="23">
        <f t="shared" si="2"/>
        <v>0</v>
      </c>
      <c r="J22" s="23">
        <f t="shared" si="5"/>
        <v>0</v>
      </c>
      <c r="K22" s="108">
        <f t="shared" si="4"/>
        <v>0</v>
      </c>
    </row>
    <row r="23" spans="1:11" x14ac:dyDescent="0.2">
      <c r="A23" s="107" t="s">
        <v>39</v>
      </c>
      <c r="B23" s="73">
        <f>IF($B$9="kWh",$B$4,$B$5)</f>
        <v>1000</v>
      </c>
      <c r="C23" s="126">
        <f>VLOOKUP($B$3,'Data for Bill Impacts'!$A$3:$Y$15,10,0)</f>
        <v>6.3399999999999998E-2</v>
      </c>
      <c r="D23" s="22">
        <f>B23*C23</f>
        <v>63.4</v>
      </c>
      <c r="E23" s="73">
        <f t="shared" si="6"/>
        <v>1000</v>
      </c>
      <c r="F23" s="78">
        <f>VLOOKUP($B$3,'Data for Bill Impacts'!$A$3:$Y$15,19,0)</f>
        <v>6.5199999999999994E-2</v>
      </c>
      <c r="G23" s="22">
        <f>E23*F23</f>
        <v>65.199999999999989</v>
      </c>
      <c r="H23" s="22">
        <f t="shared" si="1"/>
        <v>1.7999999999999901</v>
      </c>
      <c r="I23" s="23">
        <f t="shared" si="2"/>
        <v>2.8391167192428866E-2</v>
      </c>
      <c r="J23" s="23">
        <f t="shared" si="5"/>
        <v>0.25619088012333618</v>
      </c>
      <c r="K23" s="108">
        <f t="shared" si="4"/>
        <v>0.2530922752076335</v>
      </c>
    </row>
    <row r="24" spans="1:11" x14ac:dyDescent="0.2">
      <c r="A24" s="107" t="s">
        <v>194</v>
      </c>
      <c r="B24" s="73">
        <f>IF($B$9="kWh",$B$4,$B$5)</f>
        <v>1000</v>
      </c>
      <c r="C24" s="126">
        <f>VLOOKUP($B$3,'Data for Bill Impacts'!$A$3:$Y$15,14,0)</f>
        <v>2.0000000000000001E-4</v>
      </c>
      <c r="D24" s="34">
        <f>B24*C24</f>
        <v>0.2</v>
      </c>
      <c r="E24" s="73">
        <f t="shared" si="6"/>
        <v>1000</v>
      </c>
      <c r="F24" s="126">
        <f>VLOOKUP($B$3,'Data for Bill Impacts'!$A$3:$Y$15,23,0)</f>
        <v>2.0000000000000001E-4</v>
      </c>
      <c r="G24" s="34">
        <f>E24*F24</f>
        <v>0.2</v>
      </c>
      <c r="H24" s="22">
        <f t="shared" si="1"/>
        <v>0</v>
      </c>
      <c r="I24" s="23">
        <f>IF(ISERROR(H24/D24),0,(H24/D24))</f>
        <v>0</v>
      </c>
      <c r="J24" s="23">
        <f t="shared" ref="J24" si="9">G24/$G$46</f>
        <v>7.8586159547035662E-4</v>
      </c>
      <c r="K24" s="108">
        <f t="shared" si="4"/>
        <v>7.7635667241605379E-4</v>
      </c>
    </row>
    <row r="25" spans="1:11" s="1" customFormat="1" x14ac:dyDescent="0.2">
      <c r="A25" s="110" t="s">
        <v>72</v>
      </c>
      <c r="B25" s="74"/>
      <c r="C25" s="35"/>
      <c r="D25" s="35">
        <f>SUM(D19:D24)</f>
        <v>94.51</v>
      </c>
      <c r="E25" s="73"/>
      <c r="F25" s="35"/>
      <c r="G25" s="35">
        <f>SUM(G19:G24)</f>
        <v>96.809999999999988</v>
      </c>
      <c r="H25" s="35">
        <f t="shared" si="1"/>
        <v>2.2999999999999829</v>
      </c>
      <c r="I25" s="36">
        <f t="shared" si="2"/>
        <v>2.4336049095333646E-2</v>
      </c>
      <c r="J25" s="36">
        <f>G25/$G$46</f>
        <v>0.38039630528742607</v>
      </c>
      <c r="K25" s="111">
        <f t="shared" si="4"/>
        <v>0.37579544728299075</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G26/$G$46</f>
        <v>3.1041533021079087E-3</v>
      </c>
      <c r="K26" s="108">
        <f t="shared" si="4"/>
        <v>3.0666088560434126E-3</v>
      </c>
    </row>
    <row r="27" spans="1:11" s="1" customFormat="1" x14ac:dyDescent="0.2">
      <c r="A27" s="119" t="s">
        <v>75</v>
      </c>
      <c r="B27" s="120">
        <f>B8-B4</f>
        <v>96</v>
      </c>
      <c r="C27" s="121">
        <f>IF(B4&gt;B7,C13,C12)</f>
        <v>0.121</v>
      </c>
      <c r="D27" s="22">
        <f>B27*C27</f>
        <v>11.616</v>
      </c>
      <c r="E27" s="73">
        <f>B27</f>
        <v>96</v>
      </c>
      <c r="F27" s="121">
        <f>C27</f>
        <v>0.121</v>
      </c>
      <c r="G27" s="22">
        <f>E27*F27</f>
        <v>11.616</v>
      </c>
      <c r="H27" s="22">
        <f t="shared" si="1"/>
        <v>0</v>
      </c>
      <c r="I27" s="23">
        <f>IF(ISERROR(H27/D27),0,(H27/D27))</f>
        <v>0</v>
      </c>
      <c r="J27" s="23">
        <f t="shared" ref="J27:J46" si="10">G27/$G$46</f>
        <v>4.5642841464918309E-2</v>
      </c>
      <c r="K27" s="108">
        <f t="shared" ref="K27:K41" si="11">G27/$G$51</f>
        <v>4.5090795533924401E-2</v>
      </c>
    </row>
    <row r="28" spans="1:11" s="1" customFormat="1" x14ac:dyDescent="0.2">
      <c r="A28" s="119" t="s">
        <v>74</v>
      </c>
      <c r="B28" s="120">
        <f>B8-B4</f>
        <v>96</v>
      </c>
      <c r="C28" s="121">
        <f>0.65*C15+0.17*C16+0.18*C17</f>
        <v>0.11139</v>
      </c>
      <c r="D28" s="22">
        <f>B28*C28</f>
        <v>10.693440000000001</v>
      </c>
      <c r="E28" s="73">
        <f>B28</f>
        <v>96</v>
      </c>
      <c r="F28" s="121">
        <f>C28</f>
        <v>0.11139</v>
      </c>
      <c r="G28" s="22">
        <f>E28*F28</f>
        <v>10.693440000000001</v>
      </c>
      <c r="H28" s="22">
        <f t="shared" si="1"/>
        <v>0</v>
      </c>
      <c r="I28" s="23">
        <f>IF(ISERROR(H28/D28),0,(H28/D28))</f>
        <v>0</v>
      </c>
      <c r="J28" s="23">
        <f t="shared" si="10"/>
        <v>4.2017819097332654E-2</v>
      </c>
      <c r="K28" s="108">
        <f t="shared" si="11"/>
        <v>4.1509617475403632E-2</v>
      </c>
    </row>
    <row r="29" spans="1:11" s="1" customFormat="1" x14ac:dyDescent="0.2">
      <c r="A29" s="110" t="s">
        <v>78</v>
      </c>
      <c r="B29" s="74"/>
      <c r="C29" s="35"/>
      <c r="D29" s="35">
        <f>SUM(D25,D26:D27)</f>
        <v>106.91600000000001</v>
      </c>
      <c r="E29" s="73"/>
      <c r="F29" s="35"/>
      <c r="G29" s="35">
        <f>SUM(G25,G26:G27)</f>
        <v>109.21599999999999</v>
      </c>
      <c r="H29" s="35">
        <f t="shared" si="1"/>
        <v>2.2999999999999829</v>
      </c>
      <c r="I29" s="36">
        <f>IF(ISERROR(H29/D29),0,(H29/D29))</f>
        <v>2.1512215196976905E-2</v>
      </c>
      <c r="J29" s="36">
        <f t="shared" si="10"/>
        <v>0.42914330005445228</v>
      </c>
      <c r="K29" s="111">
        <f t="shared" si="11"/>
        <v>0.4239528516729586</v>
      </c>
    </row>
    <row r="30" spans="1:11" s="1" customFormat="1" x14ac:dyDescent="0.2">
      <c r="A30" s="110" t="s">
        <v>77</v>
      </c>
      <c r="B30" s="74"/>
      <c r="C30" s="35"/>
      <c r="D30" s="35">
        <f>SUM(D25,D26,D28)</f>
        <v>105.99344000000001</v>
      </c>
      <c r="E30" s="73"/>
      <c r="F30" s="35"/>
      <c r="G30" s="35">
        <f>SUM(G25,G26,G28)</f>
        <v>108.29343999999999</v>
      </c>
      <c r="H30" s="35">
        <f t="shared" si="1"/>
        <v>2.2999999999999829</v>
      </c>
      <c r="I30" s="36">
        <f>IF(ISERROR(H30/D30),0,(H30/D30))</f>
        <v>2.1699456117284077E-2</v>
      </c>
      <c r="J30" s="36">
        <f t="shared" si="10"/>
        <v>0.42551827768686662</v>
      </c>
      <c r="K30" s="111">
        <f t="shared" si="11"/>
        <v>0.42037167361443784</v>
      </c>
    </row>
    <row r="31" spans="1:11" x14ac:dyDescent="0.2">
      <c r="A31" s="107" t="s">
        <v>40</v>
      </c>
      <c r="B31" s="73">
        <f>B8</f>
        <v>1096</v>
      </c>
      <c r="C31" s="126">
        <f>VLOOKUP($B$3,'Data for Bill Impacts'!$A$3:$Y$15,15,0)</f>
        <v>5.6930000000000001E-3</v>
      </c>
      <c r="D31" s="22">
        <f>B31*C31</f>
        <v>6.239528</v>
      </c>
      <c r="E31" s="73">
        <f t="shared" si="6"/>
        <v>1096</v>
      </c>
      <c r="F31" s="78">
        <f>VLOOKUP($B$3,'Data for Bill Impacts'!$A$3:$Y$15,24,0)</f>
        <v>5.4999999999999997E-3</v>
      </c>
      <c r="G31" s="22">
        <f>E31*F31</f>
        <v>6.0279999999999996</v>
      </c>
      <c r="H31" s="22">
        <f t="shared" si="1"/>
        <v>-0.21152800000000038</v>
      </c>
      <c r="I31" s="23">
        <f t="shared" si="2"/>
        <v>-3.3901282276479948E-2</v>
      </c>
      <c r="J31" s="23">
        <f t="shared" si="10"/>
        <v>2.3685868487476544E-2</v>
      </c>
      <c r="K31" s="108">
        <f t="shared" si="11"/>
        <v>2.3399390106619858E-2</v>
      </c>
    </row>
    <row r="32" spans="1:11" x14ac:dyDescent="0.2">
      <c r="A32" s="107" t="s">
        <v>41</v>
      </c>
      <c r="B32" s="73">
        <f>B8</f>
        <v>1096</v>
      </c>
      <c r="C32" s="126">
        <f>VLOOKUP($B$3,'Data for Bill Impacts'!$A$3:$Y$15,16,0)</f>
        <v>4.4740000000000005E-3</v>
      </c>
      <c r="D32" s="22">
        <f>B32*C32</f>
        <v>4.9035040000000008</v>
      </c>
      <c r="E32" s="73">
        <f t="shared" si="6"/>
        <v>1096</v>
      </c>
      <c r="F32" s="78">
        <f>VLOOKUP($B$3,'Data for Bill Impacts'!$A$3:$Y$15,25,0)</f>
        <v>4.4999999999999997E-3</v>
      </c>
      <c r="G32" s="22">
        <f>E32*F32</f>
        <v>4.9319999999999995</v>
      </c>
      <c r="H32" s="22">
        <f t="shared" si="1"/>
        <v>2.8495999999998745E-2</v>
      </c>
      <c r="I32" s="23">
        <f t="shared" si="2"/>
        <v>5.8113544926237928E-3</v>
      </c>
      <c r="J32" s="23">
        <f t="shared" si="10"/>
        <v>1.9379346944298992E-2</v>
      </c>
      <c r="K32" s="108">
        <f t="shared" si="11"/>
        <v>1.9144955541779883E-2</v>
      </c>
    </row>
    <row r="33" spans="1:11" s="1" customFormat="1" x14ac:dyDescent="0.2">
      <c r="A33" s="110" t="s">
        <v>76</v>
      </c>
      <c r="B33" s="74"/>
      <c r="C33" s="35"/>
      <c r="D33" s="35">
        <f>SUM(D31:D32)</f>
        <v>11.143032000000002</v>
      </c>
      <c r="E33" s="73"/>
      <c r="F33" s="35"/>
      <c r="G33" s="35">
        <f>SUM(G31:G32)</f>
        <v>10.959999999999999</v>
      </c>
      <c r="H33" s="35">
        <f t="shared" si="1"/>
        <v>-0.18303200000000253</v>
      </c>
      <c r="I33" s="36">
        <f t="shared" si="2"/>
        <v>-1.6425690960952324E-2</v>
      </c>
      <c r="J33" s="36">
        <f t="shared" si="10"/>
        <v>4.3065215431775536E-2</v>
      </c>
      <c r="K33" s="111">
        <f t="shared" si="11"/>
        <v>4.2544345648399741E-2</v>
      </c>
    </row>
    <row r="34" spans="1:11" s="1" customFormat="1" x14ac:dyDescent="0.2">
      <c r="A34" s="110" t="s">
        <v>95</v>
      </c>
      <c r="B34" s="74"/>
      <c r="C34" s="35"/>
      <c r="D34" s="35">
        <f>D29+D33</f>
        <v>118.05903200000002</v>
      </c>
      <c r="E34" s="73"/>
      <c r="F34" s="35"/>
      <c r="G34" s="35">
        <f>G29+G33</f>
        <v>120.17599999999999</v>
      </c>
      <c r="H34" s="35">
        <f t="shared" si="1"/>
        <v>2.1169679999999715</v>
      </c>
      <c r="I34" s="36">
        <f t="shared" si="2"/>
        <v>1.7931436198799014E-2</v>
      </c>
      <c r="J34" s="36">
        <f t="shared" si="10"/>
        <v>0.47220851548622783</v>
      </c>
      <c r="K34" s="111">
        <f t="shared" si="11"/>
        <v>0.4664971973213583</v>
      </c>
    </row>
    <row r="35" spans="1:11" s="1" customFormat="1" x14ac:dyDescent="0.2">
      <c r="A35" s="110" t="s">
        <v>96</v>
      </c>
      <c r="B35" s="74"/>
      <c r="C35" s="35"/>
      <c r="D35" s="35">
        <f>D30+D33</f>
        <v>117.13647200000001</v>
      </c>
      <c r="E35" s="73"/>
      <c r="F35" s="35"/>
      <c r="G35" s="35">
        <f>G30+G33</f>
        <v>119.25343999999998</v>
      </c>
      <c r="H35" s="35">
        <f t="shared" si="1"/>
        <v>2.1169679999999715</v>
      </c>
      <c r="I35" s="36">
        <f t="shared" si="2"/>
        <v>1.8072663141160433E-2</v>
      </c>
      <c r="J35" s="36">
        <f t="shared" si="10"/>
        <v>0.46858349311864211</v>
      </c>
      <c r="K35" s="111">
        <f t="shared" si="11"/>
        <v>0.46291601926283754</v>
      </c>
    </row>
    <row r="36" spans="1:11" x14ac:dyDescent="0.2">
      <c r="A36" s="107" t="s">
        <v>42</v>
      </c>
      <c r="B36" s="73">
        <f>B8</f>
        <v>1096</v>
      </c>
      <c r="C36" s="34">
        <v>3.5999999999999999E-3</v>
      </c>
      <c r="D36" s="22">
        <f>B36*C36</f>
        <v>3.9455999999999998</v>
      </c>
      <c r="E36" s="73">
        <f t="shared" si="6"/>
        <v>1096</v>
      </c>
      <c r="F36" s="34">
        <v>3.5999999999999999E-3</v>
      </c>
      <c r="G36" s="22">
        <f>E36*F36</f>
        <v>3.9455999999999998</v>
      </c>
      <c r="H36" s="22">
        <f t="shared" si="1"/>
        <v>0</v>
      </c>
      <c r="I36" s="23">
        <f t="shared" si="2"/>
        <v>0</v>
      </c>
      <c r="J36" s="23">
        <f t="shared" si="10"/>
        <v>1.5503477555439193E-2</v>
      </c>
      <c r="K36" s="108">
        <f t="shared" si="11"/>
        <v>1.5315964433423907E-2</v>
      </c>
    </row>
    <row r="37" spans="1:11" x14ac:dyDescent="0.2">
      <c r="A37" s="107" t="s">
        <v>43</v>
      </c>
      <c r="B37" s="73">
        <f>B8</f>
        <v>1096</v>
      </c>
      <c r="C37" s="34">
        <v>2.0999999999999999E-3</v>
      </c>
      <c r="D37" s="22">
        <f>B37*C37</f>
        <v>2.3015999999999996</v>
      </c>
      <c r="E37" s="73">
        <f t="shared" si="6"/>
        <v>1096</v>
      </c>
      <c r="F37" s="34">
        <v>2.0999999999999999E-3</v>
      </c>
      <c r="G37" s="22">
        <f>E37*F37</f>
        <v>2.3015999999999996</v>
      </c>
      <c r="H37" s="22">
        <f>G37-D37</f>
        <v>0</v>
      </c>
      <c r="I37" s="23">
        <f t="shared" si="2"/>
        <v>0</v>
      </c>
      <c r="J37" s="23">
        <f t="shared" si="10"/>
        <v>9.0436952406728627E-3</v>
      </c>
      <c r="K37" s="108">
        <f t="shared" si="11"/>
        <v>8.9343125861639453E-3</v>
      </c>
    </row>
    <row r="38" spans="1:11" x14ac:dyDescent="0.2">
      <c r="A38" s="107" t="s">
        <v>100</v>
      </c>
      <c r="B38" s="73">
        <f>B8</f>
        <v>1096</v>
      </c>
      <c r="C38" s="34">
        <v>1.1000000000000001E-3</v>
      </c>
      <c r="D38" s="22">
        <f>B38*C38</f>
        <v>1.2056</v>
      </c>
      <c r="E38" s="73">
        <f t="shared" si="6"/>
        <v>1096</v>
      </c>
      <c r="F38" s="34">
        <v>1.1000000000000001E-3</v>
      </c>
      <c r="G38" s="22">
        <f>E38*F38</f>
        <v>1.2056</v>
      </c>
      <c r="H38" s="22">
        <f>G38-D38</f>
        <v>0</v>
      </c>
      <c r="I38" s="23">
        <f t="shared" ref="I38" si="12">IF(ISERROR(H38/D38),0,(H38/D38))</f>
        <v>0</v>
      </c>
      <c r="J38" s="23">
        <f t="shared" ref="J38" si="13">G38/$G$46</f>
        <v>4.7371736974953097E-3</v>
      </c>
      <c r="K38" s="108">
        <f t="shared" ref="K38" si="14">G38/$G$51</f>
        <v>4.6798780213239723E-3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10"/>
        <v>9.8232699433794569E-4</v>
      </c>
      <c r="K39" s="108">
        <f t="shared" si="11"/>
        <v>9.7044584052006719E-4</v>
      </c>
    </row>
    <row r="40" spans="1:11" s="1" customFormat="1" x14ac:dyDescent="0.2">
      <c r="A40" s="110" t="s">
        <v>45</v>
      </c>
      <c r="B40" s="74"/>
      <c r="C40" s="35"/>
      <c r="D40" s="35">
        <f>SUM(D36:D39)</f>
        <v>7.7027999999999999</v>
      </c>
      <c r="E40" s="73"/>
      <c r="F40" s="35"/>
      <c r="G40" s="35">
        <f>SUM(G36:G39)</f>
        <v>7.7027999999999999</v>
      </c>
      <c r="H40" s="35">
        <f t="shared" si="1"/>
        <v>0</v>
      </c>
      <c r="I40" s="36">
        <f t="shared" si="2"/>
        <v>0</v>
      </c>
      <c r="J40" s="36">
        <f t="shared" si="10"/>
        <v>3.0266673487945314E-2</v>
      </c>
      <c r="K40" s="111">
        <f t="shared" si="11"/>
        <v>2.9900600881431892E-2</v>
      </c>
    </row>
    <row r="41" spans="1:11" s="1" customFormat="1" ht="13.5" thickBot="1" x14ac:dyDescent="0.25">
      <c r="A41" s="112" t="s">
        <v>46</v>
      </c>
      <c r="B41" s="113">
        <f>B4</f>
        <v>1000</v>
      </c>
      <c r="C41" s="114">
        <v>7.0000000000000001E-3</v>
      </c>
      <c r="D41" s="115">
        <f>B41*C41</f>
        <v>7</v>
      </c>
      <c r="E41" s="116">
        <f t="shared" si="6"/>
        <v>1000</v>
      </c>
      <c r="F41" s="114">
        <f>C41</f>
        <v>7.0000000000000001E-3</v>
      </c>
      <c r="G41" s="115">
        <f>E41*F41</f>
        <v>7</v>
      </c>
      <c r="H41" s="115">
        <f t="shared" si="1"/>
        <v>0</v>
      </c>
      <c r="I41" s="117">
        <f t="shared" si="2"/>
        <v>0</v>
      </c>
      <c r="J41" s="117">
        <f t="shared" si="10"/>
        <v>2.7505155841462479E-2</v>
      </c>
      <c r="K41" s="118">
        <f t="shared" si="11"/>
        <v>2.7172483534561882E-2</v>
      </c>
    </row>
    <row r="42" spans="1:11" s="1" customFormat="1" x14ac:dyDescent="0.2">
      <c r="A42" s="37" t="s">
        <v>137</v>
      </c>
      <c r="B42" s="38"/>
      <c r="C42" s="39"/>
      <c r="D42" s="39">
        <f>SUM(D14,D25,D26,D27,D33,D40,D41)</f>
        <v>240.261832</v>
      </c>
      <c r="E42" s="38"/>
      <c r="F42" s="39"/>
      <c r="G42" s="39">
        <f>SUM(G14,G25,G26,G27,G33,G40,G41)</f>
        <v>242.37880000000001</v>
      </c>
      <c r="H42" s="39">
        <f t="shared" si="1"/>
        <v>2.1169680000000142</v>
      </c>
      <c r="I42" s="40">
        <f>IF(ISERROR(H42/D42),0,(H42/D42))</f>
        <v>8.8110873973524604E-3</v>
      </c>
      <c r="J42" s="40">
        <f t="shared" si="10"/>
        <v>0.95238095238095233</v>
      </c>
      <c r="K42" s="41"/>
    </row>
    <row r="43" spans="1:11" x14ac:dyDescent="0.2">
      <c r="A43" s="150" t="s">
        <v>138</v>
      </c>
      <c r="B43" s="43"/>
      <c r="C43" s="26">
        <v>0.13</v>
      </c>
      <c r="D43" s="26">
        <f>D42*C43</f>
        <v>31.234038160000001</v>
      </c>
      <c r="E43" s="26"/>
      <c r="F43" s="26">
        <f>C43</f>
        <v>0.13</v>
      </c>
      <c r="G43" s="26">
        <f>G42*F43</f>
        <v>31.509244000000002</v>
      </c>
      <c r="H43" s="26">
        <f t="shared" si="1"/>
        <v>0.2752058400000017</v>
      </c>
      <c r="I43" s="44">
        <f t="shared" si="2"/>
        <v>8.8110873973524552E-3</v>
      </c>
      <c r="J43" s="44">
        <f t="shared" si="10"/>
        <v>0.12380952380952381</v>
      </c>
      <c r="K43" s="45"/>
    </row>
    <row r="44" spans="1:11" s="1" customFormat="1" x14ac:dyDescent="0.2">
      <c r="A44" s="46" t="s">
        <v>139</v>
      </c>
      <c r="B44" s="24"/>
      <c r="C44" s="25"/>
      <c r="D44" s="25">
        <f>SUM(D42:D43)</f>
        <v>271.49587015999998</v>
      </c>
      <c r="E44" s="25"/>
      <c r="F44" s="25"/>
      <c r="G44" s="25">
        <f>SUM(G42:G43)</f>
        <v>273.88804400000004</v>
      </c>
      <c r="H44" s="25">
        <f t="shared" si="1"/>
        <v>2.392173840000055</v>
      </c>
      <c r="I44" s="27">
        <f t="shared" si="2"/>
        <v>8.8110873973526044E-3</v>
      </c>
      <c r="J44" s="27">
        <f t="shared" si="10"/>
        <v>1.0761904761904761</v>
      </c>
      <c r="K44" s="47"/>
    </row>
    <row r="45" spans="1:11" x14ac:dyDescent="0.2">
      <c r="A45" s="42" t="s">
        <v>140</v>
      </c>
      <c r="B45" s="43"/>
      <c r="C45" s="26">
        <v>-0.08</v>
      </c>
      <c r="D45" s="26">
        <f>D42*C45</f>
        <v>-19.220946560000002</v>
      </c>
      <c r="E45" s="26"/>
      <c r="F45" s="26">
        <f>C45</f>
        <v>-0.08</v>
      </c>
      <c r="G45" s="26">
        <f>G42*F45</f>
        <v>-19.390304</v>
      </c>
      <c r="H45" s="26">
        <f t="shared" si="1"/>
        <v>-0.16935743999999886</v>
      </c>
      <c r="I45" s="44">
        <f t="shared" si="2"/>
        <v>8.8110873973523424E-3</v>
      </c>
      <c r="J45" s="44">
        <f t="shared" si="10"/>
        <v>-7.6190476190476183E-2</v>
      </c>
      <c r="K45" s="45"/>
    </row>
    <row r="46" spans="1:11" s="1" customFormat="1" ht="13.5" thickBot="1" x14ac:dyDescent="0.25">
      <c r="A46" s="48" t="s">
        <v>141</v>
      </c>
      <c r="B46" s="49"/>
      <c r="C46" s="50"/>
      <c r="D46" s="50">
        <f>SUM(D44:D45)</f>
        <v>252.27492359999997</v>
      </c>
      <c r="E46" s="50"/>
      <c r="F46" s="50"/>
      <c r="G46" s="50">
        <f>SUM(G44:G45)</f>
        <v>254.49774000000002</v>
      </c>
      <c r="H46" s="50">
        <f t="shared" si="1"/>
        <v>2.2228164000000561</v>
      </c>
      <c r="I46" s="51">
        <f t="shared" si="2"/>
        <v>8.8110873973526252E-3</v>
      </c>
      <c r="J46" s="51">
        <f t="shared" si="10"/>
        <v>1</v>
      </c>
      <c r="K46" s="52"/>
    </row>
    <row r="47" spans="1:11" x14ac:dyDescent="0.2">
      <c r="A47" s="53" t="s">
        <v>142</v>
      </c>
      <c r="B47" s="54"/>
      <c r="C47" s="55"/>
      <c r="D47" s="55">
        <f>SUM(D18,D25,D26,D28,D33,D40,D41)</f>
        <v>243.22927199999998</v>
      </c>
      <c r="E47" s="55"/>
      <c r="F47" s="55"/>
      <c r="G47" s="55">
        <f>SUM(G18,G25,G26,G28,G33,G40,G41)</f>
        <v>245.34623999999999</v>
      </c>
      <c r="H47" s="55">
        <f>G47-D47</f>
        <v>2.1169680000000142</v>
      </c>
      <c r="I47" s="56">
        <f>IF(ISERROR(H47/D47),0,(H47/D47))</f>
        <v>8.7035905776999337E-3</v>
      </c>
      <c r="J47" s="56"/>
      <c r="K47" s="57">
        <f>G47/$G$51</f>
        <v>0.95238095238095244</v>
      </c>
    </row>
    <row r="48" spans="1:11" x14ac:dyDescent="0.2">
      <c r="A48" s="151" t="s">
        <v>138</v>
      </c>
      <c r="B48" s="59"/>
      <c r="C48" s="31">
        <v>0.13</v>
      </c>
      <c r="D48" s="31">
        <f>D47*C48</f>
        <v>31.619805359999997</v>
      </c>
      <c r="E48" s="31"/>
      <c r="F48" s="31">
        <f>C48</f>
        <v>0.13</v>
      </c>
      <c r="G48" s="31">
        <f>G47*F48</f>
        <v>31.895011199999999</v>
      </c>
      <c r="H48" s="31">
        <f>G48-D48</f>
        <v>0.2752058400000017</v>
      </c>
      <c r="I48" s="32">
        <f>IF(ISERROR(H48/D48),0,(H48/D48))</f>
        <v>8.7035905776999302E-3</v>
      </c>
      <c r="J48" s="32"/>
      <c r="K48" s="60">
        <f>G48/$G$51</f>
        <v>0.12380952380952381</v>
      </c>
    </row>
    <row r="49" spans="1:11" x14ac:dyDescent="0.2">
      <c r="A49" s="141" t="s">
        <v>143</v>
      </c>
      <c r="B49" s="29"/>
      <c r="C49" s="30"/>
      <c r="D49" s="30">
        <f>SUM(D47:D48)</f>
        <v>274.84907735999997</v>
      </c>
      <c r="E49" s="30"/>
      <c r="F49" s="30"/>
      <c r="G49" s="30">
        <f>SUM(G47:G48)</f>
        <v>277.24125119999997</v>
      </c>
      <c r="H49" s="30">
        <f>G49-D49</f>
        <v>2.3921738399999981</v>
      </c>
      <c r="I49" s="33">
        <f>IF(ISERROR(H49/D49),0,(H49/D49))</f>
        <v>8.7035905776998695E-3</v>
      </c>
      <c r="J49" s="33"/>
      <c r="K49" s="62">
        <f>G49/$G$51</f>
        <v>1.0761904761904761</v>
      </c>
    </row>
    <row r="50" spans="1:11" x14ac:dyDescent="0.2">
      <c r="A50" s="58" t="s">
        <v>140</v>
      </c>
      <c r="B50" s="59"/>
      <c r="C50" s="31">
        <v>-0.08</v>
      </c>
      <c r="D50" s="31">
        <f>D47*C50</f>
        <v>-19.45834176</v>
      </c>
      <c r="E50" s="31"/>
      <c r="F50" s="31">
        <f>C50</f>
        <v>-0.08</v>
      </c>
      <c r="G50" s="31">
        <f>G47*F50</f>
        <v>-19.627699199999999</v>
      </c>
      <c r="H50" s="31">
        <f>G50-D50</f>
        <v>-0.16935743999999886</v>
      </c>
      <c r="I50" s="32">
        <f>IF(ISERROR(H50/D50),0,(H50/D50))</f>
        <v>8.7035905776998157E-3</v>
      </c>
      <c r="J50" s="32"/>
      <c r="K50" s="60">
        <f>G50/$G$51</f>
        <v>-7.6190476190476197E-2</v>
      </c>
    </row>
    <row r="51" spans="1:11" ht="13.5" thickBot="1" x14ac:dyDescent="0.25">
      <c r="A51" s="63" t="s">
        <v>144</v>
      </c>
      <c r="B51" s="64"/>
      <c r="C51" s="65"/>
      <c r="D51" s="65">
        <f>SUM(D49:D50)</f>
        <v>255.39073559999997</v>
      </c>
      <c r="E51" s="65"/>
      <c r="F51" s="65"/>
      <c r="G51" s="65">
        <f>SUM(G49:G50)</f>
        <v>257.61355199999997</v>
      </c>
      <c r="H51" s="65">
        <f>G51-D51</f>
        <v>2.2228163999999992</v>
      </c>
      <c r="I51" s="66">
        <f>IF(ISERROR(H51/D51),0,(H51/D51))</f>
        <v>8.7035905776998729E-3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c r="K64"/>
    </row>
    <row r="65" spans="6:11" x14ac:dyDescent="0.2">
      <c r="F65" s="69"/>
      <c r="K65"/>
    </row>
    <row r="66" spans="6:11" x14ac:dyDescent="0.2">
      <c r="F66" s="69"/>
      <c r="K66"/>
    </row>
    <row r="67" spans="6:11" x14ac:dyDescent="0.2">
      <c r="F67" s="69"/>
      <c r="K67"/>
    </row>
    <row r="68" spans="6:11" x14ac:dyDescent="0.2">
      <c r="F68" s="69"/>
      <c r="K68"/>
    </row>
  </sheetData>
  <mergeCells count="1">
    <mergeCell ref="A1:K1"/>
  </mergeCell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theme="1" tint="0.499984740745262"/>
    <pageSetUpPr fitToPage="1"/>
  </sheetPr>
  <dimension ref="A1:K68"/>
  <sheetViews>
    <sheetView view="pageBreakPreview" topLeftCell="A19" zoomScaleNormal="100" zoomScaleSheetLayoutView="100" workbookViewId="0">
      <selection activeCell="C19" sqref="C19"/>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48" t="s">
        <v>110</v>
      </c>
      <c r="B1" s="349"/>
      <c r="C1" s="349"/>
      <c r="D1" s="349"/>
      <c r="E1" s="349"/>
      <c r="F1" s="349"/>
      <c r="G1" s="349"/>
      <c r="H1" s="349"/>
      <c r="I1" s="349"/>
      <c r="J1" s="349"/>
      <c r="K1" s="350"/>
    </row>
    <row r="3" spans="1:11" x14ac:dyDescent="0.2">
      <c r="A3" s="13" t="s">
        <v>13</v>
      </c>
      <c r="B3" s="13" t="s">
        <v>88</v>
      </c>
    </row>
    <row r="4" spans="1:11" x14ac:dyDescent="0.2">
      <c r="A4" s="15" t="s">
        <v>62</v>
      </c>
      <c r="B4" s="15">
        <v>2000</v>
      </c>
    </row>
    <row r="5" spans="1:11" x14ac:dyDescent="0.2">
      <c r="A5" s="15" t="s">
        <v>16</v>
      </c>
      <c r="B5" s="15">
        <f>VLOOKUP($B$3,'Data for Bill Impacts'!$A$3:$Y$15,5,0)</f>
        <v>0</v>
      </c>
    </row>
    <row r="6" spans="1:11" x14ac:dyDescent="0.2">
      <c r="A6" s="15" t="s">
        <v>20</v>
      </c>
      <c r="B6" s="15">
        <f>VLOOKUP($B$3,'Data for Bill Impacts'!$A$3:$Y$15,2,0)</f>
        <v>1.0960000000000001</v>
      </c>
    </row>
    <row r="7" spans="1:11" x14ac:dyDescent="0.2">
      <c r="A7" s="15" t="s">
        <v>15</v>
      </c>
      <c r="B7" s="15">
        <f>VLOOKUP($B$3,'Data for Bill Impacts'!$A$3:$Y$15,4,0)</f>
        <v>750</v>
      </c>
    </row>
    <row r="8" spans="1:11" x14ac:dyDescent="0.2">
      <c r="A8" s="15" t="s">
        <v>82</v>
      </c>
      <c r="B8" s="15">
        <f>B4*B6</f>
        <v>2192</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0.10299999999999999</v>
      </c>
      <c r="D12" s="104">
        <f>B12*C12</f>
        <v>77.25</v>
      </c>
      <c r="E12" s="102">
        <f>B12</f>
        <v>750</v>
      </c>
      <c r="F12" s="103">
        <f>C12</f>
        <v>0.10299999999999999</v>
      </c>
      <c r="G12" s="104">
        <f>E12*F12</f>
        <v>77.25</v>
      </c>
      <c r="H12" s="104">
        <f>G12-D12</f>
        <v>0</v>
      </c>
      <c r="I12" s="105">
        <f>IF(ISERROR(H12/D12),0,(H12/D12))</f>
        <v>0</v>
      </c>
      <c r="J12" s="105">
        <f>G12/$G$46</f>
        <v>0.15794381322122819</v>
      </c>
      <c r="K12" s="106"/>
    </row>
    <row r="13" spans="1:11" x14ac:dyDescent="0.2">
      <c r="A13" s="107" t="s">
        <v>32</v>
      </c>
      <c r="B13" s="73">
        <f>IF(B4&gt;B7,(B4)-B7,0)</f>
        <v>1250</v>
      </c>
      <c r="C13" s="21">
        <v>0.121</v>
      </c>
      <c r="D13" s="22">
        <f>B13*C13</f>
        <v>151.25</v>
      </c>
      <c r="E13" s="73">
        <f t="shared" ref="E13" si="0">B13</f>
        <v>1250</v>
      </c>
      <c r="F13" s="21">
        <f>C13</f>
        <v>0.121</v>
      </c>
      <c r="G13" s="22">
        <f>E13*F13</f>
        <v>151.25</v>
      </c>
      <c r="H13" s="22">
        <f t="shared" ref="H13:H46" si="1">G13-D13</f>
        <v>0</v>
      </c>
      <c r="I13" s="23">
        <f t="shared" ref="I13:I46" si="2">IF(ISERROR(H13/D13),0,(H13/D13))</f>
        <v>0</v>
      </c>
      <c r="J13" s="23">
        <f>G13/$G$46</f>
        <v>0.30924274109657951</v>
      </c>
      <c r="K13" s="108"/>
    </row>
    <row r="14" spans="1:11" s="1" customFormat="1" x14ac:dyDescent="0.2">
      <c r="A14" s="46" t="s">
        <v>33</v>
      </c>
      <c r="B14" s="24"/>
      <c r="C14" s="25"/>
      <c r="D14" s="25">
        <f>SUM(D12:D13)</f>
        <v>228.5</v>
      </c>
      <c r="E14" s="76"/>
      <c r="F14" s="25"/>
      <c r="G14" s="25">
        <f>SUM(G12:G13)</f>
        <v>228.5</v>
      </c>
      <c r="H14" s="25">
        <f t="shared" si="1"/>
        <v>0</v>
      </c>
      <c r="I14" s="27">
        <f t="shared" si="2"/>
        <v>0</v>
      </c>
      <c r="J14" s="27">
        <f>G14/$G$46</f>
        <v>0.4671865543178077</v>
      </c>
      <c r="K14" s="108"/>
    </row>
    <row r="15" spans="1:11" s="1" customFormat="1" x14ac:dyDescent="0.2">
      <c r="A15" s="109" t="s">
        <v>34</v>
      </c>
      <c r="B15" s="75">
        <f>B4*0.65</f>
        <v>1300</v>
      </c>
      <c r="C15" s="28">
        <v>8.6999999999999994E-2</v>
      </c>
      <c r="D15" s="22">
        <f>B15*C15</f>
        <v>113.1</v>
      </c>
      <c r="E15" s="73">
        <f t="shared" ref="E15:F17" si="3">B15</f>
        <v>1300</v>
      </c>
      <c r="F15" s="28">
        <f t="shared" si="3"/>
        <v>8.6999999999999994E-2</v>
      </c>
      <c r="G15" s="22">
        <f>E15*F15</f>
        <v>113.1</v>
      </c>
      <c r="H15" s="22">
        <f t="shared" si="1"/>
        <v>0</v>
      </c>
      <c r="I15" s="23">
        <f t="shared" si="2"/>
        <v>0</v>
      </c>
      <c r="J15" s="23"/>
      <c r="K15" s="108">
        <f t="shared" ref="K15:K26" si="4">G15/$G$51</f>
        <v>0.23505958180543562</v>
      </c>
    </row>
    <row r="16" spans="1:11" s="1" customFormat="1" x14ac:dyDescent="0.2">
      <c r="A16" s="109" t="s">
        <v>35</v>
      </c>
      <c r="B16" s="75">
        <f>B4*0.17</f>
        <v>340</v>
      </c>
      <c r="C16" s="28">
        <v>0.13200000000000001</v>
      </c>
      <c r="D16" s="22">
        <f>B16*C16</f>
        <v>44.88</v>
      </c>
      <c r="E16" s="73">
        <f t="shared" si="3"/>
        <v>340</v>
      </c>
      <c r="F16" s="28">
        <f t="shared" si="3"/>
        <v>0.13200000000000001</v>
      </c>
      <c r="G16" s="22">
        <f>E16*F16</f>
        <v>44.88</v>
      </c>
      <c r="H16" s="22">
        <f t="shared" si="1"/>
        <v>0</v>
      </c>
      <c r="I16" s="23">
        <f t="shared" si="2"/>
        <v>0</v>
      </c>
      <c r="J16" s="23"/>
      <c r="K16" s="108">
        <f t="shared" si="4"/>
        <v>9.3275632461785607E-2</v>
      </c>
    </row>
    <row r="17" spans="1:11" s="1" customFormat="1" x14ac:dyDescent="0.2">
      <c r="A17" s="109" t="s">
        <v>36</v>
      </c>
      <c r="B17" s="75">
        <f>B4*0.18</f>
        <v>360</v>
      </c>
      <c r="C17" s="28">
        <v>0.18</v>
      </c>
      <c r="D17" s="22">
        <f>B17*C17</f>
        <v>64.8</v>
      </c>
      <c r="E17" s="73">
        <f t="shared" si="3"/>
        <v>360</v>
      </c>
      <c r="F17" s="28">
        <f t="shared" si="3"/>
        <v>0.18</v>
      </c>
      <c r="G17" s="22">
        <f>E17*F17</f>
        <v>64.8</v>
      </c>
      <c r="H17" s="22">
        <f t="shared" si="1"/>
        <v>0</v>
      </c>
      <c r="I17" s="23">
        <f t="shared" si="2"/>
        <v>0</v>
      </c>
      <c r="J17" s="23"/>
      <c r="K17" s="108">
        <f t="shared" si="4"/>
        <v>0.13467604686995782</v>
      </c>
    </row>
    <row r="18" spans="1:11" s="1" customFormat="1" x14ac:dyDescent="0.2">
      <c r="A18" s="61" t="s">
        <v>37</v>
      </c>
      <c r="B18" s="29"/>
      <c r="C18" s="30"/>
      <c r="D18" s="30">
        <f>SUM(D15:D17)</f>
        <v>222.77999999999997</v>
      </c>
      <c r="E18" s="77"/>
      <c r="F18" s="30"/>
      <c r="G18" s="30">
        <f>SUM(G15:G17)</f>
        <v>222.77999999999997</v>
      </c>
      <c r="H18" s="31">
        <f t="shared" si="1"/>
        <v>0</v>
      </c>
      <c r="I18" s="32">
        <f t="shared" si="2"/>
        <v>0</v>
      </c>
      <c r="J18" s="33">
        <f t="shared" ref="J18:J23" si="5">G18/$G$46</f>
        <v>0.45549155610906428</v>
      </c>
      <c r="K18" s="62">
        <f t="shared" si="4"/>
        <v>0.463011261137179</v>
      </c>
    </row>
    <row r="19" spans="1:11" x14ac:dyDescent="0.2">
      <c r="A19" s="107" t="s">
        <v>38</v>
      </c>
      <c r="B19" s="73">
        <v>1</v>
      </c>
      <c r="C19" s="78">
        <f>VLOOKUP($B$3,'Data for Bill Impacts'!$A$3:$Y$15,7,0)</f>
        <v>30.91</v>
      </c>
      <c r="D19" s="22">
        <f>B19*C19</f>
        <v>30.91</v>
      </c>
      <c r="E19" s="73">
        <f t="shared" ref="E19:E41" si="6">B19</f>
        <v>1</v>
      </c>
      <c r="F19" s="78">
        <f>VLOOKUP($B$3,'Data for Bill Impacts'!$A$3:$Y$15,17,0)</f>
        <v>31.41</v>
      </c>
      <c r="G19" s="22">
        <f>E19*F19</f>
        <v>31.41</v>
      </c>
      <c r="H19" s="22">
        <f t="shared" si="1"/>
        <v>0.5</v>
      </c>
      <c r="I19" s="23">
        <f t="shared" si="2"/>
        <v>1.6175994823681657E-2</v>
      </c>
      <c r="J19" s="23">
        <f t="shared" si="5"/>
        <v>6.4220261142767354E-2</v>
      </c>
      <c r="K19" s="108">
        <f t="shared" si="4"/>
        <v>6.5280472718910104E-2</v>
      </c>
    </row>
    <row r="20" spans="1:11" hidden="1" x14ac:dyDescent="0.2">
      <c r="A20" s="107" t="s">
        <v>83</v>
      </c>
      <c r="B20" s="73">
        <v>1</v>
      </c>
      <c r="C20" s="78">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84</v>
      </c>
      <c r="B21" s="73">
        <v>1</v>
      </c>
      <c r="C21" s="78">
        <v>0</v>
      </c>
      <c r="D21" s="22">
        <f t="shared" ref="D21:D22" si="8">B21*C21</f>
        <v>0</v>
      </c>
      <c r="E21" s="73">
        <f t="shared" si="6"/>
        <v>1</v>
      </c>
      <c r="F21" s="122">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v>
      </c>
      <c r="D22" s="22">
        <f t="shared" si="8"/>
        <v>0</v>
      </c>
      <c r="E22" s="73">
        <f t="shared" si="6"/>
        <v>1</v>
      </c>
      <c r="F22" s="122">
        <f>VLOOKUP($B$3,'Data for Bill Impacts'!$A$3:$Y$15,22,0)</f>
        <v>0</v>
      </c>
      <c r="G22" s="22">
        <f t="shared" si="7"/>
        <v>0</v>
      </c>
      <c r="H22" s="22">
        <f t="shared" si="1"/>
        <v>0</v>
      </c>
      <c r="I22" s="23">
        <f t="shared" si="2"/>
        <v>0</v>
      </c>
      <c r="J22" s="23">
        <f t="shared" si="5"/>
        <v>0</v>
      </c>
      <c r="K22" s="108">
        <f t="shared" si="4"/>
        <v>0</v>
      </c>
    </row>
    <row r="23" spans="1:11" x14ac:dyDescent="0.2">
      <c r="A23" s="107" t="s">
        <v>39</v>
      </c>
      <c r="B23" s="73">
        <f>IF($B$9="kWh",$B$4,$B$5)</f>
        <v>2000</v>
      </c>
      <c r="C23" s="126">
        <f>VLOOKUP($B$3,'Data for Bill Impacts'!$A$3:$Y$15,10,0)</f>
        <v>6.3399999999999998E-2</v>
      </c>
      <c r="D23" s="22">
        <f>B23*C23</f>
        <v>126.8</v>
      </c>
      <c r="E23" s="73">
        <f t="shared" si="6"/>
        <v>2000</v>
      </c>
      <c r="F23" s="78">
        <f>VLOOKUP($B$3,'Data for Bill Impacts'!$A$3:$Y$15,19,0)</f>
        <v>6.5199999999999994E-2</v>
      </c>
      <c r="G23" s="22">
        <f>E23*F23</f>
        <v>130.39999999999998</v>
      </c>
      <c r="H23" s="22">
        <f t="shared" si="1"/>
        <v>3.5999999999999801</v>
      </c>
      <c r="I23" s="23">
        <f t="shared" si="2"/>
        <v>2.8391167192428866E-2</v>
      </c>
      <c r="J23" s="23">
        <f t="shared" si="5"/>
        <v>0.26661324587764601</v>
      </c>
      <c r="K23" s="108">
        <f t="shared" si="4"/>
        <v>0.2710147609852237</v>
      </c>
    </row>
    <row r="24" spans="1:11" x14ac:dyDescent="0.2">
      <c r="A24" s="107" t="s">
        <v>194</v>
      </c>
      <c r="B24" s="73">
        <f>IF($B$9="kWh",$B$4,$B$5)</f>
        <v>2000</v>
      </c>
      <c r="C24" s="126">
        <f>VLOOKUP($B$3,'Data for Bill Impacts'!$A$3:$Y$15,14,0)</f>
        <v>2.0000000000000001E-4</v>
      </c>
      <c r="D24" s="34">
        <f>B24*C24</f>
        <v>0.4</v>
      </c>
      <c r="E24" s="73">
        <f t="shared" si="6"/>
        <v>2000</v>
      </c>
      <c r="F24" s="126">
        <f>VLOOKUP($B$3,'Data for Bill Impacts'!$A$3:$Y$15,23,0)</f>
        <v>2.0000000000000001E-4</v>
      </c>
      <c r="G24" s="34">
        <f>E24*F24</f>
        <v>0.4</v>
      </c>
      <c r="H24" s="22">
        <f t="shared" si="1"/>
        <v>0</v>
      </c>
      <c r="I24" s="23">
        <f>IF(ISERROR(H24/D24),0,(H24/D24))</f>
        <v>0</v>
      </c>
      <c r="J24" s="23">
        <f t="shared" ref="J24" si="9">G24/$G$46</f>
        <v>8.1783204256946651E-4</v>
      </c>
      <c r="K24" s="108">
        <f t="shared" si="4"/>
        <v>8.3133362265406065E-4</v>
      </c>
    </row>
    <row r="25" spans="1:11" s="1" customFormat="1" x14ac:dyDescent="0.2">
      <c r="A25" s="110" t="s">
        <v>72</v>
      </c>
      <c r="B25" s="74"/>
      <c r="C25" s="35"/>
      <c r="D25" s="35">
        <f>SUM(D19:D24)</f>
        <v>158.11000000000001</v>
      </c>
      <c r="E25" s="73"/>
      <c r="F25" s="35"/>
      <c r="G25" s="35">
        <f>SUM(G19:G24)</f>
        <v>162.20999999999998</v>
      </c>
      <c r="H25" s="35">
        <f t="shared" si="1"/>
        <v>4.0999999999999659</v>
      </c>
      <c r="I25" s="36">
        <f t="shared" si="2"/>
        <v>2.5931313642400641E-2</v>
      </c>
      <c r="J25" s="36">
        <f>G25/$G$46</f>
        <v>0.33165133906298283</v>
      </c>
      <c r="K25" s="111">
        <f t="shared" si="4"/>
        <v>0.33712656732678786</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G26/$G$46</f>
        <v>1.6152182840746964E-3</v>
      </c>
      <c r="K26" s="108">
        <f t="shared" si="4"/>
        <v>1.6418839047417698E-3</v>
      </c>
    </row>
    <row r="27" spans="1:11" s="1" customFormat="1" x14ac:dyDescent="0.2">
      <c r="A27" s="119" t="s">
        <v>75</v>
      </c>
      <c r="B27" s="120">
        <f>B8-B4</f>
        <v>192</v>
      </c>
      <c r="C27" s="121">
        <f>IF(B4&gt;B7,C13,C12)</f>
        <v>0.121</v>
      </c>
      <c r="D27" s="22">
        <f>B27*C27</f>
        <v>23.231999999999999</v>
      </c>
      <c r="E27" s="73">
        <f>B27</f>
        <v>192</v>
      </c>
      <c r="F27" s="121">
        <f>C27</f>
        <v>0.121</v>
      </c>
      <c r="G27" s="22">
        <f>E27*F27</f>
        <v>23.231999999999999</v>
      </c>
      <c r="H27" s="22">
        <f t="shared" si="1"/>
        <v>0</v>
      </c>
      <c r="I27" s="23">
        <f>IF(ISERROR(H27/D27),0,(H27/D27))</f>
        <v>0</v>
      </c>
      <c r="J27" s="23">
        <f t="shared" ref="J27:J46" si="10">G27/$G$46</f>
        <v>4.749968503243461E-2</v>
      </c>
      <c r="K27" s="108">
        <f t="shared" ref="K27:K41" si="11">G27/$G$51</f>
        <v>4.8283856803747839E-2</v>
      </c>
    </row>
    <row r="28" spans="1:11" s="1" customFormat="1" x14ac:dyDescent="0.2">
      <c r="A28" s="119" t="s">
        <v>74</v>
      </c>
      <c r="B28" s="120">
        <f>B8-B4</f>
        <v>192</v>
      </c>
      <c r="C28" s="121">
        <f>0.65*C15+0.17*C16+0.18*C17</f>
        <v>0.11139</v>
      </c>
      <c r="D28" s="22">
        <f>B28*C28</f>
        <v>21.386880000000001</v>
      </c>
      <c r="E28" s="73">
        <f>B28</f>
        <v>192</v>
      </c>
      <c r="F28" s="121">
        <f>C28</f>
        <v>0.11139</v>
      </c>
      <c r="G28" s="22">
        <f>E28*F28</f>
        <v>21.386880000000001</v>
      </c>
      <c r="H28" s="22">
        <f t="shared" si="1"/>
        <v>0</v>
      </c>
      <c r="I28" s="23">
        <f>IF(ISERROR(H28/D28),0,(H28/D28))</f>
        <v>0</v>
      </c>
      <c r="J28" s="23">
        <f t="shared" si="10"/>
        <v>4.3727189386470182E-2</v>
      </c>
      <c r="K28" s="108">
        <f t="shared" si="11"/>
        <v>4.4449081069169193E-2</v>
      </c>
    </row>
    <row r="29" spans="1:11" s="1" customFormat="1" x14ac:dyDescent="0.2">
      <c r="A29" s="110" t="s">
        <v>78</v>
      </c>
      <c r="B29" s="74"/>
      <c r="C29" s="35"/>
      <c r="D29" s="35">
        <f>SUM(D25,D26:D27)</f>
        <v>182.13200000000001</v>
      </c>
      <c r="E29" s="73"/>
      <c r="F29" s="35"/>
      <c r="G29" s="35">
        <f>SUM(G25,G26:G27)</f>
        <v>186.23199999999997</v>
      </c>
      <c r="H29" s="35">
        <f t="shared" si="1"/>
        <v>4.0999999999999659</v>
      </c>
      <c r="I29" s="36">
        <f>IF(ISERROR(H29/D29),0,(H29/D29))</f>
        <v>2.2511145762413885E-2</v>
      </c>
      <c r="J29" s="36">
        <f t="shared" si="10"/>
        <v>0.38076624237949214</v>
      </c>
      <c r="K29" s="111">
        <f t="shared" si="11"/>
        <v>0.38705230803527746</v>
      </c>
    </row>
    <row r="30" spans="1:11" s="1" customFormat="1" x14ac:dyDescent="0.2">
      <c r="A30" s="110" t="s">
        <v>77</v>
      </c>
      <c r="B30" s="74"/>
      <c r="C30" s="35"/>
      <c r="D30" s="35">
        <f>SUM(D25,D26,D28)</f>
        <v>180.28688</v>
      </c>
      <c r="E30" s="73"/>
      <c r="F30" s="35"/>
      <c r="G30" s="35">
        <f>SUM(G25,G26,G28)</f>
        <v>184.38687999999996</v>
      </c>
      <c r="H30" s="35">
        <f t="shared" si="1"/>
        <v>4.0999999999999659</v>
      </c>
      <c r="I30" s="36">
        <f>IF(ISERROR(H30/D30),0,(H30/D30))</f>
        <v>2.2741532828123523E-2</v>
      </c>
      <c r="J30" s="36">
        <f t="shared" si="10"/>
        <v>0.37699374673352765</v>
      </c>
      <c r="K30" s="111">
        <f t="shared" si="11"/>
        <v>0.38321753230069877</v>
      </c>
    </row>
    <row r="31" spans="1:11" x14ac:dyDescent="0.2">
      <c r="A31" s="107" t="s">
        <v>40</v>
      </c>
      <c r="B31" s="73">
        <f>B8</f>
        <v>2192</v>
      </c>
      <c r="C31" s="126">
        <f>VLOOKUP($B$3,'Data for Bill Impacts'!$A$3:$Y$15,15,0)</f>
        <v>5.6930000000000001E-3</v>
      </c>
      <c r="D31" s="22">
        <f>B31*C31</f>
        <v>12.479056</v>
      </c>
      <c r="E31" s="73">
        <f t="shared" si="6"/>
        <v>2192</v>
      </c>
      <c r="F31" s="78">
        <f>VLOOKUP($B$3,'Data for Bill Impacts'!$A$3:$Y$15,24,0)</f>
        <v>5.4999999999999997E-3</v>
      </c>
      <c r="G31" s="22">
        <f>E31*F31</f>
        <v>12.055999999999999</v>
      </c>
      <c r="H31" s="22">
        <f t="shared" si="1"/>
        <v>-0.42305600000000076</v>
      </c>
      <c r="I31" s="23">
        <f t="shared" si="2"/>
        <v>-3.3901282276479948E-2</v>
      </c>
      <c r="J31" s="23">
        <f t="shared" si="10"/>
        <v>2.4649457763043718E-2</v>
      </c>
      <c r="K31" s="108">
        <f t="shared" si="11"/>
        <v>2.5056395386793384E-2</v>
      </c>
    </row>
    <row r="32" spans="1:11" x14ac:dyDescent="0.2">
      <c r="A32" s="107" t="s">
        <v>41</v>
      </c>
      <c r="B32" s="73">
        <f>B8</f>
        <v>2192</v>
      </c>
      <c r="C32" s="126">
        <f>VLOOKUP($B$3,'Data for Bill Impacts'!$A$3:$Y$15,16,0)</f>
        <v>4.4740000000000005E-3</v>
      </c>
      <c r="D32" s="22">
        <f>B32*C32</f>
        <v>9.8070080000000015</v>
      </c>
      <c r="E32" s="73">
        <f t="shared" si="6"/>
        <v>2192</v>
      </c>
      <c r="F32" s="78">
        <f>VLOOKUP($B$3,'Data for Bill Impacts'!$A$3:$Y$15,25,0)</f>
        <v>4.4999999999999997E-3</v>
      </c>
      <c r="G32" s="22">
        <f>E32*F32</f>
        <v>9.863999999999999</v>
      </c>
      <c r="H32" s="22">
        <f t="shared" si="1"/>
        <v>5.6991999999997489E-2</v>
      </c>
      <c r="I32" s="23">
        <f t="shared" si="2"/>
        <v>5.8113544926237928E-3</v>
      </c>
      <c r="J32" s="23">
        <f t="shared" si="10"/>
        <v>2.0167738169763041E-2</v>
      </c>
      <c r="K32" s="108">
        <f t="shared" si="11"/>
        <v>2.0500687134649132E-2</v>
      </c>
    </row>
    <row r="33" spans="1:11" s="1" customFormat="1" x14ac:dyDescent="0.2">
      <c r="A33" s="110" t="s">
        <v>76</v>
      </c>
      <c r="B33" s="74"/>
      <c r="C33" s="35"/>
      <c r="D33" s="35">
        <f>SUM(D31:D32)</f>
        <v>22.286064000000003</v>
      </c>
      <c r="E33" s="73"/>
      <c r="F33" s="35"/>
      <c r="G33" s="35">
        <f>SUM(G31:G32)</f>
        <v>21.919999999999998</v>
      </c>
      <c r="H33" s="35">
        <f t="shared" si="1"/>
        <v>-0.36606400000000505</v>
      </c>
      <c r="I33" s="36">
        <f t="shared" si="2"/>
        <v>-1.6425690960952324E-2</v>
      </c>
      <c r="J33" s="36">
        <f t="shared" si="10"/>
        <v>4.481719593280676E-2</v>
      </c>
      <c r="K33" s="111">
        <f t="shared" si="11"/>
        <v>4.5557082521442513E-2</v>
      </c>
    </row>
    <row r="34" spans="1:11" s="1" customFormat="1" x14ac:dyDescent="0.2">
      <c r="A34" s="110" t="s">
        <v>95</v>
      </c>
      <c r="B34" s="74"/>
      <c r="C34" s="35"/>
      <c r="D34" s="35">
        <f>D29+D33</f>
        <v>204.41806400000002</v>
      </c>
      <c r="E34" s="73"/>
      <c r="F34" s="35"/>
      <c r="G34" s="35">
        <f>G29+G33</f>
        <v>208.15199999999996</v>
      </c>
      <c r="H34" s="35">
        <f t="shared" si="1"/>
        <v>3.7339359999999431</v>
      </c>
      <c r="I34" s="36">
        <f t="shared" si="2"/>
        <v>1.826617436314211E-2</v>
      </c>
      <c r="J34" s="36">
        <f t="shared" si="10"/>
        <v>0.42558343831229883</v>
      </c>
      <c r="K34" s="111">
        <f t="shared" si="11"/>
        <v>0.43260939055671999</v>
      </c>
    </row>
    <row r="35" spans="1:11" s="1" customFormat="1" x14ac:dyDescent="0.2">
      <c r="A35" s="110" t="s">
        <v>96</v>
      </c>
      <c r="B35" s="74"/>
      <c r="C35" s="35"/>
      <c r="D35" s="35">
        <f>D30+D33</f>
        <v>202.57294400000001</v>
      </c>
      <c r="E35" s="73"/>
      <c r="F35" s="35"/>
      <c r="G35" s="35">
        <f>G30+G33</f>
        <v>206.30687999999995</v>
      </c>
      <c r="H35" s="35">
        <f t="shared" si="1"/>
        <v>3.7339359999999431</v>
      </c>
      <c r="I35" s="36">
        <f t="shared" si="2"/>
        <v>1.8432550400215061E-2</v>
      </c>
      <c r="J35" s="36">
        <f t="shared" si="10"/>
        <v>0.4218109426663344</v>
      </c>
      <c r="K35" s="111">
        <f t="shared" si="11"/>
        <v>0.4287746148221413</v>
      </c>
    </row>
    <row r="36" spans="1:11" x14ac:dyDescent="0.2">
      <c r="A36" s="107" t="s">
        <v>42</v>
      </c>
      <c r="B36" s="73">
        <f>B8</f>
        <v>2192</v>
      </c>
      <c r="C36" s="34">
        <v>3.5999999999999999E-3</v>
      </c>
      <c r="D36" s="22">
        <f>B36*C36</f>
        <v>7.8911999999999995</v>
      </c>
      <c r="E36" s="73">
        <f t="shared" si="6"/>
        <v>2192</v>
      </c>
      <c r="F36" s="34">
        <v>3.5999999999999999E-3</v>
      </c>
      <c r="G36" s="22">
        <f>E36*F36</f>
        <v>7.8911999999999995</v>
      </c>
      <c r="H36" s="22">
        <f t="shared" si="1"/>
        <v>0</v>
      </c>
      <c r="I36" s="23">
        <f t="shared" si="2"/>
        <v>0</v>
      </c>
      <c r="J36" s="23">
        <f t="shared" si="10"/>
        <v>1.6134190535810434E-2</v>
      </c>
      <c r="K36" s="108">
        <f t="shared" si="11"/>
        <v>1.6400549707719307E-2</v>
      </c>
    </row>
    <row r="37" spans="1:11" x14ac:dyDescent="0.2">
      <c r="A37" s="107" t="s">
        <v>43</v>
      </c>
      <c r="B37" s="73">
        <f>B8</f>
        <v>2192</v>
      </c>
      <c r="C37" s="34">
        <v>2.0999999999999999E-3</v>
      </c>
      <c r="D37" s="22">
        <f>B37*C37</f>
        <v>4.6031999999999993</v>
      </c>
      <c r="E37" s="73">
        <f t="shared" si="6"/>
        <v>2192</v>
      </c>
      <c r="F37" s="34">
        <v>2.0999999999999999E-3</v>
      </c>
      <c r="G37" s="22">
        <f>E37*F37</f>
        <v>4.6031999999999993</v>
      </c>
      <c r="H37" s="22">
        <f>G37-D37</f>
        <v>0</v>
      </c>
      <c r="I37" s="23">
        <f t="shared" si="2"/>
        <v>0</v>
      </c>
      <c r="J37" s="23">
        <f t="shared" si="10"/>
        <v>9.4116111458894189E-3</v>
      </c>
      <c r="K37" s="108">
        <f t="shared" si="11"/>
        <v>9.5669873295029274E-3</v>
      </c>
    </row>
    <row r="38" spans="1:11" x14ac:dyDescent="0.2">
      <c r="A38" s="107" t="s">
        <v>100</v>
      </c>
      <c r="B38" s="73">
        <f>B8</f>
        <v>2192</v>
      </c>
      <c r="C38" s="34">
        <v>1.1000000000000001E-3</v>
      </c>
      <c r="D38" s="22">
        <f>B38*C38</f>
        <v>2.4112</v>
      </c>
      <c r="E38" s="73">
        <f t="shared" si="6"/>
        <v>2192</v>
      </c>
      <c r="F38" s="34">
        <v>1.1000000000000001E-3</v>
      </c>
      <c r="G38" s="22">
        <f>E38*F38</f>
        <v>2.4112</v>
      </c>
      <c r="H38" s="22">
        <f>G38-D38</f>
        <v>0</v>
      </c>
      <c r="I38" s="23">
        <f t="shared" ref="I38" si="12">IF(ISERROR(H38/D38),0,(H38/D38))</f>
        <v>0</v>
      </c>
      <c r="J38" s="23">
        <f t="shared" ref="J38" si="13">G38/$G$46</f>
        <v>4.929891552608744E-3</v>
      </c>
      <c r="K38" s="108">
        <f t="shared" ref="K38" si="14">G38/$G$51</f>
        <v>5.0112790773586772E-3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10"/>
        <v>5.1114502660591654E-4</v>
      </c>
      <c r="K39" s="108">
        <f t="shared" si="11"/>
        <v>5.1958351415878781E-4</v>
      </c>
    </row>
    <row r="40" spans="1:11" s="1" customFormat="1" x14ac:dyDescent="0.2">
      <c r="A40" s="110" t="s">
        <v>45</v>
      </c>
      <c r="B40" s="74"/>
      <c r="C40" s="35"/>
      <c r="D40" s="35">
        <f>SUM(D36:D39)</f>
        <v>15.1556</v>
      </c>
      <c r="E40" s="73"/>
      <c r="F40" s="35"/>
      <c r="G40" s="35">
        <f>SUM(G36:G39)</f>
        <v>15.1556</v>
      </c>
      <c r="H40" s="35">
        <f t="shared" si="1"/>
        <v>0</v>
      </c>
      <c r="I40" s="36">
        <f t="shared" si="2"/>
        <v>0</v>
      </c>
      <c r="J40" s="36">
        <f t="shared" si="10"/>
        <v>3.0986838260914511E-2</v>
      </c>
      <c r="K40" s="111">
        <f t="shared" si="11"/>
        <v>3.1498399628739703E-2</v>
      </c>
    </row>
    <row r="41" spans="1:11" s="1" customFormat="1" ht="13.5" thickBot="1" x14ac:dyDescent="0.25">
      <c r="A41" s="112" t="s">
        <v>46</v>
      </c>
      <c r="B41" s="113">
        <f>B4</f>
        <v>2000</v>
      </c>
      <c r="C41" s="114">
        <v>7.0000000000000001E-3</v>
      </c>
      <c r="D41" s="115">
        <f>B41*C41</f>
        <v>14</v>
      </c>
      <c r="E41" s="116">
        <f t="shared" si="6"/>
        <v>2000</v>
      </c>
      <c r="F41" s="114">
        <f>C41</f>
        <v>7.0000000000000001E-3</v>
      </c>
      <c r="G41" s="115">
        <f>E41*F41</f>
        <v>14</v>
      </c>
      <c r="H41" s="115">
        <f t="shared" si="1"/>
        <v>0</v>
      </c>
      <c r="I41" s="117">
        <f t="shared" si="2"/>
        <v>0</v>
      </c>
      <c r="J41" s="117">
        <f t="shared" si="10"/>
        <v>2.8624121489931324E-2</v>
      </c>
      <c r="K41" s="118">
        <f t="shared" si="11"/>
        <v>2.9096676792892122E-2</v>
      </c>
    </row>
    <row r="42" spans="1:11" s="1" customFormat="1" x14ac:dyDescent="0.2">
      <c r="A42" s="37" t="s">
        <v>137</v>
      </c>
      <c r="B42" s="38"/>
      <c r="C42" s="39"/>
      <c r="D42" s="39">
        <f>SUM(D14,D25,D26,D27,D33,D40,D41)</f>
        <v>462.07366400000006</v>
      </c>
      <c r="E42" s="38"/>
      <c r="F42" s="39"/>
      <c r="G42" s="39">
        <f>SUM(G14,G25,G26,G27,G33,G40,G41)</f>
        <v>465.80759999999998</v>
      </c>
      <c r="H42" s="39">
        <f t="shared" si="1"/>
        <v>3.7339359999999147</v>
      </c>
      <c r="I42" s="40">
        <f>IF(ISERROR(H42/D42),0,(H42/D42))</f>
        <v>8.0808240999424592E-3</v>
      </c>
      <c r="J42" s="40">
        <f t="shared" si="10"/>
        <v>0.95238095238095244</v>
      </c>
      <c r="K42" s="41"/>
    </row>
    <row r="43" spans="1:11" x14ac:dyDescent="0.2">
      <c r="A43" s="150" t="s">
        <v>138</v>
      </c>
      <c r="B43" s="43"/>
      <c r="C43" s="26">
        <v>0.13</v>
      </c>
      <c r="D43" s="26">
        <f>D42*C43</f>
        <v>60.06957632000001</v>
      </c>
      <c r="E43" s="26"/>
      <c r="F43" s="26">
        <f>C43</f>
        <v>0.13</v>
      </c>
      <c r="G43" s="26">
        <f>G42*F43</f>
        <v>60.554988000000002</v>
      </c>
      <c r="H43" s="26">
        <f t="shared" si="1"/>
        <v>0.48541167999999146</v>
      </c>
      <c r="I43" s="44">
        <f t="shared" si="2"/>
        <v>8.0808240999425008E-3</v>
      </c>
      <c r="J43" s="44">
        <f t="shared" si="10"/>
        <v>0.12380952380952383</v>
      </c>
      <c r="K43" s="45"/>
    </row>
    <row r="44" spans="1:11" s="1" customFormat="1" x14ac:dyDescent="0.2">
      <c r="A44" s="46" t="s">
        <v>139</v>
      </c>
      <c r="B44" s="24"/>
      <c r="C44" s="25"/>
      <c r="D44" s="25">
        <f>SUM(D42:D43)</f>
        <v>522.14324032000013</v>
      </c>
      <c r="E44" s="25"/>
      <c r="F44" s="25"/>
      <c r="G44" s="25">
        <f>SUM(G42:G43)</f>
        <v>526.36258799999996</v>
      </c>
      <c r="H44" s="25">
        <f t="shared" si="1"/>
        <v>4.219347679999828</v>
      </c>
      <c r="I44" s="27">
        <f t="shared" si="2"/>
        <v>8.0808240999423134E-3</v>
      </c>
      <c r="J44" s="27">
        <f t="shared" si="10"/>
        <v>1.0761904761904761</v>
      </c>
      <c r="K44" s="47"/>
    </row>
    <row r="45" spans="1:11" x14ac:dyDescent="0.2">
      <c r="A45" s="42" t="s">
        <v>140</v>
      </c>
      <c r="B45" s="43"/>
      <c r="C45" s="26">
        <v>-0.08</v>
      </c>
      <c r="D45" s="26">
        <f>D42*C45</f>
        <v>-36.965893120000004</v>
      </c>
      <c r="E45" s="26"/>
      <c r="F45" s="26">
        <f>C45</f>
        <v>-0.08</v>
      </c>
      <c r="G45" s="26">
        <f>G42*F45</f>
        <v>-37.264608000000003</v>
      </c>
      <c r="H45" s="26">
        <f t="shared" si="1"/>
        <v>-0.29871487999999857</v>
      </c>
      <c r="I45" s="44">
        <f t="shared" si="2"/>
        <v>8.0808240999426049E-3</v>
      </c>
      <c r="J45" s="44">
        <f t="shared" si="10"/>
        <v>-7.6190476190476197E-2</v>
      </c>
      <c r="K45" s="45"/>
    </row>
    <row r="46" spans="1:11" s="1" customFormat="1" ht="13.5" thickBot="1" x14ac:dyDescent="0.25">
      <c r="A46" s="48" t="s">
        <v>141</v>
      </c>
      <c r="B46" s="49"/>
      <c r="C46" s="50"/>
      <c r="D46" s="50">
        <f>SUM(D44:D45)</f>
        <v>485.1773472000001</v>
      </c>
      <c r="E46" s="50"/>
      <c r="F46" s="50"/>
      <c r="G46" s="50">
        <f>SUM(G44:G45)</f>
        <v>489.09797999999995</v>
      </c>
      <c r="H46" s="50">
        <f t="shared" si="1"/>
        <v>3.9206327999998507</v>
      </c>
      <c r="I46" s="51">
        <f t="shared" si="2"/>
        <v>8.080824099942336E-3</v>
      </c>
      <c r="J46" s="51">
        <f t="shared" si="10"/>
        <v>1</v>
      </c>
      <c r="K46" s="52"/>
    </row>
    <row r="47" spans="1:11" x14ac:dyDescent="0.2">
      <c r="A47" s="53" t="s">
        <v>142</v>
      </c>
      <c r="B47" s="54"/>
      <c r="C47" s="55"/>
      <c r="D47" s="55">
        <f>SUM(D18,D25,D26,D28,D33,D40,D41)</f>
        <v>454.50854400000003</v>
      </c>
      <c r="E47" s="55"/>
      <c r="F47" s="55"/>
      <c r="G47" s="55">
        <f>SUM(G18,G25,G26,G28,G33,G40,G41)</f>
        <v>458.24248</v>
      </c>
      <c r="H47" s="55">
        <f>G47-D47</f>
        <v>3.7339359999999715</v>
      </c>
      <c r="I47" s="56">
        <f>IF(ISERROR(H47/D47),0,(H47/D47))</f>
        <v>8.2153263107854167E-3</v>
      </c>
      <c r="J47" s="56"/>
      <c r="K47" s="57">
        <f>G47/$G$51</f>
        <v>0.95238095238095222</v>
      </c>
    </row>
    <row r="48" spans="1:11" x14ac:dyDescent="0.2">
      <c r="A48" s="58" t="s">
        <v>138</v>
      </c>
      <c r="B48" s="59"/>
      <c r="C48" s="31">
        <v>0.13</v>
      </c>
      <c r="D48" s="31">
        <f>D47*C48</f>
        <v>59.086110720000008</v>
      </c>
      <c r="E48" s="31"/>
      <c r="F48" s="31">
        <f>C48</f>
        <v>0.13</v>
      </c>
      <c r="G48" s="31">
        <f>G47*F48</f>
        <v>59.571522399999999</v>
      </c>
      <c r="H48" s="31">
        <f>G48-D48</f>
        <v>0.48541167999999146</v>
      </c>
      <c r="I48" s="32">
        <f>IF(ISERROR(H48/D48),0,(H48/D48))</f>
        <v>8.2153263107853352E-3</v>
      </c>
      <c r="J48" s="32"/>
      <c r="K48" s="60">
        <f>G48/$G$51</f>
        <v>0.12380952380952379</v>
      </c>
    </row>
    <row r="49" spans="1:11" x14ac:dyDescent="0.2">
      <c r="A49" s="141" t="s">
        <v>143</v>
      </c>
      <c r="B49" s="29"/>
      <c r="C49" s="30"/>
      <c r="D49" s="30">
        <f>SUM(D47:D48)</f>
        <v>513.59465471999999</v>
      </c>
      <c r="E49" s="30"/>
      <c r="F49" s="30"/>
      <c r="G49" s="30">
        <f>SUM(G47:G48)</f>
        <v>517.81400240000005</v>
      </c>
      <c r="H49" s="30">
        <f>G49-D49</f>
        <v>4.2193476800000553</v>
      </c>
      <c r="I49" s="33">
        <f>IF(ISERROR(H49/D49),0,(H49/D49))</f>
        <v>8.2153263107855885E-3</v>
      </c>
      <c r="J49" s="33"/>
      <c r="K49" s="62">
        <f>G49/$G$51</f>
        <v>1.0761904761904761</v>
      </c>
    </row>
    <row r="50" spans="1:11" x14ac:dyDescent="0.2">
      <c r="A50" s="58" t="s">
        <v>140</v>
      </c>
      <c r="B50" s="59"/>
      <c r="C50" s="31">
        <v>-0.08</v>
      </c>
      <c r="D50" s="31">
        <f>D47*C50</f>
        <v>-36.360683520000002</v>
      </c>
      <c r="E50" s="31"/>
      <c r="F50" s="31">
        <f>C50</f>
        <v>-0.08</v>
      </c>
      <c r="G50" s="31">
        <f>G47*F50</f>
        <v>-36.659398400000001</v>
      </c>
      <c r="H50" s="31">
        <f>G50-D50</f>
        <v>-0.29871487999999857</v>
      </c>
      <c r="I50" s="32">
        <f>IF(ISERROR(H50/D50),0,(H50/D50))</f>
        <v>8.215326310785441E-3</v>
      </c>
      <c r="J50" s="32"/>
      <c r="K50" s="60">
        <f>G50/$G$51</f>
        <v>-7.6190476190476183E-2</v>
      </c>
    </row>
    <row r="51" spans="1:11" ht="13.5" thickBot="1" x14ac:dyDescent="0.25">
      <c r="A51" s="63" t="s">
        <v>144</v>
      </c>
      <c r="B51" s="64"/>
      <c r="C51" s="65"/>
      <c r="D51" s="65">
        <f>SUM(D49:D50)</f>
        <v>477.23397119999998</v>
      </c>
      <c r="E51" s="65"/>
      <c r="F51" s="65"/>
      <c r="G51" s="65">
        <f>SUM(G49:G50)</f>
        <v>481.15460400000006</v>
      </c>
      <c r="H51" s="65">
        <f>G51-D51</f>
        <v>3.9206328000000781</v>
      </c>
      <c r="I51" s="66">
        <f>IF(ISERROR(H51/D51),0,(H51/D51))</f>
        <v>8.215326310785644E-3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c r="K64"/>
    </row>
    <row r="65" spans="6:11" x14ac:dyDescent="0.2">
      <c r="F65" s="69"/>
      <c r="K65"/>
    </row>
    <row r="66" spans="6:11" x14ac:dyDescent="0.2">
      <c r="F66" s="69"/>
      <c r="K66"/>
    </row>
    <row r="67" spans="6:11" x14ac:dyDescent="0.2">
      <c r="F67" s="69"/>
      <c r="K67"/>
    </row>
    <row r="68" spans="6:11" x14ac:dyDescent="0.2">
      <c r="F68" s="69"/>
      <c r="K68"/>
    </row>
  </sheetData>
  <mergeCells count="1">
    <mergeCell ref="A1:K1"/>
  </mergeCell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7">
    <tabColor theme="1" tint="0.499984740745262"/>
    <pageSetUpPr fitToPage="1"/>
  </sheetPr>
  <dimension ref="A1:K68"/>
  <sheetViews>
    <sheetView topLeftCell="A19" workbookViewId="0">
      <selection activeCell="C19" sqref="C19"/>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48" t="s">
        <v>112</v>
      </c>
      <c r="B1" s="349"/>
      <c r="C1" s="349"/>
      <c r="D1" s="349"/>
      <c r="E1" s="349"/>
      <c r="F1" s="349"/>
      <c r="G1" s="349"/>
      <c r="H1" s="349"/>
      <c r="I1" s="349"/>
      <c r="J1" s="349"/>
      <c r="K1" s="350"/>
    </row>
    <row r="3" spans="1:11" x14ac:dyDescent="0.2">
      <c r="A3" s="13" t="s">
        <v>13</v>
      </c>
      <c r="B3" s="13" t="s">
        <v>88</v>
      </c>
    </row>
    <row r="4" spans="1:11" x14ac:dyDescent="0.2">
      <c r="A4" s="15" t="s">
        <v>62</v>
      </c>
      <c r="B4" s="79">
        <f>'Data for Bill Impacts_HONI Avg '!C7</f>
        <v>1982</v>
      </c>
    </row>
    <row r="5" spans="1:11" x14ac:dyDescent="0.2">
      <c r="A5" s="15" t="s">
        <v>16</v>
      </c>
      <c r="B5" s="15">
        <f>VLOOKUP($B$3,'Data for Bill Impacts'!$A$3:$Y$15,5,0)</f>
        <v>0</v>
      </c>
    </row>
    <row r="6" spans="1:11" x14ac:dyDescent="0.2">
      <c r="A6" s="15" t="s">
        <v>20</v>
      </c>
      <c r="B6" s="15">
        <f>VLOOKUP($B$3,'Data for Bill Impacts'!$A$3:$Y$15,2,0)</f>
        <v>1.0960000000000001</v>
      </c>
    </row>
    <row r="7" spans="1:11" x14ac:dyDescent="0.2">
      <c r="A7" s="15" t="s">
        <v>15</v>
      </c>
      <c r="B7" s="15">
        <f>VLOOKUP($B$3,'Data for Bill Impacts'!$A$3:$Y$15,4,0)</f>
        <v>750</v>
      </c>
    </row>
    <row r="8" spans="1:11" x14ac:dyDescent="0.2">
      <c r="A8" s="15" t="s">
        <v>82</v>
      </c>
      <c r="B8" s="15">
        <f>B4*B6</f>
        <v>2172.2720000000004</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0.10299999999999999</v>
      </c>
      <c r="D12" s="104">
        <f>B12*C12</f>
        <v>77.25</v>
      </c>
      <c r="E12" s="102">
        <f>B12</f>
        <v>750</v>
      </c>
      <c r="F12" s="103">
        <f>C12</f>
        <v>0.10299999999999999</v>
      </c>
      <c r="G12" s="104">
        <f>E12*F12</f>
        <v>77.25</v>
      </c>
      <c r="H12" s="104">
        <f>G12-D12</f>
        <v>0</v>
      </c>
      <c r="I12" s="105">
        <f>IF(ISERROR(H12/D12),0,(H12/D12))</f>
        <v>0</v>
      </c>
      <c r="J12" s="105">
        <f>G12/$G$46</f>
        <v>0.15931935449502613</v>
      </c>
      <c r="K12" s="106"/>
    </row>
    <row r="13" spans="1:11" x14ac:dyDescent="0.2">
      <c r="A13" s="107" t="s">
        <v>32</v>
      </c>
      <c r="B13" s="73">
        <f>IF(B4&gt;B7,(B4)-B7,0)</f>
        <v>1232</v>
      </c>
      <c r="C13" s="21">
        <v>0.121</v>
      </c>
      <c r="D13" s="22">
        <f>B13*C13</f>
        <v>149.072</v>
      </c>
      <c r="E13" s="73">
        <f t="shared" ref="E13" si="0">B13</f>
        <v>1232</v>
      </c>
      <c r="F13" s="21">
        <f>C13</f>
        <v>0.121</v>
      </c>
      <c r="G13" s="22">
        <f>E13*F13</f>
        <v>149.072</v>
      </c>
      <c r="H13" s="22">
        <f t="shared" ref="H13:H46" si="1">G13-D13</f>
        <v>0</v>
      </c>
      <c r="I13" s="23">
        <f t="shared" ref="I13:I46" si="2">IF(ISERROR(H13/D13),0,(H13/D13))</f>
        <v>0</v>
      </c>
      <c r="J13" s="23">
        <f>G13/$G$46</f>
        <v>0.30744407525284834</v>
      </c>
      <c r="K13" s="108"/>
    </row>
    <row r="14" spans="1:11" s="1" customFormat="1" x14ac:dyDescent="0.2">
      <c r="A14" s="46" t="s">
        <v>33</v>
      </c>
      <c r="B14" s="24"/>
      <c r="C14" s="25"/>
      <c r="D14" s="25">
        <f>SUM(D12:D13)</f>
        <v>226.322</v>
      </c>
      <c r="E14" s="76"/>
      <c r="F14" s="25"/>
      <c r="G14" s="25">
        <f>SUM(G12:G13)</f>
        <v>226.322</v>
      </c>
      <c r="H14" s="25">
        <f t="shared" si="1"/>
        <v>0</v>
      </c>
      <c r="I14" s="27">
        <f t="shared" si="2"/>
        <v>0</v>
      </c>
      <c r="J14" s="27">
        <f>G14/$G$46</f>
        <v>0.46676342974787449</v>
      </c>
      <c r="K14" s="108"/>
    </row>
    <row r="15" spans="1:11" s="1" customFormat="1" x14ac:dyDescent="0.2">
      <c r="A15" s="109" t="s">
        <v>34</v>
      </c>
      <c r="B15" s="75">
        <f>B4*0.65</f>
        <v>1288.3</v>
      </c>
      <c r="C15" s="28">
        <v>8.6999999999999994E-2</v>
      </c>
      <c r="D15" s="22">
        <f>B15*C15</f>
        <v>112.08209999999998</v>
      </c>
      <c r="E15" s="73">
        <f t="shared" ref="E15:F17" si="3">B15</f>
        <v>1288.3</v>
      </c>
      <c r="F15" s="28">
        <f t="shared" si="3"/>
        <v>8.6999999999999994E-2</v>
      </c>
      <c r="G15" s="22">
        <f>E15*F15</f>
        <v>112.08209999999998</v>
      </c>
      <c r="H15" s="22">
        <f t="shared" si="1"/>
        <v>0</v>
      </c>
      <c r="I15" s="23">
        <f t="shared" si="2"/>
        <v>0</v>
      </c>
      <c r="J15" s="23"/>
      <c r="K15" s="108">
        <f t="shared" ref="K15:K26" si="4">G15/$G$51</f>
        <v>0.23490850876932023</v>
      </c>
    </row>
    <row r="16" spans="1:11" s="1" customFormat="1" x14ac:dyDescent="0.2">
      <c r="A16" s="109" t="s">
        <v>35</v>
      </c>
      <c r="B16" s="75">
        <f>B4*0.17</f>
        <v>336.94</v>
      </c>
      <c r="C16" s="28">
        <v>0.13200000000000001</v>
      </c>
      <c r="D16" s="22">
        <f>B16*C16</f>
        <v>44.476080000000003</v>
      </c>
      <c r="E16" s="73">
        <f t="shared" si="3"/>
        <v>336.94</v>
      </c>
      <c r="F16" s="28">
        <f t="shared" si="3"/>
        <v>0.13200000000000001</v>
      </c>
      <c r="G16" s="22">
        <f>E16*F16</f>
        <v>44.476080000000003</v>
      </c>
      <c r="H16" s="22">
        <f t="shared" si="1"/>
        <v>0</v>
      </c>
      <c r="I16" s="23">
        <f t="shared" si="2"/>
        <v>0</v>
      </c>
      <c r="J16" s="23"/>
      <c r="K16" s="108">
        <f t="shared" si="4"/>
        <v>9.3215684116419922E-2</v>
      </c>
    </row>
    <row r="17" spans="1:11" s="1" customFormat="1" x14ac:dyDescent="0.2">
      <c r="A17" s="109" t="s">
        <v>36</v>
      </c>
      <c r="B17" s="75">
        <f>B4*0.18</f>
        <v>356.76</v>
      </c>
      <c r="C17" s="28">
        <v>0.18</v>
      </c>
      <c r="D17" s="22">
        <f>B17*C17</f>
        <v>64.216799999999992</v>
      </c>
      <c r="E17" s="73">
        <f t="shared" si="3"/>
        <v>356.76</v>
      </c>
      <c r="F17" s="28">
        <f t="shared" si="3"/>
        <v>0.18</v>
      </c>
      <c r="G17" s="22">
        <f>E17*F17</f>
        <v>64.216799999999992</v>
      </c>
      <c r="H17" s="22">
        <f t="shared" si="1"/>
        <v>0</v>
      </c>
      <c r="I17" s="23">
        <f t="shared" si="2"/>
        <v>0</v>
      </c>
      <c r="J17" s="23"/>
      <c r="K17" s="108">
        <f t="shared" si="4"/>
        <v>0.13458949043547261</v>
      </c>
    </row>
    <row r="18" spans="1:11" s="1" customFormat="1" x14ac:dyDescent="0.2">
      <c r="A18" s="61" t="s">
        <v>37</v>
      </c>
      <c r="B18" s="29"/>
      <c r="C18" s="30"/>
      <c r="D18" s="30">
        <f>SUM(D15:D17)</f>
        <v>220.77497999999997</v>
      </c>
      <c r="E18" s="77"/>
      <c r="F18" s="30"/>
      <c r="G18" s="30">
        <f>SUM(G15:G17)</f>
        <v>220.77497999999997</v>
      </c>
      <c r="H18" s="31">
        <f t="shared" si="1"/>
        <v>0</v>
      </c>
      <c r="I18" s="32">
        <f t="shared" si="2"/>
        <v>0</v>
      </c>
      <c r="J18" s="33">
        <f t="shared" ref="J18:J23" si="5">G18/$G$46</f>
        <v>0.45532333077349257</v>
      </c>
      <c r="K18" s="62">
        <f t="shared" si="4"/>
        <v>0.46271368332121271</v>
      </c>
    </row>
    <row r="19" spans="1:11" x14ac:dyDescent="0.2">
      <c r="A19" s="107" t="s">
        <v>38</v>
      </c>
      <c r="B19" s="73">
        <v>1</v>
      </c>
      <c r="C19" s="78">
        <f>VLOOKUP($B$3,'Data for Bill Impacts'!$A$3:$Y$15,7,0)</f>
        <v>30.91</v>
      </c>
      <c r="D19" s="22">
        <f>B19*C19</f>
        <v>30.91</v>
      </c>
      <c r="E19" s="73">
        <f t="shared" ref="E19:E41" si="6">B19</f>
        <v>1</v>
      </c>
      <c r="F19" s="78">
        <f>VLOOKUP($B$3,'Data for Bill Impacts'!$A$3:$Y$15,17,0)</f>
        <v>31.41</v>
      </c>
      <c r="G19" s="22">
        <f>E19*F19</f>
        <v>31.41</v>
      </c>
      <c r="H19" s="22">
        <f t="shared" si="1"/>
        <v>0.5</v>
      </c>
      <c r="I19" s="23">
        <f t="shared" si="2"/>
        <v>1.6175994823681657E-2</v>
      </c>
      <c r="J19" s="23">
        <f t="shared" si="5"/>
        <v>6.4779558895647515E-2</v>
      </c>
      <c r="K19" s="108">
        <f t="shared" si="4"/>
        <v>6.5830995854327765E-2</v>
      </c>
    </row>
    <row r="20" spans="1:11" hidden="1" x14ac:dyDescent="0.2">
      <c r="A20" s="107" t="s">
        <v>83</v>
      </c>
      <c r="B20" s="73">
        <v>1</v>
      </c>
      <c r="C20" s="78">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84</v>
      </c>
      <c r="B21" s="73">
        <v>1</v>
      </c>
      <c r="C21" s="78">
        <v>0</v>
      </c>
      <c r="D21" s="22">
        <f t="shared" ref="D21:D22" si="8">B21*C21</f>
        <v>0</v>
      </c>
      <c r="E21" s="73">
        <f t="shared" si="6"/>
        <v>1</v>
      </c>
      <c r="F21" s="122">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v>
      </c>
      <c r="D22" s="22">
        <f t="shared" si="8"/>
        <v>0</v>
      </c>
      <c r="E22" s="73">
        <f t="shared" si="6"/>
        <v>1</v>
      </c>
      <c r="F22" s="122">
        <f>VLOOKUP($B$3,'Data for Bill Impacts'!$A$3:$Y$15,22,0)</f>
        <v>0</v>
      </c>
      <c r="G22" s="22">
        <f t="shared" si="7"/>
        <v>0</v>
      </c>
      <c r="H22" s="22">
        <f t="shared" si="1"/>
        <v>0</v>
      </c>
      <c r="I22" s="23">
        <f t="shared" si="2"/>
        <v>0</v>
      </c>
      <c r="J22" s="23">
        <f t="shared" si="5"/>
        <v>0</v>
      </c>
      <c r="K22" s="108">
        <f t="shared" si="4"/>
        <v>0</v>
      </c>
    </row>
    <row r="23" spans="1:11" x14ac:dyDescent="0.2">
      <c r="A23" s="107" t="s">
        <v>39</v>
      </c>
      <c r="B23" s="73">
        <f>IF($B$9="kWh",$B$4,$B$5)</f>
        <v>1982</v>
      </c>
      <c r="C23" s="126">
        <f>VLOOKUP($B$3,'Data for Bill Impacts'!$A$3:$Y$15,10,0)</f>
        <v>6.3399999999999998E-2</v>
      </c>
      <c r="D23" s="22">
        <f>B23*C23</f>
        <v>125.6588</v>
      </c>
      <c r="E23" s="73">
        <f t="shared" si="6"/>
        <v>1982</v>
      </c>
      <c r="F23" s="78">
        <f>VLOOKUP($B$3,'Data for Bill Impacts'!$A$3:$Y$15,19,0)</f>
        <v>6.5199999999999994E-2</v>
      </c>
      <c r="G23" s="22">
        <f>E23*F23</f>
        <v>129.22639999999998</v>
      </c>
      <c r="H23" s="22">
        <f t="shared" si="1"/>
        <v>3.5675999999999846</v>
      </c>
      <c r="I23" s="23">
        <f t="shared" si="2"/>
        <v>2.8391167192428901E-2</v>
      </c>
      <c r="J23" s="23">
        <f t="shared" si="5"/>
        <v>0.26651477840409116</v>
      </c>
      <c r="K23" s="108">
        <f t="shared" si="4"/>
        <v>0.27084057951829671</v>
      </c>
    </row>
    <row r="24" spans="1:11" x14ac:dyDescent="0.2">
      <c r="A24" s="107" t="s">
        <v>194</v>
      </c>
      <c r="B24" s="73">
        <f>IF($B$9="kWh",$B$4,$B$5)</f>
        <v>1982</v>
      </c>
      <c r="C24" s="126">
        <f>VLOOKUP($B$3,'Data for Bill Impacts'!$A$3:$Y$15,14,0)</f>
        <v>2.0000000000000001E-4</v>
      </c>
      <c r="D24" s="34">
        <f>B24*C24</f>
        <v>0.39640000000000003</v>
      </c>
      <c r="E24" s="73">
        <f t="shared" si="6"/>
        <v>1982</v>
      </c>
      <c r="F24" s="126">
        <f>VLOOKUP($B$3,'Data for Bill Impacts'!$A$3:$Y$15,23,0)</f>
        <v>2.0000000000000001E-4</v>
      </c>
      <c r="G24" s="34">
        <f>E24*F24</f>
        <v>0.39640000000000003</v>
      </c>
      <c r="H24" s="22">
        <f t="shared" si="1"/>
        <v>0</v>
      </c>
      <c r="I24" s="23">
        <f>IF(ISERROR(H24/D24),0,(H24/D24))</f>
        <v>0</v>
      </c>
      <c r="J24" s="23">
        <f t="shared" ref="J24" si="9">G24/$G$46</f>
        <v>8.1752999510457426E-4</v>
      </c>
      <c r="K24" s="108">
        <f t="shared" si="4"/>
        <v>8.30799323675757E-4</v>
      </c>
    </row>
    <row r="25" spans="1:11" s="1" customFormat="1" x14ac:dyDescent="0.2">
      <c r="A25" s="110" t="s">
        <v>72</v>
      </c>
      <c r="B25" s="74"/>
      <c r="C25" s="35"/>
      <c r="D25" s="35">
        <f>SUM(D19:D24)</f>
        <v>156.96520000000001</v>
      </c>
      <c r="E25" s="73"/>
      <c r="F25" s="35"/>
      <c r="G25" s="35">
        <f>SUM(G19:G24)</f>
        <v>161.03279999999998</v>
      </c>
      <c r="H25" s="35">
        <f t="shared" si="1"/>
        <v>4.0675999999999704</v>
      </c>
      <c r="I25" s="36">
        <f t="shared" si="2"/>
        <v>2.5914024255057618E-2</v>
      </c>
      <c r="J25" s="36">
        <f>G25/$G$46</f>
        <v>0.33211186729484327</v>
      </c>
      <c r="K25" s="111">
        <f t="shared" si="4"/>
        <v>0.33750237469630023</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G26/$G$46</f>
        <v>1.6292853081044745E-3</v>
      </c>
      <c r="K26" s="108">
        <f t="shared" si="4"/>
        <v>1.6557302363871039E-3</v>
      </c>
    </row>
    <row r="27" spans="1:11" s="1" customFormat="1" x14ac:dyDescent="0.2">
      <c r="A27" s="119" t="s">
        <v>75</v>
      </c>
      <c r="B27" s="120">
        <f>B8-B4</f>
        <v>190.27200000000039</v>
      </c>
      <c r="C27" s="121">
        <f>IF(B4&gt;B7,C13,C12)</f>
        <v>0.121</v>
      </c>
      <c r="D27" s="22">
        <f>B27*C27</f>
        <v>23.022912000000048</v>
      </c>
      <c r="E27" s="73">
        <f>B27</f>
        <v>190.27200000000039</v>
      </c>
      <c r="F27" s="121">
        <f>C27</f>
        <v>0.121</v>
      </c>
      <c r="G27" s="22">
        <f>E27*F27</f>
        <v>23.022912000000048</v>
      </c>
      <c r="H27" s="22">
        <f t="shared" si="1"/>
        <v>0</v>
      </c>
      <c r="I27" s="23">
        <f>IF(ISERROR(H27/D27),0,(H27/D27))</f>
        <v>0</v>
      </c>
      <c r="J27" s="23">
        <f t="shared" ref="J27:J46" si="10">G27/$G$46</f>
        <v>4.7482142115673767E-2</v>
      </c>
      <c r="K27" s="108">
        <f t="shared" ref="K27:K41" si="11">G27/$G$51</f>
        <v>4.825282471908806E-2</v>
      </c>
    </row>
    <row r="28" spans="1:11" s="1" customFormat="1" x14ac:dyDescent="0.2">
      <c r="A28" s="119" t="s">
        <v>74</v>
      </c>
      <c r="B28" s="120">
        <f>B8-B4</f>
        <v>190.27200000000039</v>
      </c>
      <c r="C28" s="121">
        <f>0.65*C15+0.17*C16+0.18*C17</f>
        <v>0.11139</v>
      </c>
      <c r="D28" s="22">
        <f>B28*C28</f>
        <v>21.194398080000045</v>
      </c>
      <c r="E28" s="73">
        <f>B28</f>
        <v>190.27200000000039</v>
      </c>
      <c r="F28" s="121">
        <f>C28</f>
        <v>0.11139</v>
      </c>
      <c r="G28" s="22">
        <f>E28*F28</f>
        <v>21.194398080000045</v>
      </c>
      <c r="H28" s="22">
        <f t="shared" si="1"/>
        <v>0</v>
      </c>
      <c r="I28" s="23">
        <f>IF(ISERROR(H28/D28),0,(H28/D28))</f>
        <v>0</v>
      </c>
      <c r="J28" s="23">
        <f t="shared" si="10"/>
        <v>4.3711039754255387E-2</v>
      </c>
      <c r="K28" s="108">
        <f t="shared" si="11"/>
        <v>4.4420513598836524E-2</v>
      </c>
    </row>
    <row r="29" spans="1:11" s="1" customFormat="1" x14ac:dyDescent="0.2">
      <c r="A29" s="110" t="s">
        <v>78</v>
      </c>
      <c r="B29" s="74"/>
      <c r="C29" s="35"/>
      <c r="D29" s="35">
        <f>SUM(D25,D26:D27)</f>
        <v>180.77811200000005</v>
      </c>
      <c r="E29" s="73"/>
      <c r="F29" s="35"/>
      <c r="G29" s="35">
        <f>SUM(G25,G26:G27)</f>
        <v>184.84571200000002</v>
      </c>
      <c r="H29" s="35">
        <f t="shared" si="1"/>
        <v>4.0675999999999704</v>
      </c>
      <c r="I29" s="36">
        <f>IF(ISERROR(H29/D29),0,(H29/D29))</f>
        <v>2.2500511566355828E-2</v>
      </c>
      <c r="J29" s="36">
        <f t="shared" si="10"/>
        <v>0.38122329471862149</v>
      </c>
      <c r="K29" s="111">
        <f t="shared" si="11"/>
        <v>0.38741092965177537</v>
      </c>
    </row>
    <row r="30" spans="1:11" s="1" customFormat="1" x14ac:dyDescent="0.2">
      <c r="A30" s="110" t="s">
        <v>77</v>
      </c>
      <c r="B30" s="74"/>
      <c r="C30" s="35"/>
      <c r="D30" s="35">
        <f>SUM(D25,D26,D28)</f>
        <v>178.94959808000004</v>
      </c>
      <c r="E30" s="73"/>
      <c r="F30" s="35"/>
      <c r="G30" s="35">
        <f>SUM(G25,G26,G28)</f>
        <v>183.01719808000001</v>
      </c>
      <c r="H30" s="35">
        <f t="shared" si="1"/>
        <v>4.0675999999999704</v>
      </c>
      <c r="I30" s="36">
        <f>IF(ISERROR(H30/D30),0,(H30/D30))</f>
        <v>2.2730422664495372E-2</v>
      </c>
      <c r="J30" s="36">
        <f t="shared" si="10"/>
        <v>0.37745219235720306</v>
      </c>
      <c r="K30" s="111">
        <f t="shared" si="11"/>
        <v>0.38357861853152381</v>
      </c>
    </row>
    <row r="31" spans="1:11" x14ac:dyDescent="0.2">
      <c r="A31" s="107" t="s">
        <v>40</v>
      </c>
      <c r="B31" s="73">
        <f>B8</f>
        <v>2172.2720000000004</v>
      </c>
      <c r="C31" s="126">
        <f>VLOOKUP($B$3,'Data for Bill Impacts'!$A$3:$Y$15,15,0)</f>
        <v>5.6930000000000001E-3</v>
      </c>
      <c r="D31" s="22">
        <f>B31*C31</f>
        <v>12.366744496000003</v>
      </c>
      <c r="E31" s="73">
        <f t="shared" si="6"/>
        <v>2172.2720000000004</v>
      </c>
      <c r="F31" s="78">
        <f>VLOOKUP($B$3,'Data for Bill Impacts'!$A$3:$Y$15,24,0)</f>
        <v>5.4999999999999997E-3</v>
      </c>
      <c r="G31" s="22">
        <f>E31*F31</f>
        <v>11.947496000000001</v>
      </c>
      <c r="H31" s="22">
        <f t="shared" si="1"/>
        <v>-0.41924849600000158</v>
      </c>
      <c r="I31" s="23">
        <f t="shared" si="2"/>
        <v>-3.390128227648001E-2</v>
      </c>
      <c r="J31" s="23">
        <f t="shared" si="10"/>
        <v>2.4640354052451869E-2</v>
      </c>
      <c r="K31" s="108">
        <f t="shared" si="11"/>
        <v>2.5040291615587313E-2</v>
      </c>
    </row>
    <row r="32" spans="1:11" x14ac:dyDescent="0.2">
      <c r="A32" s="107" t="s">
        <v>41</v>
      </c>
      <c r="B32" s="73">
        <f>B8</f>
        <v>2172.2720000000004</v>
      </c>
      <c r="C32" s="126">
        <f>VLOOKUP($B$3,'Data for Bill Impacts'!$A$3:$Y$15,16,0)</f>
        <v>4.4740000000000005E-3</v>
      </c>
      <c r="D32" s="22">
        <f>B32*C32</f>
        <v>9.7187449280000031</v>
      </c>
      <c r="E32" s="73">
        <f t="shared" si="6"/>
        <v>2172.2720000000004</v>
      </c>
      <c r="F32" s="78">
        <f>VLOOKUP($B$3,'Data for Bill Impacts'!$A$3:$Y$15,25,0)</f>
        <v>4.4999999999999997E-3</v>
      </c>
      <c r="G32" s="22">
        <f>E32*F32</f>
        <v>9.7752240000000015</v>
      </c>
      <c r="H32" s="22">
        <f t="shared" si="1"/>
        <v>5.6479071999998354E-2</v>
      </c>
      <c r="I32" s="23">
        <f t="shared" si="2"/>
        <v>5.8113544926238787E-3</v>
      </c>
      <c r="J32" s="23">
        <f t="shared" si="10"/>
        <v>2.0160289679278805E-2</v>
      </c>
      <c r="K32" s="108">
        <f t="shared" si="11"/>
        <v>2.0487511321844169E-2</v>
      </c>
    </row>
    <row r="33" spans="1:11" s="1" customFormat="1" x14ac:dyDescent="0.2">
      <c r="A33" s="110" t="s">
        <v>76</v>
      </c>
      <c r="B33" s="74"/>
      <c r="C33" s="35"/>
      <c r="D33" s="35">
        <f>SUM(D31:D32)</f>
        <v>22.085489424000006</v>
      </c>
      <c r="E33" s="73"/>
      <c r="F33" s="35"/>
      <c r="G33" s="35">
        <f>SUM(G31:G32)</f>
        <v>21.722720000000002</v>
      </c>
      <c r="H33" s="35">
        <f t="shared" si="1"/>
        <v>-0.36276942400000323</v>
      </c>
      <c r="I33" s="36">
        <f t="shared" si="2"/>
        <v>-1.6425690960952241E-2</v>
      </c>
      <c r="J33" s="36">
        <f t="shared" si="10"/>
        <v>4.480064373173067E-2</v>
      </c>
      <c r="K33" s="111">
        <f t="shared" si="11"/>
        <v>4.5527802937431486E-2</v>
      </c>
    </row>
    <row r="34" spans="1:11" s="1" customFormat="1" x14ac:dyDescent="0.2">
      <c r="A34" s="110" t="s">
        <v>95</v>
      </c>
      <c r="B34" s="74"/>
      <c r="C34" s="35"/>
      <c r="D34" s="35">
        <f>D29+D33</f>
        <v>202.86360142400005</v>
      </c>
      <c r="E34" s="73"/>
      <c r="F34" s="35"/>
      <c r="G34" s="35">
        <f>G29+G33</f>
        <v>206.56843200000003</v>
      </c>
      <c r="H34" s="35">
        <f t="shared" si="1"/>
        <v>3.7048305759999778</v>
      </c>
      <c r="I34" s="36">
        <f t="shared" si="2"/>
        <v>1.8262667871387167E-2</v>
      </c>
      <c r="J34" s="36">
        <f t="shared" si="10"/>
        <v>0.42602393845035219</v>
      </c>
      <c r="K34" s="111">
        <f t="shared" si="11"/>
        <v>0.43293873258920684</v>
      </c>
    </row>
    <row r="35" spans="1:11" s="1" customFormat="1" x14ac:dyDescent="0.2">
      <c r="A35" s="110" t="s">
        <v>96</v>
      </c>
      <c r="B35" s="74"/>
      <c r="C35" s="35"/>
      <c r="D35" s="35">
        <f>D30+D33</f>
        <v>201.03508750400005</v>
      </c>
      <c r="E35" s="73"/>
      <c r="F35" s="35"/>
      <c r="G35" s="35">
        <f>G30+G33</f>
        <v>204.73991808000002</v>
      </c>
      <c r="H35" s="35">
        <f t="shared" si="1"/>
        <v>3.7048305759999778</v>
      </c>
      <c r="I35" s="36">
        <f t="shared" si="2"/>
        <v>1.8428775901750294E-2</v>
      </c>
      <c r="J35" s="36">
        <f t="shared" si="10"/>
        <v>0.42225283608893377</v>
      </c>
      <c r="K35" s="111">
        <f t="shared" si="11"/>
        <v>0.42910642146895533</v>
      </c>
    </row>
    <row r="36" spans="1:11" x14ac:dyDescent="0.2">
      <c r="A36" s="107" t="s">
        <v>42</v>
      </c>
      <c r="B36" s="73">
        <f>B8</f>
        <v>2172.2720000000004</v>
      </c>
      <c r="C36" s="34">
        <v>3.5999999999999999E-3</v>
      </c>
      <c r="D36" s="22">
        <f>B36*C36</f>
        <v>7.820179200000001</v>
      </c>
      <c r="E36" s="73">
        <f t="shared" si="6"/>
        <v>2172.2720000000004</v>
      </c>
      <c r="F36" s="34">
        <v>3.5999999999999999E-3</v>
      </c>
      <c r="G36" s="22">
        <f>E36*F36</f>
        <v>7.820179200000001</v>
      </c>
      <c r="H36" s="22">
        <f t="shared" si="1"/>
        <v>0</v>
      </c>
      <c r="I36" s="23">
        <f t="shared" si="2"/>
        <v>0</v>
      </c>
      <c r="J36" s="23">
        <f t="shared" si="10"/>
        <v>1.6128231743423042E-2</v>
      </c>
      <c r="K36" s="108">
        <f t="shared" si="11"/>
        <v>1.6390009057475334E-2</v>
      </c>
    </row>
    <row r="37" spans="1:11" x14ac:dyDescent="0.2">
      <c r="A37" s="107" t="s">
        <v>43</v>
      </c>
      <c r="B37" s="73">
        <f>B8</f>
        <v>2172.2720000000004</v>
      </c>
      <c r="C37" s="34">
        <v>2.0999999999999999E-3</v>
      </c>
      <c r="D37" s="22">
        <f>B37*C37</f>
        <v>4.5617712000000008</v>
      </c>
      <c r="E37" s="73">
        <f t="shared" si="6"/>
        <v>2172.2720000000004</v>
      </c>
      <c r="F37" s="34">
        <v>2.0999999999999999E-3</v>
      </c>
      <c r="G37" s="22">
        <f>E37*F37</f>
        <v>4.5617712000000008</v>
      </c>
      <c r="H37" s="22">
        <f>G37-D37</f>
        <v>0</v>
      </c>
      <c r="I37" s="23">
        <f t="shared" si="2"/>
        <v>0</v>
      </c>
      <c r="J37" s="23">
        <f t="shared" si="10"/>
        <v>9.4081351836634419E-3</v>
      </c>
      <c r="K37" s="108">
        <f t="shared" si="11"/>
        <v>9.5608386168606115E-3</v>
      </c>
    </row>
    <row r="38" spans="1:11" x14ac:dyDescent="0.2">
      <c r="A38" s="107" t="s">
        <v>100</v>
      </c>
      <c r="B38" s="73">
        <f>B8</f>
        <v>2172.2720000000004</v>
      </c>
      <c r="C38" s="34">
        <v>1.1000000000000001E-3</v>
      </c>
      <c r="D38" s="22">
        <f>B38*C38</f>
        <v>2.3894992000000004</v>
      </c>
      <c r="E38" s="73">
        <f t="shared" si="6"/>
        <v>2172.2720000000004</v>
      </c>
      <c r="F38" s="34">
        <v>1.1000000000000001E-3</v>
      </c>
      <c r="G38" s="22">
        <f>E38*F38</f>
        <v>2.3894992000000004</v>
      </c>
      <c r="H38" s="22">
        <f>G38-D38</f>
        <v>0</v>
      </c>
      <c r="I38" s="23">
        <f t="shared" si="2"/>
        <v>0</v>
      </c>
      <c r="J38" s="23">
        <f t="shared" si="10"/>
        <v>4.9280708104903741E-3</v>
      </c>
      <c r="K38" s="108">
        <f t="shared" si="11"/>
        <v>5.0080583231174635E-3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10"/>
        <v>5.1559661648875772E-4</v>
      </c>
      <c r="K39" s="108">
        <f t="shared" si="11"/>
        <v>5.2396526467946318E-4</v>
      </c>
    </row>
    <row r="40" spans="1:11" s="1" customFormat="1" x14ac:dyDescent="0.2">
      <c r="A40" s="110" t="s">
        <v>45</v>
      </c>
      <c r="B40" s="74"/>
      <c r="C40" s="35"/>
      <c r="D40" s="35">
        <f>SUM(D36:D39)</f>
        <v>15.0214496</v>
      </c>
      <c r="E40" s="73"/>
      <c r="F40" s="35"/>
      <c r="G40" s="35">
        <f>SUM(G36:G39)</f>
        <v>15.0214496</v>
      </c>
      <c r="H40" s="35">
        <f t="shared" si="1"/>
        <v>0</v>
      </c>
      <c r="I40" s="36">
        <f t="shared" si="2"/>
        <v>0</v>
      </c>
      <c r="J40" s="36">
        <f t="shared" si="10"/>
        <v>3.0980034354065614E-2</v>
      </c>
      <c r="K40" s="111">
        <f t="shared" si="11"/>
        <v>3.1482871262132867E-2</v>
      </c>
    </row>
    <row r="41" spans="1:11" s="1" customFormat="1" ht="13.5" thickBot="1" x14ac:dyDescent="0.25">
      <c r="A41" s="112" t="s">
        <v>46</v>
      </c>
      <c r="B41" s="113">
        <f>B4</f>
        <v>1982</v>
      </c>
      <c r="C41" s="114">
        <v>7.0000000000000001E-3</v>
      </c>
      <c r="D41" s="115">
        <f>B41*C41</f>
        <v>13.874000000000001</v>
      </c>
      <c r="E41" s="116">
        <f t="shared" si="6"/>
        <v>1982</v>
      </c>
      <c r="F41" s="114">
        <f>C41</f>
        <v>7.0000000000000001E-3</v>
      </c>
      <c r="G41" s="115">
        <f>E41*F41</f>
        <v>13.874000000000001</v>
      </c>
      <c r="H41" s="115">
        <f t="shared" si="1"/>
        <v>0</v>
      </c>
      <c r="I41" s="117">
        <f t="shared" si="2"/>
        <v>0</v>
      </c>
      <c r="J41" s="117">
        <f t="shared" si="10"/>
        <v>2.8613549828660097E-2</v>
      </c>
      <c r="K41" s="118">
        <f t="shared" si="11"/>
        <v>2.9077976328651493E-2</v>
      </c>
    </row>
    <row r="42" spans="1:11" s="1" customFormat="1" x14ac:dyDescent="0.2">
      <c r="A42" s="37" t="s">
        <v>137</v>
      </c>
      <c r="B42" s="38"/>
      <c r="C42" s="39"/>
      <c r="D42" s="39">
        <f>SUM(D14,D25,D26,D27,D33,D40,D41)</f>
        <v>458.08105102400009</v>
      </c>
      <c r="E42" s="38"/>
      <c r="F42" s="39"/>
      <c r="G42" s="39">
        <f>SUM(G14,G25,G26,G27,G33,G40,G41)</f>
        <v>461.78588160000004</v>
      </c>
      <c r="H42" s="39">
        <f t="shared" si="1"/>
        <v>3.7048305759999494</v>
      </c>
      <c r="I42" s="40">
        <f>IF(ISERROR(H42/D42),0,(H42/D42))</f>
        <v>8.0877184675465733E-3</v>
      </c>
      <c r="J42" s="40">
        <f t="shared" si="10"/>
        <v>0.95238095238095233</v>
      </c>
      <c r="K42" s="41"/>
    </row>
    <row r="43" spans="1:11" x14ac:dyDescent="0.2">
      <c r="A43" s="150" t="s">
        <v>138</v>
      </c>
      <c r="B43" s="43"/>
      <c r="C43" s="26">
        <v>0.13</v>
      </c>
      <c r="D43" s="26">
        <f>D42*C43</f>
        <v>59.550536633120011</v>
      </c>
      <c r="E43" s="26"/>
      <c r="F43" s="26">
        <f>C43</f>
        <v>0.13</v>
      </c>
      <c r="G43" s="26">
        <f>G42*F43</f>
        <v>60.032164608000009</v>
      </c>
      <c r="H43" s="26">
        <f t="shared" si="1"/>
        <v>0.48162797487999853</v>
      </c>
      <c r="I43" s="44">
        <f t="shared" si="2"/>
        <v>8.0877184675466583E-3</v>
      </c>
      <c r="J43" s="44">
        <f t="shared" si="10"/>
        <v>0.12380952380952381</v>
      </c>
      <c r="K43" s="45"/>
    </row>
    <row r="44" spans="1:11" s="1" customFormat="1" x14ac:dyDescent="0.2">
      <c r="A44" s="46" t="s">
        <v>139</v>
      </c>
      <c r="B44" s="24"/>
      <c r="C44" s="25"/>
      <c r="D44" s="25">
        <f>SUM(D42:D43)</f>
        <v>517.63158765712012</v>
      </c>
      <c r="E44" s="25"/>
      <c r="F44" s="25"/>
      <c r="G44" s="25">
        <f>SUM(G42:G43)</f>
        <v>521.81804620800006</v>
      </c>
      <c r="H44" s="25">
        <f t="shared" si="1"/>
        <v>4.1864585508799337</v>
      </c>
      <c r="I44" s="27">
        <f t="shared" si="2"/>
        <v>8.0877184675465542E-3</v>
      </c>
      <c r="J44" s="27">
        <f t="shared" si="10"/>
        <v>1.0761904761904761</v>
      </c>
      <c r="K44" s="47"/>
    </row>
    <row r="45" spans="1:11" x14ac:dyDescent="0.2">
      <c r="A45" s="42" t="s">
        <v>140</v>
      </c>
      <c r="B45" s="43"/>
      <c r="C45" s="26">
        <v>-0.08</v>
      </c>
      <c r="D45" s="26">
        <f>D42*C45</f>
        <v>-36.646484081920008</v>
      </c>
      <c r="E45" s="26"/>
      <c r="F45" s="26">
        <f>C45</f>
        <v>-0.08</v>
      </c>
      <c r="G45" s="26">
        <f>G42*F45</f>
        <v>-36.942870528000007</v>
      </c>
      <c r="H45" s="26">
        <f t="shared" si="1"/>
        <v>-0.29638644607999964</v>
      </c>
      <c r="I45" s="44">
        <f t="shared" si="2"/>
        <v>8.0877184675466739E-3</v>
      </c>
      <c r="J45" s="44">
        <f t="shared" si="10"/>
        <v>-7.6190476190476197E-2</v>
      </c>
      <c r="K45" s="45"/>
    </row>
    <row r="46" spans="1:11" s="1" customFormat="1" ht="13.5" thickBot="1" x14ac:dyDescent="0.25">
      <c r="A46" s="48" t="s">
        <v>141</v>
      </c>
      <c r="B46" s="49"/>
      <c r="C46" s="50"/>
      <c r="D46" s="50">
        <f>SUM(D44:D45)</f>
        <v>480.98510357520013</v>
      </c>
      <c r="E46" s="50"/>
      <c r="F46" s="50"/>
      <c r="G46" s="50">
        <f>SUM(G44:G45)</f>
        <v>484.87517568000004</v>
      </c>
      <c r="H46" s="50">
        <f t="shared" si="1"/>
        <v>3.8900721047999127</v>
      </c>
      <c r="I46" s="51">
        <f t="shared" si="2"/>
        <v>8.0877184675465005E-3</v>
      </c>
      <c r="J46" s="51">
        <f t="shared" si="10"/>
        <v>1</v>
      </c>
      <c r="K46" s="52"/>
    </row>
    <row r="47" spans="1:11" x14ac:dyDescent="0.2">
      <c r="A47" s="53" t="s">
        <v>142</v>
      </c>
      <c r="B47" s="54"/>
      <c r="C47" s="55"/>
      <c r="D47" s="55">
        <f>SUM(D18,D25,D26,D28,D33,D40,D41)</f>
        <v>450.70551710400008</v>
      </c>
      <c r="E47" s="55"/>
      <c r="F47" s="55"/>
      <c r="G47" s="55">
        <f>SUM(G18,G25,G26,G28,G33,G40,G41)</f>
        <v>454.41034768000003</v>
      </c>
      <c r="H47" s="55">
        <f>G47-D47</f>
        <v>3.7048305759999494</v>
      </c>
      <c r="I47" s="56">
        <f>IF(ISERROR(H47/D47),0,(H47/D47))</f>
        <v>8.2200692811689319E-3</v>
      </c>
      <c r="J47" s="56"/>
      <c r="K47" s="57">
        <f>G47/$G$51</f>
        <v>0.95238095238095244</v>
      </c>
    </row>
    <row r="48" spans="1:11" x14ac:dyDescent="0.2">
      <c r="A48" s="58" t="s">
        <v>138</v>
      </c>
      <c r="B48" s="59"/>
      <c r="C48" s="31">
        <v>0.13</v>
      </c>
      <c r="D48" s="31">
        <f>D47*C48</f>
        <v>58.591717223520014</v>
      </c>
      <c r="E48" s="31"/>
      <c r="F48" s="31">
        <f>C48</f>
        <v>0.13</v>
      </c>
      <c r="G48" s="31">
        <f>G47*F48</f>
        <v>59.073345198400006</v>
      </c>
      <c r="H48" s="31">
        <f>G48-D48</f>
        <v>0.48162797487999143</v>
      </c>
      <c r="I48" s="32">
        <f>IF(ISERROR(H48/D48),0,(H48/D48))</f>
        <v>8.2200692811688972E-3</v>
      </c>
      <c r="J48" s="32"/>
      <c r="K48" s="60">
        <f>G48/$G$51</f>
        <v>0.12380952380952383</v>
      </c>
    </row>
    <row r="49" spans="1:11" x14ac:dyDescent="0.2">
      <c r="A49" s="141" t="s">
        <v>143</v>
      </c>
      <c r="B49" s="29"/>
      <c r="C49" s="30"/>
      <c r="D49" s="30">
        <f>SUM(D47:D48)</f>
        <v>509.29723432752007</v>
      </c>
      <c r="E49" s="30"/>
      <c r="F49" s="30"/>
      <c r="G49" s="30">
        <f>SUM(G47:G48)</f>
        <v>513.48369287840001</v>
      </c>
      <c r="H49" s="30">
        <f>G49-D49</f>
        <v>4.1864585508799337</v>
      </c>
      <c r="I49" s="33">
        <f>IF(ISERROR(H49/D49),0,(H49/D49))</f>
        <v>8.2200692811689128E-3</v>
      </c>
      <c r="J49" s="33"/>
      <c r="K49" s="62">
        <f>G49/$G$51</f>
        <v>1.0761904761904764</v>
      </c>
    </row>
    <row r="50" spans="1:11" x14ac:dyDescent="0.2">
      <c r="A50" s="58" t="s">
        <v>140</v>
      </c>
      <c r="B50" s="59"/>
      <c r="C50" s="31">
        <v>-0.08</v>
      </c>
      <c r="D50" s="31">
        <f>D47*C50</f>
        <v>-36.056441368320009</v>
      </c>
      <c r="E50" s="31"/>
      <c r="F50" s="31">
        <f>C50</f>
        <v>-0.08</v>
      </c>
      <c r="G50" s="31">
        <f>G47*F50</f>
        <v>-36.352827814400001</v>
      </c>
      <c r="H50" s="31">
        <f>G50-D50</f>
        <v>-0.29638644607999254</v>
      </c>
      <c r="I50" s="32">
        <f>IF(ISERROR(H50/D50),0,(H50/D50))</f>
        <v>8.2200692811688365E-3</v>
      </c>
      <c r="J50" s="32"/>
      <c r="K50" s="60">
        <f>G50/$G$51</f>
        <v>-7.6190476190476197E-2</v>
      </c>
    </row>
    <row r="51" spans="1:11" ht="13.5" thickBot="1" x14ac:dyDescent="0.25">
      <c r="A51" s="63" t="s">
        <v>144</v>
      </c>
      <c r="B51" s="64"/>
      <c r="C51" s="65"/>
      <c r="D51" s="65">
        <f>SUM(D49:D50)</f>
        <v>473.24079295920006</v>
      </c>
      <c r="E51" s="65"/>
      <c r="F51" s="65"/>
      <c r="G51" s="65">
        <f>SUM(G49:G50)</f>
        <v>477.13086506399998</v>
      </c>
      <c r="H51" s="65">
        <f>G51-D51</f>
        <v>3.8900721047999127</v>
      </c>
      <c r="I51" s="66">
        <f>IF(ISERROR(H51/D51),0,(H51/D51))</f>
        <v>8.220069281168859E-3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c r="K64"/>
    </row>
    <row r="65" spans="6:11" x14ac:dyDescent="0.2">
      <c r="F65" s="69"/>
      <c r="K65"/>
    </row>
    <row r="66" spans="6:11" x14ac:dyDescent="0.2">
      <c r="F66" s="69"/>
      <c r="K66"/>
    </row>
    <row r="67" spans="6:11" x14ac:dyDescent="0.2">
      <c r="F67" s="69"/>
      <c r="K67"/>
    </row>
    <row r="68" spans="6:11" x14ac:dyDescent="0.2">
      <c r="F68" s="69"/>
      <c r="K68"/>
    </row>
  </sheetData>
  <mergeCells count="1">
    <mergeCell ref="A1:K1"/>
  </mergeCell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1">
    <tabColor theme="1" tint="0.499984740745262"/>
    <pageSetUpPr fitToPage="1"/>
  </sheetPr>
  <dimension ref="A1:K68"/>
  <sheetViews>
    <sheetView view="pageBreakPreview" topLeftCell="A19" zoomScaleNormal="100" zoomScaleSheetLayoutView="100" workbookViewId="0">
      <selection activeCell="C19" sqref="C19"/>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48" t="s">
        <v>111</v>
      </c>
      <c r="B1" s="349"/>
      <c r="C1" s="349"/>
      <c r="D1" s="349"/>
      <c r="E1" s="349"/>
      <c r="F1" s="349"/>
      <c r="G1" s="349"/>
      <c r="H1" s="349"/>
      <c r="I1" s="349"/>
      <c r="J1" s="349"/>
      <c r="K1" s="350"/>
    </row>
    <row r="3" spans="1:11" x14ac:dyDescent="0.2">
      <c r="A3" s="13" t="s">
        <v>13</v>
      </c>
      <c r="B3" s="13" t="s">
        <v>88</v>
      </c>
    </row>
    <row r="4" spans="1:11" x14ac:dyDescent="0.2">
      <c r="A4" s="15" t="s">
        <v>62</v>
      </c>
      <c r="B4" s="164">
        <v>15000</v>
      </c>
    </row>
    <row r="5" spans="1:11" x14ac:dyDescent="0.2">
      <c r="A5" s="15" t="s">
        <v>16</v>
      </c>
      <c r="B5" s="15">
        <f>VLOOKUP($B$3,'Data for Bill Impacts'!$A$3:$Y$15,5,0)</f>
        <v>0</v>
      </c>
    </row>
    <row r="6" spans="1:11" x14ac:dyDescent="0.2">
      <c r="A6" s="15" t="s">
        <v>20</v>
      </c>
      <c r="B6" s="15">
        <f>VLOOKUP($B$3,'Data for Bill Impacts'!$A$3:$Y$15,2,0)</f>
        <v>1.0960000000000001</v>
      </c>
    </row>
    <row r="7" spans="1:11" x14ac:dyDescent="0.2">
      <c r="A7" s="15" t="s">
        <v>15</v>
      </c>
      <c r="B7" s="15">
        <f>VLOOKUP($B$3,'Data for Bill Impacts'!$A$3:$Y$15,4,0)</f>
        <v>750</v>
      </c>
    </row>
    <row r="8" spans="1:11" x14ac:dyDescent="0.2">
      <c r="A8" s="15" t="s">
        <v>82</v>
      </c>
      <c r="B8" s="15">
        <f>B4*B6</f>
        <v>16440</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0.10299999999999999</v>
      </c>
      <c r="D12" s="104">
        <f>B12*C12</f>
        <v>77.25</v>
      </c>
      <c r="E12" s="102">
        <f>B12</f>
        <v>750</v>
      </c>
      <c r="F12" s="103">
        <f>C12</f>
        <v>0.10299999999999999</v>
      </c>
      <c r="G12" s="104">
        <f>E12*F12</f>
        <v>77.25</v>
      </c>
      <c r="H12" s="104">
        <f>G12-D12</f>
        <v>0</v>
      </c>
      <c r="I12" s="105">
        <f>IF(ISERROR(H12/D12),0,(H12/D12))</f>
        <v>0</v>
      </c>
      <c r="J12" s="105">
        <f>G12/$G$46</f>
        <v>2.1828810078925349E-2</v>
      </c>
      <c r="K12" s="106"/>
    </row>
    <row r="13" spans="1:11" x14ac:dyDescent="0.2">
      <c r="A13" s="107" t="s">
        <v>32</v>
      </c>
      <c r="B13" s="73">
        <f>IF(B4&gt;B7,(B4)-B7,0)</f>
        <v>14250</v>
      </c>
      <c r="C13" s="21">
        <v>0.121</v>
      </c>
      <c r="D13" s="22">
        <f>B13*C13</f>
        <v>1724.25</v>
      </c>
      <c r="E13" s="73">
        <f t="shared" ref="E13" si="0">B13</f>
        <v>14250</v>
      </c>
      <c r="F13" s="21">
        <f>C13</f>
        <v>0.121</v>
      </c>
      <c r="G13" s="22">
        <f>E13*F13</f>
        <v>1724.25</v>
      </c>
      <c r="H13" s="22">
        <f t="shared" ref="H13:H46" si="1">G13-D13</f>
        <v>0</v>
      </c>
      <c r="I13" s="23">
        <f t="shared" ref="I13:I46" si="2">IF(ISERROR(H13/D13),0,(H13/D13))</f>
        <v>0</v>
      </c>
      <c r="J13" s="23">
        <f>G13/$G$46</f>
        <v>0.48722751816941146</v>
      </c>
      <c r="K13" s="108"/>
    </row>
    <row r="14" spans="1:11" s="1" customFormat="1" x14ac:dyDescent="0.2">
      <c r="A14" s="46" t="s">
        <v>33</v>
      </c>
      <c r="B14" s="24"/>
      <c r="C14" s="25"/>
      <c r="D14" s="25">
        <f>SUM(D12:D13)</f>
        <v>1801.5</v>
      </c>
      <c r="E14" s="76"/>
      <c r="F14" s="25"/>
      <c r="G14" s="25">
        <f>SUM(G12:G13)</f>
        <v>1801.5</v>
      </c>
      <c r="H14" s="25">
        <f t="shared" si="1"/>
        <v>0</v>
      </c>
      <c r="I14" s="27">
        <f t="shared" si="2"/>
        <v>0</v>
      </c>
      <c r="J14" s="27">
        <f>G14/$G$46</f>
        <v>0.5090563282483368</v>
      </c>
      <c r="K14" s="108"/>
    </row>
    <row r="15" spans="1:11" s="1" customFormat="1" x14ac:dyDescent="0.2">
      <c r="A15" s="109" t="s">
        <v>34</v>
      </c>
      <c r="B15" s="75">
        <f>B4*0.65</f>
        <v>9750</v>
      </c>
      <c r="C15" s="28">
        <v>8.6999999999999994E-2</v>
      </c>
      <c r="D15" s="22">
        <f>B15*C15</f>
        <v>848.24999999999989</v>
      </c>
      <c r="E15" s="73">
        <f t="shared" ref="E15:F17" si="3">B15</f>
        <v>9750</v>
      </c>
      <c r="F15" s="28">
        <f t="shared" si="3"/>
        <v>8.6999999999999994E-2</v>
      </c>
      <c r="G15" s="22">
        <f>E15*F15</f>
        <v>848.24999999999989</v>
      </c>
      <c r="H15" s="22">
        <f t="shared" si="1"/>
        <v>0</v>
      </c>
      <c r="I15" s="23">
        <f t="shared" si="2"/>
        <v>0</v>
      </c>
      <c r="J15" s="23"/>
      <c r="K15" s="108">
        <f t="shared" ref="K15:K26" si="4">G15/$G$51</f>
        <v>0.25042894869723625</v>
      </c>
    </row>
    <row r="16" spans="1:11" s="1" customFormat="1" x14ac:dyDescent="0.2">
      <c r="A16" s="109" t="s">
        <v>35</v>
      </c>
      <c r="B16" s="75">
        <f>B4*0.17</f>
        <v>2550</v>
      </c>
      <c r="C16" s="28">
        <v>0.13200000000000001</v>
      </c>
      <c r="D16" s="22">
        <f>B16*C16</f>
        <v>336.6</v>
      </c>
      <c r="E16" s="73">
        <f t="shared" si="3"/>
        <v>2550</v>
      </c>
      <c r="F16" s="28">
        <f t="shared" si="3"/>
        <v>0.13200000000000001</v>
      </c>
      <c r="G16" s="22">
        <f>E16*F16</f>
        <v>336.6</v>
      </c>
      <c r="H16" s="22">
        <f t="shared" si="1"/>
        <v>0</v>
      </c>
      <c r="I16" s="23">
        <f t="shared" si="2"/>
        <v>0</v>
      </c>
      <c r="J16" s="23"/>
      <c r="K16" s="108">
        <f t="shared" si="4"/>
        <v>9.9374458156781309E-2</v>
      </c>
    </row>
    <row r="17" spans="1:11" s="1" customFormat="1" x14ac:dyDescent="0.2">
      <c r="A17" s="109" t="s">
        <v>36</v>
      </c>
      <c r="B17" s="75">
        <f>B4*0.18</f>
        <v>2700</v>
      </c>
      <c r="C17" s="28">
        <v>0.18</v>
      </c>
      <c r="D17" s="22">
        <f>B17*C17</f>
        <v>486</v>
      </c>
      <c r="E17" s="73">
        <f t="shared" si="3"/>
        <v>2700</v>
      </c>
      <c r="F17" s="28">
        <f t="shared" si="3"/>
        <v>0.18</v>
      </c>
      <c r="G17" s="22">
        <f>E17*F17</f>
        <v>486</v>
      </c>
      <c r="H17" s="22">
        <f t="shared" si="1"/>
        <v>0</v>
      </c>
      <c r="I17" s="23">
        <f t="shared" si="2"/>
        <v>0</v>
      </c>
      <c r="J17" s="23"/>
      <c r="K17" s="108">
        <f t="shared" si="4"/>
        <v>0.14348183798037942</v>
      </c>
    </row>
    <row r="18" spans="1:11" s="1" customFormat="1" x14ac:dyDescent="0.2">
      <c r="A18" s="61" t="s">
        <v>37</v>
      </c>
      <c r="B18" s="29"/>
      <c r="C18" s="30"/>
      <c r="D18" s="30">
        <f>SUM(D15:D17)</f>
        <v>1670.85</v>
      </c>
      <c r="E18" s="77"/>
      <c r="F18" s="30"/>
      <c r="G18" s="30">
        <f>SUM(G15:G17)</f>
        <v>1670.85</v>
      </c>
      <c r="H18" s="31">
        <f t="shared" si="1"/>
        <v>0</v>
      </c>
      <c r="I18" s="32">
        <f t="shared" si="2"/>
        <v>0</v>
      </c>
      <c r="J18" s="33">
        <f t="shared" ref="J18:J23" si="5">G18/$G$46</f>
        <v>0.47213808828961062</v>
      </c>
      <c r="K18" s="62">
        <f t="shared" si="4"/>
        <v>0.49328524483439695</v>
      </c>
    </row>
    <row r="19" spans="1:11" x14ac:dyDescent="0.2">
      <c r="A19" s="107" t="s">
        <v>38</v>
      </c>
      <c r="B19" s="73">
        <v>1</v>
      </c>
      <c r="C19" s="78">
        <f>VLOOKUP($B$3,'Data for Bill Impacts'!$A$3:$Y$15,7,0)</f>
        <v>30.91</v>
      </c>
      <c r="D19" s="22">
        <f>B19*C19</f>
        <v>30.91</v>
      </c>
      <c r="E19" s="73">
        <f t="shared" ref="E19:E41" si="6">B19</f>
        <v>1</v>
      </c>
      <c r="F19" s="78">
        <f>VLOOKUP($B$3,'Data for Bill Impacts'!$A$3:$Y$15,17,0)</f>
        <v>31.41</v>
      </c>
      <c r="G19" s="22">
        <f>E19*F19</f>
        <v>31.41</v>
      </c>
      <c r="H19" s="22">
        <f t="shared" si="1"/>
        <v>0.5</v>
      </c>
      <c r="I19" s="23">
        <f t="shared" si="2"/>
        <v>1.6175994823681657E-2</v>
      </c>
      <c r="J19" s="23">
        <f t="shared" si="5"/>
        <v>8.8756365641300353E-3</v>
      </c>
      <c r="K19" s="108">
        <f t="shared" si="4"/>
        <v>9.2731780472504466E-3</v>
      </c>
    </row>
    <row r="20" spans="1:11" hidden="1" x14ac:dyDescent="0.2">
      <c r="A20" s="107" t="s">
        <v>83</v>
      </c>
      <c r="B20" s="73">
        <v>1</v>
      </c>
      <c r="C20" s="78">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84</v>
      </c>
      <c r="B21" s="73">
        <v>1</v>
      </c>
      <c r="C21" s="78">
        <v>0</v>
      </c>
      <c r="D21" s="22">
        <f t="shared" ref="D21:D22" si="8">B21*C21</f>
        <v>0</v>
      </c>
      <c r="E21" s="73">
        <f t="shared" si="6"/>
        <v>1</v>
      </c>
      <c r="F21" s="122">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v>
      </c>
      <c r="D22" s="22">
        <f t="shared" si="8"/>
        <v>0</v>
      </c>
      <c r="E22" s="73">
        <f t="shared" si="6"/>
        <v>1</v>
      </c>
      <c r="F22" s="122">
        <f>VLOOKUP($B$3,'Data for Bill Impacts'!$A$3:$Y$15,22,0)</f>
        <v>0</v>
      </c>
      <c r="G22" s="22">
        <f t="shared" si="7"/>
        <v>0</v>
      </c>
      <c r="H22" s="22">
        <f t="shared" si="1"/>
        <v>0</v>
      </c>
      <c r="I22" s="23">
        <f t="shared" si="2"/>
        <v>0</v>
      </c>
      <c r="J22" s="23">
        <f t="shared" si="5"/>
        <v>0</v>
      </c>
      <c r="K22" s="108">
        <f t="shared" si="4"/>
        <v>0</v>
      </c>
    </row>
    <row r="23" spans="1:11" x14ac:dyDescent="0.2">
      <c r="A23" s="107" t="s">
        <v>39</v>
      </c>
      <c r="B23" s="73">
        <f>IF($B$9="kWh",$B$4,$B$5)</f>
        <v>15000</v>
      </c>
      <c r="C23" s="126">
        <f>VLOOKUP($B$3,'Data for Bill Impacts'!$A$3:$Y$15,10,0)</f>
        <v>6.3399999999999998E-2</v>
      </c>
      <c r="D23" s="22">
        <f>B23*C23</f>
        <v>951</v>
      </c>
      <c r="E23" s="73">
        <f t="shared" si="6"/>
        <v>15000</v>
      </c>
      <c r="F23" s="78">
        <f>VLOOKUP($B$3,'Data for Bill Impacts'!$A$3:$Y$15,19,0)</f>
        <v>6.5199999999999994E-2</v>
      </c>
      <c r="G23" s="22">
        <f>E23*F23</f>
        <v>977.99999999999989</v>
      </c>
      <c r="H23" s="22">
        <f t="shared" si="1"/>
        <v>26.999999999999886</v>
      </c>
      <c r="I23" s="23">
        <f t="shared" si="2"/>
        <v>2.8391167192428901E-2</v>
      </c>
      <c r="J23" s="23">
        <f t="shared" si="5"/>
        <v>0.27635697420309374</v>
      </c>
      <c r="K23" s="108">
        <f t="shared" si="4"/>
        <v>0.28873505667656596</v>
      </c>
    </row>
    <row r="24" spans="1:11" x14ac:dyDescent="0.2">
      <c r="A24" s="107" t="s">
        <v>194</v>
      </c>
      <c r="B24" s="73">
        <f>IF($B$9="kWh",$B$4,$B$5)</f>
        <v>15000</v>
      </c>
      <c r="C24" s="126">
        <f>VLOOKUP($B$3,'Data for Bill Impacts'!$A$3:$Y$15,14,0)</f>
        <v>2.0000000000000001E-4</v>
      </c>
      <c r="D24" s="34">
        <f>B24*C24</f>
        <v>3</v>
      </c>
      <c r="E24" s="73">
        <f t="shared" si="6"/>
        <v>15000</v>
      </c>
      <c r="F24" s="126">
        <f>VLOOKUP($B$3,'Data for Bill Impacts'!$A$3:$Y$15,23,0)</f>
        <v>2.0000000000000001E-4</v>
      </c>
      <c r="G24" s="34">
        <f>E24*F24</f>
        <v>3</v>
      </c>
      <c r="H24" s="22">
        <f t="shared" si="1"/>
        <v>0</v>
      </c>
      <c r="I24" s="23">
        <f>IF(ISERROR(H24/D24),0,(H24/D24))</f>
        <v>0</v>
      </c>
      <c r="J24" s="23">
        <f t="shared" ref="J24" si="9">G24/$G$46</f>
        <v>8.4772077976409124E-4</v>
      </c>
      <c r="K24" s="108">
        <f t="shared" si="4"/>
        <v>8.8569035790357663E-4</v>
      </c>
    </row>
    <row r="25" spans="1:11" s="1" customFormat="1" x14ac:dyDescent="0.2">
      <c r="A25" s="110" t="s">
        <v>72</v>
      </c>
      <c r="B25" s="74"/>
      <c r="C25" s="35"/>
      <c r="D25" s="35">
        <f>SUM(D19:D24)</f>
        <v>984.91</v>
      </c>
      <c r="E25" s="73"/>
      <c r="F25" s="35"/>
      <c r="G25" s="35">
        <f>SUM(G19:G24)</f>
        <v>1012.4099999999999</v>
      </c>
      <c r="H25" s="35">
        <f t="shared" si="1"/>
        <v>27.499999999999886</v>
      </c>
      <c r="I25" s="36">
        <f t="shared" si="2"/>
        <v>2.7921332913667125E-2</v>
      </c>
      <c r="J25" s="36">
        <f>G25/$G$46</f>
        <v>0.28608033154698786</v>
      </c>
      <c r="K25" s="111">
        <f t="shared" si="4"/>
        <v>0.29889392508171997</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G26/$G$46</f>
        <v>2.232331386712107E-4</v>
      </c>
      <c r="K26" s="108">
        <f t="shared" si="4"/>
        <v>2.3323179424794186E-4</v>
      </c>
    </row>
    <row r="27" spans="1:11" s="1" customFormat="1" x14ac:dyDescent="0.2">
      <c r="A27" s="119" t="s">
        <v>75</v>
      </c>
      <c r="B27" s="120">
        <f>B8-B4</f>
        <v>1440</v>
      </c>
      <c r="C27" s="121">
        <f>IF(B4&gt;B7,C13,C12)</f>
        <v>0.121</v>
      </c>
      <c r="D27" s="22">
        <f>B27*C27</f>
        <v>174.24</v>
      </c>
      <c r="E27" s="73">
        <f>B27</f>
        <v>1440</v>
      </c>
      <c r="F27" s="121">
        <f>C27</f>
        <v>0.121</v>
      </c>
      <c r="G27" s="22">
        <f>E27*F27</f>
        <v>174.24</v>
      </c>
      <c r="H27" s="22">
        <f t="shared" si="1"/>
        <v>0</v>
      </c>
      <c r="I27" s="23">
        <f>IF(ISERROR(H27/D27),0,(H27/D27))</f>
        <v>0</v>
      </c>
      <c r="J27" s="23">
        <f t="shared" ref="J27:J46" si="10">G27/$G$46</f>
        <v>4.9235622888698427E-2</v>
      </c>
      <c r="K27" s="108">
        <f t="shared" ref="K27:K41" si="11">G27/$G$51</f>
        <v>5.1440895987039735E-2</v>
      </c>
    </row>
    <row r="28" spans="1:11" s="1" customFormat="1" x14ac:dyDescent="0.2">
      <c r="A28" s="119" t="s">
        <v>74</v>
      </c>
      <c r="B28" s="120">
        <f>B8-B4</f>
        <v>1440</v>
      </c>
      <c r="C28" s="121">
        <f>0.65*C15+0.17*C16+0.18*C17</f>
        <v>0.11139</v>
      </c>
      <c r="D28" s="22">
        <f>B28*C28</f>
        <v>160.4016</v>
      </c>
      <c r="E28" s="73">
        <f>B28</f>
        <v>1440</v>
      </c>
      <c r="F28" s="121">
        <f>C28</f>
        <v>0.11139</v>
      </c>
      <c r="G28" s="22">
        <f>E28*F28</f>
        <v>160.4016</v>
      </c>
      <c r="H28" s="22">
        <f t="shared" si="1"/>
        <v>0</v>
      </c>
      <c r="I28" s="23">
        <f>IF(ISERROR(H28/D28),0,(H28/D28))</f>
        <v>0</v>
      </c>
      <c r="J28" s="23">
        <f t="shared" si="10"/>
        <v>4.5325256475802621E-2</v>
      </c>
      <c r="K28" s="108">
        <f t="shared" si="11"/>
        <v>4.7355383504102115E-2</v>
      </c>
    </row>
    <row r="29" spans="1:11" s="1" customFormat="1" x14ac:dyDescent="0.2">
      <c r="A29" s="110" t="s">
        <v>78</v>
      </c>
      <c r="B29" s="74"/>
      <c r="C29" s="35"/>
      <c r="D29" s="35">
        <f>SUM(D25,D26:D27)</f>
        <v>1159.94</v>
      </c>
      <c r="E29" s="73"/>
      <c r="F29" s="35"/>
      <c r="G29" s="35">
        <f>SUM(G25,G26:G27)</f>
        <v>1187.4399999999998</v>
      </c>
      <c r="H29" s="35">
        <f t="shared" si="1"/>
        <v>27.499999999999773</v>
      </c>
      <c r="I29" s="36">
        <f>IF(ISERROR(H29/D29),0,(H29/D29))</f>
        <v>2.3708122833939489E-2</v>
      </c>
      <c r="J29" s="36">
        <f t="shared" si="10"/>
        <v>0.33553918757435747</v>
      </c>
      <c r="K29" s="111">
        <f t="shared" si="11"/>
        <v>0.35056805286300763</v>
      </c>
    </row>
    <row r="30" spans="1:11" s="1" customFormat="1" x14ac:dyDescent="0.2">
      <c r="A30" s="110" t="s">
        <v>77</v>
      </c>
      <c r="B30" s="74"/>
      <c r="C30" s="35"/>
      <c r="D30" s="35">
        <f>SUM(D25,D26,D28)</f>
        <v>1146.1016</v>
      </c>
      <c r="E30" s="73"/>
      <c r="F30" s="35"/>
      <c r="G30" s="35">
        <f>SUM(G25,G26,G28)</f>
        <v>1173.6015999999997</v>
      </c>
      <c r="H30" s="35">
        <f t="shared" si="1"/>
        <v>27.499999999999773</v>
      </c>
      <c r="I30" s="36">
        <f>IF(ISERROR(H30/D30),0,(H30/D30))</f>
        <v>2.39943823479522E-2</v>
      </c>
      <c r="J30" s="36">
        <f t="shared" si="10"/>
        <v>0.33162882116146164</v>
      </c>
      <c r="K30" s="111">
        <f t="shared" si="11"/>
        <v>0.34648254038006998</v>
      </c>
    </row>
    <row r="31" spans="1:11" x14ac:dyDescent="0.2">
      <c r="A31" s="107" t="s">
        <v>40</v>
      </c>
      <c r="B31" s="73">
        <f>B8</f>
        <v>16440</v>
      </c>
      <c r="C31" s="126">
        <f>VLOOKUP($B$3,'Data for Bill Impacts'!$A$3:$Y$15,15,0)</f>
        <v>5.6930000000000001E-3</v>
      </c>
      <c r="D31" s="22">
        <f>B31*C31</f>
        <v>93.592920000000007</v>
      </c>
      <c r="E31" s="73">
        <f t="shared" si="6"/>
        <v>16440</v>
      </c>
      <c r="F31" s="78">
        <f>VLOOKUP($B$3,'Data for Bill Impacts'!$A$3:$Y$15,24,0)</f>
        <v>5.4999999999999997E-3</v>
      </c>
      <c r="G31" s="22">
        <f>E31*F31</f>
        <v>90.42</v>
      </c>
      <c r="H31" s="22">
        <f t="shared" si="1"/>
        <v>-3.1729200000000048</v>
      </c>
      <c r="I31" s="23">
        <f t="shared" si="2"/>
        <v>-3.3901282276479934E-2</v>
      </c>
      <c r="J31" s="23">
        <f t="shared" si="10"/>
        <v>2.555030430208971E-2</v>
      </c>
      <c r="K31" s="108">
        <f t="shared" si="11"/>
        <v>2.6694707387213801E-2</v>
      </c>
    </row>
    <row r="32" spans="1:11" x14ac:dyDescent="0.2">
      <c r="A32" s="107" t="s">
        <v>41</v>
      </c>
      <c r="B32" s="73">
        <f>B8</f>
        <v>16440</v>
      </c>
      <c r="C32" s="126">
        <f>VLOOKUP($B$3,'Data for Bill Impacts'!$A$3:$Y$15,16,0)</f>
        <v>4.4740000000000005E-3</v>
      </c>
      <c r="D32" s="22">
        <f>B32*C32</f>
        <v>73.552560000000014</v>
      </c>
      <c r="E32" s="73">
        <f t="shared" si="6"/>
        <v>16440</v>
      </c>
      <c r="F32" s="78">
        <f>VLOOKUP($B$3,'Data for Bill Impacts'!$A$3:$Y$15,25,0)</f>
        <v>4.4999999999999997E-3</v>
      </c>
      <c r="G32" s="22">
        <f>E32*F32</f>
        <v>73.97999999999999</v>
      </c>
      <c r="H32" s="22">
        <f t="shared" si="1"/>
        <v>0.42743999999997584</v>
      </c>
      <c r="I32" s="23">
        <f t="shared" si="2"/>
        <v>5.8113544926237208E-3</v>
      </c>
      <c r="J32" s="23">
        <f t="shared" si="10"/>
        <v>2.0904794428982489E-2</v>
      </c>
      <c r="K32" s="108">
        <f t="shared" si="11"/>
        <v>2.1841124225902196E-2</v>
      </c>
    </row>
    <row r="33" spans="1:11" s="1" customFormat="1" x14ac:dyDescent="0.2">
      <c r="A33" s="110" t="s">
        <v>76</v>
      </c>
      <c r="B33" s="74"/>
      <c r="C33" s="35"/>
      <c r="D33" s="35">
        <f>SUM(D31:D32)</f>
        <v>167.14548000000002</v>
      </c>
      <c r="E33" s="73"/>
      <c r="F33" s="35"/>
      <c r="G33" s="35">
        <f>SUM(G31:G32)</f>
        <v>164.39999999999998</v>
      </c>
      <c r="H33" s="35">
        <f t="shared" si="1"/>
        <v>-2.7454800000000432</v>
      </c>
      <c r="I33" s="36">
        <f t="shared" si="2"/>
        <v>-1.6425690960952356E-2</v>
      </c>
      <c r="J33" s="36">
        <f t="shared" si="10"/>
        <v>4.6455098731072196E-2</v>
      </c>
      <c r="K33" s="111">
        <f t="shared" si="11"/>
        <v>4.853583161311599E-2</v>
      </c>
    </row>
    <row r="34" spans="1:11" s="1" customFormat="1" x14ac:dyDescent="0.2">
      <c r="A34" s="110" t="s">
        <v>95</v>
      </c>
      <c r="B34" s="74"/>
      <c r="C34" s="35"/>
      <c r="D34" s="35">
        <f>D29+D33</f>
        <v>1327.0854800000002</v>
      </c>
      <c r="E34" s="73"/>
      <c r="F34" s="35"/>
      <c r="G34" s="35">
        <f>G29+G33</f>
        <v>1351.8399999999997</v>
      </c>
      <c r="H34" s="35">
        <f t="shared" si="1"/>
        <v>24.754519999999502</v>
      </c>
      <c r="I34" s="36">
        <f t="shared" si="2"/>
        <v>1.8653297299281352E-2</v>
      </c>
      <c r="J34" s="36">
        <f t="shared" si="10"/>
        <v>0.38199428630542964</v>
      </c>
      <c r="K34" s="111">
        <f t="shared" si="11"/>
        <v>0.3991038844761236</v>
      </c>
    </row>
    <row r="35" spans="1:11" s="1" customFormat="1" x14ac:dyDescent="0.2">
      <c r="A35" s="110" t="s">
        <v>96</v>
      </c>
      <c r="B35" s="74"/>
      <c r="C35" s="35"/>
      <c r="D35" s="35">
        <f>D30+D33</f>
        <v>1313.2470800000001</v>
      </c>
      <c r="E35" s="73"/>
      <c r="F35" s="35"/>
      <c r="G35" s="35">
        <f>G30+G33</f>
        <v>1338.0015999999996</v>
      </c>
      <c r="H35" s="35">
        <f t="shared" si="1"/>
        <v>24.754519999999502</v>
      </c>
      <c r="I35" s="36">
        <f t="shared" si="2"/>
        <v>1.884985725610713E-2</v>
      </c>
      <c r="J35" s="36">
        <f t="shared" si="10"/>
        <v>0.37808391989253382</v>
      </c>
      <c r="K35" s="111">
        <f t="shared" si="11"/>
        <v>0.39501837199318596</v>
      </c>
    </row>
    <row r="36" spans="1:11" x14ac:dyDescent="0.2">
      <c r="A36" s="107" t="s">
        <v>42</v>
      </c>
      <c r="B36" s="73">
        <f>B8</f>
        <v>16440</v>
      </c>
      <c r="C36" s="34">
        <v>3.5999999999999999E-3</v>
      </c>
      <c r="D36" s="22">
        <f>B36*C36</f>
        <v>59.183999999999997</v>
      </c>
      <c r="E36" s="73">
        <f t="shared" si="6"/>
        <v>16440</v>
      </c>
      <c r="F36" s="34">
        <v>3.5999999999999999E-3</v>
      </c>
      <c r="G36" s="22">
        <f>E36*F36</f>
        <v>59.183999999999997</v>
      </c>
      <c r="H36" s="22">
        <f t="shared" si="1"/>
        <v>0</v>
      </c>
      <c r="I36" s="23">
        <f t="shared" si="2"/>
        <v>0</v>
      </c>
      <c r="J36" s="23">
        <f t="shared" si="10"/>
        <v>1.6723835543185992E-2</v>
      </c>
      <c r="K36" s="108">
        <f t="shared" si="11"/>
        <v>1.747289938072176E-2</v>
      </c>
    </row>
    <row r="37" spans="1:11" x14ac:dyDescent="0.2">
      <c r="A37" s="107" t="s">
        <v>43</v>
      </c>
      <c r="B37" s="73">
        <f>B8</f>
        <v>16440</v>
      </c>
      <c r="C37" s="34">
        <v>2.0999999999999999E-3</v>
      </c>
      <c r="D37" s="22">
        <f>B37*C37</f>
        <v>34.524000000000001</v>
      </c>
      <c r="E37" s="73">
        <f t="shared" si="6"/>
        <v>16440</v>
      </c>
      <c r="F37" s="34">
        <v>2.0999999999999999E-3</v>
      </c>
      <c r="G37" s="22">
        <f>E37*F37</f>
        <v>34.524000000000001</v>
      </c>
      <c r="H37" s="22">
        <f>G37-D37</f>
        <v>0</v>
      </c>
      <c r="I37" s="23">
        <f t="shared" si="2"/>
        <v>0</v>
      </c>
      <c r="J37" s="23">
        <f t="shared" si="10"/>
        <v>9.7555707335251624E-3</v>
      </c>
      <c r="K37" s="108">
        <f t="shared" si="11"/>
        <v>1.019252463875436E-2</v>
      </c>
    </row>
    <row r="38" spans="1:11" x14ac:dyDescent="0.2">
      <c r="A38" s="107" t="s">
        <v>100</v>
      </c>
      <c r="B38" s="73">
        <f>B8</f>
        <v>16440</v>
      </c>
      <c r="C38" s="34">
        <v>1.1000000000000001E-3</v>
      </c>
      <c r="D38" s="22">
        <f>B38*C38</f>
        <v>18.084</v>
      </c>
      <c r="E38" s="73">
        <f t="shared" si="6"/>
        <v>16440</v>
      </c>
      <c r="F38" s="34">
        <v>1.1000000000000001E-3</v>
      </c>
      <c r="G38" s="22">
        <f>E38*F38</f>
        <v>18.084</v>
      </c>
      <c r="H38" s="22">
        <f>G38-D38</f>
        <v>0</v>
      </c>
      <c r="I38" s="23">
        <f t="shared" ref="I38" si="12">IF(ISERROR(H38/D38),0,(H38/D38))</f>
        <v>0</v>
      </c>
      <c r="J38" s="23">
        <f t="shared" ref="J38" si="13">G38/$G$46</f>
        <v>5.1100608604179422E-3</v>
      </c>
      <c r="K38" s="108">
        <f t="shared" ref="K38" si="14">G38/$G$51</f>
        <v>5.3389414774427596E-3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10"/>
        <v>7.0643398313674274E-5</v>
      </c>
      <c r="K39" s="108">
        <f t="shared" si="11"/>
        <v>7.3807529825298048E-5</v>
      </c>
    </row>
    <row r="40" spans="1:11" s="1" customFormat="1" x14ac:dyDescent="0.2">
      <c r="A40" s="110" t="s">
        <v>45</v>
      </c>
      <c r="B40" s="74"/>
      <c r="C40" s="35"/>
      <c r="D40" s="35">
        <f>SUM(D36:D39)</f>
        <v>112.042</v>
      </c>
      <c r="E40" s="73"/>
      <c r="F40" s="35"/>
      <c r="G40" s="35">
        <f>SUM(G36:G39)</f>
        <v>112.042</v>
      </c>
      <c r="H40" s="35">
        <f t="shared" si="1"/>
        <v>0</v>
      </c>
      <c r="I40" s="36">
        <f t="shared" si="2"/>
        <v>0</v>
      </c>
      <c r="J40" s="36">
        <f t="shared" si="10"/>
        <v>3.1660110535442772E-2</v>
      </c>
      <c r="K40" s="111">
        <f t="shared" si="11"/>
        <v>3.3078173026744179E-2</v>
      </c>
    </row>
    <row r="41" spans="1:11" s="1" customFormat="1" ht="13.5" thickBot="1" x14ac:dyDescent="0.25">
      <c r="A41" s="112" t="s">
        <v>46</v>
      </c>
      <c r="B41" s="113">
        <f>B4</f>
        <v>15000</v>
      </c>
      <c r="C41" s="114">
        <v>7.0000000000000001E-3</v>
      </c>
      <c r="D41" s="115">
        <f>B41*C41</f>
        <v>105</v>
      </c>
      <c r="E41" s="116">
        <f t="shared" si="6"/>
        <v>15000</v>
      </c>
      <c r="F41" s="114">
        <f>C41</f>
        <v>7.0000000000000001E-3</v>
      </c>
      <c r="G41" s="115">
        <f>E41*F41</f>
        <v>105</v>
      </c>
      <c r="H41" s="115">
        <f t="shared" si="1"/>
        <v>0</v>
      </c>
      <c r="I41" s="117">
        <f t="shared" si="2"/>
        <v>0</v>
      </c>
      <c r="J41" s="117">
        <f t="shared" si="10"/>
        <v>2.9670227291743196E-2</v>
      </c>
      <c r="K41" s="118">
        <f t="shared" si="11"/>
        <v>3.0999162526625181E-2</v>
      </c>
    </row>
    <row r="42" spans="1:11" s="1" customFormat="1" x14ac:dyDescent="0.2">
      <c r="A42" s="37" t="s">
        <v>137</v>
      </c>
      <c r="B42" s="38"/>
      <c r="C42" s="39"/>
      <c r="D42" s="39">
        <f>SUM(D14,D25,D26,D27,D33,D40,D41)</f>
        <v>3345.6274799999997</v>
      </c>
      <c r="E42" s="38"/>
      <c r="F42" s="39"/>
      <c r="G42" s="39">
        <f>SUM(G14,G25,G26,G27,G33,G40,G41)</f>
        <v>3370.3819999999996</v>
      </c>
      <c r="H42" s="39">
        <f t="shared" si="1"/>
        <v>24.754519999999957</v>
      </c>
      <c r="I42" s="40">
        <f>IF(ISERROR(H42/D42),0,(H42/D42))</f>
        <v>7.3990664376058866E-3</v>
      </c>
      <c r="J42" s="40">
        <f t="shared" si="10"/>
        <v>0.95238095238095233</v>
      </c>
      <c r="K42" s="41"/>
    </row>
    <row r="43" spans="1:11" x14ac:dyDescent="0.2">
      <c r="A43" s="150" t="s">
        <v>138</v>
      </c>
      <c r="B43" s="43"/>
      <c r="C43" s="26">
        <v>0.13</v>
      </c>
      <c r="D43" s="26">
        <f>D42*C43</f>
        <v>434.93157239999999</v>
      </c>
      <c r="E43" s="26"/>
      <c r="F43" s="26">
        <f>C43</f>
        <v>0.13</v>
      </c>
      <c r="G43" s="26">
        <f>G42*F43</f>
        <v>438.14965999999998</v>
      </c>
      <c r="H43" s="26">
        <f t="shared" si="1"/>
        <v>3.2180875999999898</v>
      </c>
      <c r="I43" s="44">
        <f t="shared" si="2"/>
        <v>7.3990664376058753E-3</v>
      </c>
      <c r="J43" s="44">
        <f t="shared" si="10"/>
        <v>0.12380952380952381</v>
      </c>
      <c r="K43" s="45"/>
    </row>
    <row r="44" spans="1:11" s="1" customFormat="1" x14ac:dyDescent="0.2">
      <c r="A44" s="46" t="s">
        <v>139</v>
      </c>
      <c r="B44" s="24"/>
      <c r="C44" s="25"/>
      <c r="D44" s="25">
        <f>SUM(D42:D43)</f>
        <v>3780.5590523999995</v>
      </c>
      <c r="E44" s="25"/>
      <c r="F44" s="25"/>
      <c r="G44" s="25">
        <f>SUM(G42:G43)</f>
        <v>3808.5316599999996</v>
      </c>
      <c r="H44" s="25">
        <f t="shared" si="1"/>
        <v>27.972607600000174</v>
      </c>
      <c r="I44" s="27">
        <f t="shared" si="2"/>
        <v>7.3990664376059456E-3</v>
      </c>
      <c r="J44" s="27">
        <f t="shared" si="10"/>
        <v>1.0761904761904761</v>
      </c>
      <c r="K44" s="47"/>
    </row>
    <row r="45" spans="1:11" x14ac:dyDescent="0.2">
      <c r="A45" s="42" t="s">
        <v>140</v>
      </c>
      <c r="B45" s="43"/>
      <c r="C45" s="26">
        <v>-0.08</v>
      </c>
      <c r="D45" s="26">
        <f>D42*C45</f>
        <v>-267.65019839999997</v>
      </c>
      <c r="E45" s="26"/>
      <c r="F45" s="26">
        <f>C45</f>
        <v>-0.08</v>
      </c>
      <c r="G45" s="26">
        <f>G42*F45</f>
        <v>-269.63055999999995</v>
      </c>
      <c r="H45" s="26">
        <f t="shared" si="1"/>
        <v>-1.9803615999999806</v>
      </c>
      <c r="I45" s="44">
        <f t="shared" si="2"/>
        <v>7.3990664376058276E-3</v>
      </c>
      <c r="J45" s="44">
        <f t="shared" si="10"/>
        <v>-7.6190476190476183E-2</v>
      </c>
      <c r="K45" s="45"/>
    </row>
    <row r="46" spans="1:11" s="1" customFormat="1" ht="13.5" thickBot="1" x14ac:dyDescent="0.25">
      <c r="A46" s="48" t="s">
        <v>141</v>
      </c>
      <c r="B46" s="49"/>
      <c r="C46" s="50"/>
      <c r="D46" s="50">
        <f>SUM(D44:D45)</f>
        <v>3512.9088539999993</v>
      </c>
      <c r="E46" s="50"/>
      <c r="F46" s="50"/>
      <c r="G46" s="50">
        <f>SUM(G44:G45)</f>
        <v>3538.9010999999996</v>
      </c>
      <c r="H46" s="50">
        <f t="shared" si="1"/>
        <v>25.99224600000025</v>
      </c>
      <c r="I46" s="51">
        <f t="shared" si="2"/>
        <v>7.3990664376059716E-3</v>
      </c>
      <c r="J46" s="51">
        <f t="shared" si="10"/>
        <v>1</v>
      </c>
      <c r="K46" s="52"/>
    </row>
    <row r="47" spans="1:11" x14ac:dyDescent="0.2">
      <c r="A47" s="53" t="s">
        <v>142</v>
      </c>
      <c r="B47" s="54"/>
      <c r="C47" s="55"/>
      <c r="D47" s="55">
        <f>SUM(D18,D25,D26,D28,D33,D40,D41)</f>
        <v>3201.1390799999999</v>
      </c>
      <c r="E47" s="55"/>
      <c r="F47" s="55"/>
      <c r="G47" s="55">
        <f>SUM(G18,G25,G26,G28,G33,G40,G41)</f>
        <v>3225.8935999999999</v>
      </c>
      <c r="H47" s="55">
        <f>G47-D47</f>
        <v>24.754519999999957</v>
      </c>
      <c r="I47" s="56">
        <f>IF(ISERROR(H47/D47),0,(H47/D47))</f>
        <v>7.7330348295894594E-3</v>
      </c>
      <c r="J47" s="56"/>
      <c r="K47" s="57">
        <f>G47/$G$51</f>
        <v>0.95238095238095244</v>
      </c>
    </row>
    <row r="48" spans="1:11" x14ac:dyDescent="0.2">
      <c r="A48" s="58" t="s">
        <v>138</v>
      </c>
      <c r="B48" s="59"/>
      <c r="C48" s="31">
        <v>0.13</v>
      </c>
      <c r="D48" s="31">
        <f>D47*C48</f>
        <v>416.14808040000003</v>
      </c>
      <c r="E48" s="31"/>
      <c r="F48" s="31">
        <f>C48</f>
        <v>0.13</v>
      </c>
      <c r="G48" s="31">
        <f>G47*F48</f>
        <v>419.36616800000002</v>
      </c>
      <c r="H48" s="31">
        <f>G48-D48</f>
        <v>3.2180875999999898</v>
      </c>
      <c r="I48" s="32">
        <f>IF(ISERROR(H48/D48),0,(H48/D48))</f>
        <v>7.7330348295894472E-3</v>
      </c>
      <c r="J48" s="32"/>
      <c r="K48" s="60">
        <f>G48/$G$51</f>
        <v>0.12380952380952381</v>
      </c>
    </row>
    <row r="49" spans="1:11" x14ac:dyDescent="0.2">
      <c r="A49" s="141" t="s">
        <v>143</v>
      </c>
      <c r="B49" s="29"/>
      <c r="C49" s="30"/>
      <c r="D49" s="30">
        <f>SUM(D47:D48)</f>
        <v>3617.2871604000002</v>
      </c>
      <c r="E49" s="30"/>
      <c r="F49" s="30"/>
      <c r="G49" s="30">
        <f>SUM(G47:G48)</f>
        <v>3645.2597679999999</v>
      </c>
      <c r="H49" s="30">
        <f>G49-D49</f>
        <v>27.972607599999719</v>
      </c>
      <c r="I49" s="33">
        <f>IF(ISERROR(H49/D49),0,(H49/D49))</f>
        <v>7.7330348295893943E-3</v>
      </c>
      <c r="J49" s="33"/>
      <c r="K49" s="62">
        <f>G49/$G$51</f>
        <v>1.0761904761904761</v>
      </c>
    </row>
    <row r="50" spans="1:11" x14ac:dyDescent="0.2">
      <c r="A50" s="58" t="s">
        <v>140</v>
      </c>
      <c r="B50" s="59"/>
      <c r="C50" s="31">
        <v>-0.08</v>
      </c>
      <c r="D50" s="31">
        <f>D47*C50</f>
        <v>-256.09112640000001</v>
      </c>
      <c r="E50" s="31"/>
      <c r="F50" s="31">
        <f>C50</f>
        <v>-0.08</v>
      </c>
      <c r="G50" s="31">
        <f>G47*F50</f>
        <v>-258.07148799999999</v>
      </c>
      <c r="H50" s="31">
        <f>G50-D50</f>
        <v>-1.9803615999999806</v>
      </c>
      <c r="I50" s="32">
        <f>IF(ISERROR(H50/D50),0,(H50/D50))</f>
        <v>7.7330348295893961E-3</v>
      </c>
      <c r="J50" s="32"/>
      <c r="K50" s="60">
        <f>G50/$G$51</f>
        <v>-7.6190476190476183E-2</v>
      </c>
    </row>
    <row r="51" spans="1:11" ht="13.5" thickBot="1" x14ac:dyDescent="0.25">
      <c r="A51" s="63" t="s">
        <v>144</v>
      </c>
      <c r="B51" s="64"/>
      <c r="C51" s="65"/>
      <c r="D51" s="65">
        <f>SUM(D49:D50)</f>
        <v>3361.1960340000001</v>
      </c>
      <c r="E51" s="65"/>
      <c r="F51" s="65"/>
      <c r="G51" s="65">
        <f>SUM(G49:G50)</f>
        <v>3387.1882799999998</v>
      </c>
      <c r="H51" s="65">
        <f>G51-D51</f>
        <v>25.992245999999795</v>
      </c>
      <c r="I51" s="66">
        <f>IF(ISERROR(H51/D51),0,(H51/D51))</f>
        <v>7.7330348295894117E-3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17" orientation="landscape" r:id="rId1"/>
  <headerFooter>
    <oddHeader>&amp;RFiled: 2017-03-31
EB-2017-0049
Exhibit H1-4-1
Attachment 4
Page &amp;P of &amp;N</oddHead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theme="1" tint="0.499984740745262"/>
    <pageSetUpPr fitToPage="1"/>
  </sheetPr>
  <dimension ref="A1:J40"/>
  <sheetViews>
    <sheetView view="pageBreakPreview" topLeftCell="A7" zoomScaleNormal="100" zoomScaleSheetLayoutView="100" workbookViewId="0">
      <selection activeCell="C19" sqref="C19"/>
    </sheetView>
  </sheetViews>
  <sheetFormatPr defaultRowHeight="12.75" x14ac:dyDescent="0.2"/>
  <cols>
    <col min="1" max="1" width="64.710937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48" t="s">
        <v>109</v>
      </c>
      <c r="B1" s="349"/>
      <c r="C1" s="349"/>
      <c r="D1" s="349"/>
      <c r="E1" s="349"/>
      <c r="F1" s="349"/>
      <c r="G1" s="349"/>
      <c r="H1" s="349"/>
      <c r="I1" s="349"/>
      <c r="J1" s="350"/>
    </row>
    <row r="3" spans="1:10" x14ac:dyDescent="0.2">
      <c r="A3" s="13" t="s">
        <v>13</v>
      </c>
      <c r="B3" s="13" t="s">
        <v>7</v>
      </c>
    </row>
    <row r="4" spans="1:10" x14ac:dyDescent="0.2">
      <c r="A4" s="15" t="s">
        <v>62</v>
      </c>
      <c r="B4" s="79">
        <v>15000</v>
      </c>
    </row>
    <row r="5" spans="1:10" x14ac:dyDescent="0.2">
      <c r="A5" s="15" t="s">
        <v>16</v>
      </c>
      <c r="B5" s="79">
        <v>60</v>
      </c>
    </row>
    <row r="6" spans="1:10" x14ac:dyDescent="0.2">
      <c r="A6" s="15" t="s">
        <v>20</v>
      </c>
      <c r="B6" s="80">
        <f>VLOOKUP($B$3,'Data for Bill Impacts'!$A$3:$Y$15,2,0)</f>
        <v>1.05</v>
      </c>
    </row>
    <row r="7" spans="1:10" x14ac:dyDescent="0.2">
      <c r="A7" s="81" t="s">
        <v>49</v>
      </c>
      <c r="B7" s="82">
        <f>B4/(B5*730)</f>
        <v>0.34246575342465752</v>
      </c>
    </row>
    <row r="8" spans="1:10" x14ac:dyDescent="0.2">
      <c r="A8" s="15" t="s">
        <v>15</v>
      </c>
      <c r="B8" s="79">
        <f>VLOOKUP($B$3,'Data for Bill Impacts'!$A$3:$Y$15,4,0)</f>
        <v>0</v>
      </c>
    </row>
    <row r="9" spans="1:10" x14ac:dyDescent="0.2">
      <c r="A9" s="15" t="s">
        <v>82</v>
      </c>
      <c r="B9" s="79">
        <f>B4*B6</f>
        <v>15750</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3" t="s">
        <v>50</v>
      </c>
    </row>
    <row r="13" spans="1:10" x14ac:dyDescent="0.2">
      <c r="A13" s="101" t="s">
        <v>31</v>
      </c>
      <c r="B13" s="102">
        <f>B9</f>
        <v>15750</v>
      </c>
      <c r="C13" s="103">
        <v>0.10299999999999999</v>
      </c>
      <c r="D13" s="104">
        <f>B13*C13</f>
        <v>1622.25</v>
      </c>
      <c r="E13" s="102">
        <f>B13</f>
        <v>15750</v>
      </c>
      <c r="F13" s="103">
        <f>C13</f>
        <v>0.10299999999999999</v>
      </c>
      <c r="G13" s="104">
        <f>E13*F13</f>
        <v>1622.25</v>
      </c>
      <c r="H13" s="104">
        <f>G13-D13</f>
        <v>0</v>
      </c>
      <c r="I13" s="105">
        <f>IF(ISERROR(H13/D13),0,(H13/D13))</f>
        <v>0</v>
      </c>
      <c r="J13" s="124">
        <f t="shared" ref="J13:J29" si="0">G13/$G$38</f>
        <v>0.50590721085132595</v>
      </c>
    </row>
    <row r="14" spans="1:10" x14ac:dyDescent="0.2">
      <c r="A14" s="107" t="s">
        <v>32</v>
      </c>
      <c r="B14" s="73">
        <v>0</v>
      </c>
      <c r="C14" s="21">
        <v>0.121</v>
      </c>
      <c r="D14" s="22">
        <f>B14*C14</f>
        <v>0</v>
      </c>
      <c r="E14" s="73">
        <f t="shared" ref="E14" si="1">B14</f>
        <v>0</v>
      </c>
      <c r="F14" s="21">
        <f>C14</f>
        <v>0.121</v>
      </c>
      <c r="G14" s="22">
        <f>E14*F14</f>
        <v>0</v>
      </c>
      <c r="H14" s="22">
        <f t="shared" ref="H14:H38" si="2">G14-D14</f>
        <v>0</v>
      </c>
      <c r="I14" s="23">
        <f t="shared" ref="I14:I33" si="3">IF(ISERROR(H14/D14),0,(H14/D14))</f>
        <v>0</v>
      </c>
      <c r="J14" s="125">
        <f t="shared" si="0"/>
        <v>0</v>
      </c>
    </row>
    <row r="15" spans="1:10" s="1" customFormat="1" x14ac:dyDescent="0.2">
      <c r="A15" s="46" t="s">
        <v>33</v>
      </c>
      <c r="B15" s="24"/>
      <c r="C15" s="25"/>
      <c r="D15" s="25">
        <f>SUM(D13:D14)</f>
        <v>1622.25</v>
      </c>
      <c r="E15" s="76"/>
      <c r="F15" s="25"/>
      <c r="G15" s="25">
        <f>SUM(G13:G14)</f>
        <v>1622.25</v>
      </c>
      <c r="H15" s="25">
        <f t="shared" si="2"/>
        <v>0</v>
      </c>
      <c r="I15" s="27">
        <f t="shared" si="3"/>
        <v>0</v>
      </c>
      <c r="J15" s="47">
        <f t="shared" si="0"/>
        <v>0.50590721085132595</v>
      </c>
    </row>
    <row r="16" spans="1:10" s="1" customFormat="1" x14ac:dyDescent="0.2">
      <c r="A16" s="107" t="s">
        <v>38</v>
      </c>
      <c r="B16" s="73">
        <v>1</v>
      </c>
      <c r="C16" s="78">
        <f>VLOOKUP($B$3,'Data for Bill Impacts'!$A$3:$Y$15,7,0)</f>
        <v>105.1</v>
      </c>
      <c r="D16" s="22">
        <f>B16*C16</f>
        <v>105.1</v>
      </c>
      <c r="E16" s="73">
        <f t="shared" ref="E16:E33" si="4">B16</f>
        <v>1</v>
      </c>
      <c r="F16" s="78">
        <f>VLOOKUP($B$3,'Data for Bill Impacts'!$A$3:$Y$15,17,0)</f>
        <v>106.7</v>
      </c>
      <c r="G16" s="22">
        <f>E16*F16</f>
        <v>106.7</v>
      </c>
      <c r="H16" s="22">
        <f t="shared" si="2"/>
        <v>1.6000000000000085</v>
      </c>
      <c r="I16" s="23">
        <f t="shared" si="3"/>
        <v>1.5223596574690853E-2</v>
      </c>
      <c r="J16" s="125">
        <f t="shared" si="0"/>
        <v>3.327495724939835E-2</v>
      </c>
    </row>
    <row r="17" spans="1:10" hidden="1" x14ac:dyDescent="0.2">
      <c r="A17" s="107" t="s">
        <v>83</v>
      </c>
      <c r="B17" s="73">
        <v>1</v>
      </c>
      <c r="C17" s="78">
        <v>0</v>
      </c>
      <c r="D17" s="22">
        <f>B17*C17</f>
        <v>0</v>
      </c>
      <c r="E17" s="73">
        <f t="shared" si="4"/>
        <v>1</v>
      </c>
      <c r="F17" s="78">
        <v>0</v>
      </c>
      <c r="G17" s="22">
        <f t="shared" ref="G17:G19" si="5">E17*F17</f>
        <v>0</v>
      </c>
      <c r="H17" s="22">
        <f t="shared" si="2"/>
        <v>0</v>
      </c>
      <c r="I17" s="23">
        <f t="shared" si="3"/>
        <v>0</v>
      </c>
      <c r="J17" s="125">
        <f t="shared" si="0"/>
        <v>0</v>
      </c>
    </row>
    <row r="18" spans="1:10" hidden="1" x14ac:dyDescent="0.2">
      <c r="A18" s="107" t="s">
        <v>84</v>
      </c>
      <c r="B18" s="73">
        <v>1</v>
      </c>
      <c r="C18" s="78">
        <v>0</v>
      </c>
      <c r="D18" s="22">
        <f t="shared" ref="D18:D19" si="6">B18*C18</f>
        <v>0</v>
      </c>
      <c r="E18" s="73">
        <f t="shared" si="4"/>
        <v>1</v>
      </c>
      <c r="F18" s="78">
        <v>0</v>
      </c>
      <c r="G18" s="22">
        <f t="shared" si="5"/>
        <v>0</v>
      </c>
      <c r="H18" s="22">
        <f t="shared" si="2"/>
        <v>0</v>
      </c>
      <c r="I18" s="23">
        <f t="shared" si="3"/>
        <v>0</v>
      </c>
      <c r="J18" s="125">
        <f t="shared" si="0"/>
        <v>0</v>
      </c>
    </row>
    <row r="19" spans="1:10" x14ac:dyDescent="0.2">
      <c r="A19" s="107" t="s">
        <v>85</v>
      </c>
      <c r="B19" s="73">
        <v>1</v>
      </c>
      <c r="C19" s="122">
        <f>VLOOKUP($B$3,'Data for Bill Impacts'!$A$3:$Y$15,13,0)</f>
        <v>0.01</v>
      </c>
      <c r="D19" s="22">
        <f t="shared" si="6"/>
        <v>0.01</v>
      </c>
      <c r="E19" s="73">
        <f t="shared" si="4"/>
        <v>1</v>
      </c>
      <c r="F19" s="122">
        <f>VLOOKUP($B$3,'Data for Bill Impacts'!$A$3:$Y$15,22,0)</f>
        <v>0.01</v>
      </c>
      <c r="G19" s="22">
        <f t="shared" si="5"/>
        <v>0.01</v>
      </c>
      <c r="H19" s="22">
        <f t="shared" si="2"/>
        <v>0</v>
      </c>
      <c r="I19" s="23">
        <f t="shared" si="3"/>
        <v>0</v>
      </c>
      <c r="J19" s="125">
        <f t="shared" si="0"/>
        <v>3.1185526944140909E-6</v>
      </c>
    </row>
    <row r="20" spans="1:10" x14ac:dyDescent="0.2">
      <c r="A20" s="107" t="s">
        <v>39</v>
      </c>
      <c r="B20" s="73">
        <f>IF($B$10="kWh",$B$4,$B$5)</f>
        <v>60</v>
      </c>
      <c r="C20" s="78">
        <f>VLOOKUP($B$3,'Data for Bill Impacts'!$A$3:$Y$15,10,0)</f>
        <v>10.236800000000001</v>
      </c>
      <c r="D20" s="22">
        <f>B20*C20</f>
        <v>614.20800000000008</v>
      </c>
      <c r="E20" s="73">
        <f t="shared" si="4"/>
        <v>60</v>
      </c>
      <c r="F20" s="78">
        <f>VLOOKUP($B$3,'Data for Bill Impacts'!$A$3:$Y$15,19,0)</f>
        <v>10.513299999999999</v>
      </c>
      <c r="G20" s="22">
        <f>E20*F20</f>
        <v>630.798</v>
      </c>
      <c r="H20" s="22">
        <f t="shared" si="2"/>
        <v>16.589999999999918</v>
      </c>
      <c r="I20" s="23">
        <f t="shared" si="3"/>
        <v>2.7010393873085202E-2</v>
      </c>
      <c r="J20" s="125">
        <f t="shared" si="0"/>
        <v>0.19671768025310199</v>
      </c>
    </row>
    <row r="21" spans="1:10" s="1" customFormat="1" x14ac:dyDescent="0.2">
      <c r="A21" s="107" t="s">
        <v>194</v>
      </c>
      <c r="B21" s="73">
        <f>IF($B$10="kWh",$B$4,$B$5)</f>
        <v>60</v>
      </c>
      <c r="C21" s="126">
        <f>VLOOKUP($B$3,'Data for Bill Impacts'!$A$3:$Y$15,14,0)</f>
        <v>6.4600000000000005E-2</v>
      </c>
      <c r="D21" s="22">
        <f>B21*C21</f>
        <v>3.8760000000000003</v>
      </c>
      <c r="E21" s="73">
        <f>B21</f>
        <v>60</v>
      </c>
      <c r="F21" s="126">
        <f>VLOOKUP($B$3,'Data for Bill Impacts'!$A$3:$Y$15,23,0)</f>
        <v>6.4600000000000005E-2</v>
      </c>
      <c r="G21" s="22">
        <f>E21*F21</f>
        <v>3.8760000000000003</v>
      </c>
      <c r="H21" s="22">
        <f>G21-D21</f>
        <v>0</v>
      </c>
      <c r="I21" s="23">
        <f>IF(ISERROR(H21/D21),0,(H21/D21))</f>
        <v>0</v>
      </c>
      <c r="J21" s="125">
        <f t="shared" si="0"/>
        <v>1.2087510243549019E-3</v>
      </c>
    </row>
    <row r="22" spans="1:10" s="1" customFormat="1" x14ac:dyDescent="0.2">
      <c r="A22" s="107" t="s">
        <v>147</v>
      </c>
      <c r="B22" s="73">
        <f>B9</f>
        <v>15750</v>
      </c>
      <c r="C22" s="126">
        <f>VLOOKUP($B$3,'Data for Bill Impacts'!$A$3:$Y$15,20,0)</f>
        <v>1.9E-3</v>
      </c>
      <c r="D22" s="22">
        <f>B22*C22</f>
        <v>29.925000000000001</v>
      </c>
      <c r="E22" s="73">
        <f t="shared" si="4"/>
        <v>15750</v>
      </c>
      <c r="F22" s="126">
        <f>VLOOKUP($B$3,'Data for Bill Impacts'!$A$3:$Y$15,21,0)</f>
        <v>1.9E-3</v>
      </c>
      <c r="G22" s="22">
        <f>E22*F22</f>
        <v>29.925000000000001</v>
      </c>
      <c r="H22" s="22">
        <f t="shared" si="2"/>
        <v>0</v>
      </c>
      <c r="I22" s="23">
        <f>IF(ISERROR(H22/D22),0,(H22/D22))</f>
        <v>0</v>
      </c>
      <c r="J22" s="125">
        <f t="shared" si="0"/>
        <v>9.3322689380341672E-3</v>
      </c>
    </row>
    <row r="23" spans="1:10" x14ac:dyDescent="0.2">
      <c r="A23" s="110" t="s">
        <v>97</v>
      </c>
      <c r="B23" s="74"/>
      <c r="C23" s="35"/>
      <c r="D23" s="35">
        <f>SUM(D16:D22)</f>
        <v>753.11900000000003</v>
      </c>
      <c r="E23" s="73"/>
      <c r="F23" s="35"/>
      <c r="G23" s="35">
        <f>SUM(G16:G22)</f>
        <v>771.30899999999997</v>
      </c>
      <c r="H23" s="35">
        <f t="shared" si="2"/>
        <v>18.189999999999941</v>
      </c>
      <c r="I23" s="36">
        <f t="shared" si="3"/>
        <v>2.4152889516796072E-2</v>
      </c>
      <c r="J23" s="111">
        <f t="shared" si="0"/>
        <v>0.2405367760175838</v>
      </c>
    </row>
    <row r="24" spans="1:10" x14ac:dyDescent="0.2">
      <c r="A24" s="107" t="s">
        <v>40</v>
      </c>
      <c r="B24" s="73">
        <f>B5</f>
        <v>60</v>
      </c>
      <c r="C24" s="126">
        <f>VLOOKUP($B$3,'Data for Bill Impacts'!$A$3:$Y$15,15,0)</f>
        <v>2.2310400000000001</v>
      </c>
      <c r="D24" s="22">
        <f>B24*C24</f>
        <v>133.86240000000001</v>
      </c>
      <c r="E24" s="73">
        <f t="shared" si="4"/>
        <v>60</v>
      </c>
      <c r="F24" s="78">
        <f>VLOOKUP($B$3,'Data for Bill Impacts'!$A$3:$Y$15,24,0)</f>
        <v>2.1349</v>
      </c>
      <c r="G24" s="22">
        <f>E24*F24</f>
        <v>128.09399999999999</v>
      </c>
      <c r="H24" s="22">
        <f t="shared" si="2"/>
        <v>-5.768400000000014</v>
      </c>
      <c r="I24" s="23">
        <f t="shared" si="3"/>
        <v>-4.3092010900745943E-2</v>
      </c>
      <c r="J24" s="125">
        <f t="shared" si="0"/>
        <v>3.9946788883827855E-2</v>
      </c>
    </row>
    <row r="25" spans="1:10" s="1" customFormat="1" x14ac:dyDescent="0.2">
      <c r="A25" s="107" t="s">
        <v>41</v>
      </c>
      <c r="B25" s="73">
        <f>B5</f>
        <v>60</v>
      </c>
      <c r="C25" s="126">
        <f>VLOOKUP($B$3,'Data for Bill Impacts'!$A$3:$Y$15,16,0)</f>
        <v>1.7046749999999999</v>
      </c>
      <c r="D25" s="22">
        <f>B25*C25</f>
        <v>102.28049999999999</v>
      </c>
      <c r="E25" s="73">
        <f t="shared" si="4"/>
        <v>60</v>
      </c>
      <c r="F25" s="126">
        <f>VLOOKUP($B$3,'Data for Bill Impacts'!$A$3:$Y$15,25,0)</f>
        <v>1.7284999999999999</v>
      </c>
      <c r="G25" s="22">
        <f>E25*F25</f>
        <v>103.71</v>
      </c>
      <c r="H25" s="22">
        <f t="shared" si="2"/>
        <v>1.4295000000000044</v>
      </c>
      <c r="I25" s="23">
        <f t="shared" si="3"/>
        <v>1.3976271136726988E-2</v>
      </c>
      <c r="J25" s="125">
        <f t="shared" si="0"/>
        <v>3.2342509993768538E-2</v>
      </c>
    </row>
    <row r="26" spans="1:10" x14ac:dyDescent="0.2">
      <c r="A26" s="110" t="s">
        <v>76</v>
      </c>
      <c r="B26" s="74"/>
      <c r="C26" s="35"/>
      <c r="D26" s="35">
        <f>SUM(D24:D25)</f>
        <v>236.1429</v>
      </c>
      <c r="E26" s="73"/>
      <c r="F26" s="35"/>
      <c r="G26" s="35">
        <f>SUM(G24:G25)</f>
        <v>231.80399999999997</v>
      </c>
      <c r="H26" s="35">
        <f t="shared" si="2"/>
        <v>-4.3389000000000237</v>
      </c>
      <c r="I26" s="36">
        <f t="shared" si="3"/>
        <v>-1.8374043852260744E-2</v>
      </c>
      <c r="J26" s="111">
        <f t="shared" si="0"/>
        <v>7.2289298877596386E-2</v>
      </c>
    </row>
    <row r="27" spans="1:10" s="1" customFormat="1" x14ac:dyDescent="0.2">
      <c r="A27" s="110" t="s">
        <v>80</v>
      </c>
      <c r="B27" s="74"/>
      <c r="C27" s="35"/>
      <c r="D27" s="35">
        <f>D23+D26</f>
        <v>989.26189999999997</v>
      </c>
      <c r="E27" s="73"/>
      <c r="F27" s="35"/>
      <c r="G27" s="35">
        <f>G23+G26</f>
        <v>1003.1129999999999</v>
      </c>
      <c r="H27" s="35">
        <f t="shared" si="2"/>
        <v>13.851099999999974</v>
      </c>
      <c r="I27" s="36">
        <f t="shared" si="3"/>
        <v>1.4001448959067336E-2</v>
      </c>
      <c r="J27" s="111">
        <f t="shared" si="0"/>
        <v>0.31282607489518022</v>
      </c>
    </row>
    <row r="28" spans="1:10" x14ac:dyDescent="0.2">
      <c r="A28" s="107" t="s">
        <v>42</v>
      </c>
      <c r="B28" s="73">
        <f>B9</f>
        <v>15750</v>
      </c>
      <c r="C28" s="34">
        <v>3.5999999999999999E-3</v>
      </c>
      <c r="D28" s="22">
        <f>B28*C28</f>
        <v>56.699999999999996</v>
      </c>
      <c r="E28" s="73">
        <f t="shared" si="4"/>
        <v>15750</v>
      </c>
      <c r="F28" s="34">
        <v>3.5999999999999999E-3</v>
      </c>
      <c r="G28" s="22">
        <f>E28*F28</f>
        <v>56.699999999999996</v>
      </c>
      <c r="H28" s="22">
        <f t="shared" si="2"/>
        <v>0</v>
      </c>
      <c r="I28" s="23">
        <f t="shared" si="3"/>
        <v>0</v>
      </c>
      <c r="J28" s="125">
        <f t="shared" si="0"/>
        <v>1.7682193777327895E-2</v>
      </c>
    </row>
    <row r="29" spans="1:10" x14ac:dyDescent="0.2">
      <c r="A29" s="107" t="s">
        <v>43</v>
      </c>
      <c r="B29" s="73">
        <f>B9</f>
        <v>15750</v>
      </c>
      <c r="C29" s="34">
        <v>2.0999999999999999E-3</v>
      </c>
      <c r="D29" s="22">
        <f>B29*C29</f>
        <v>33.074999999999996</v>
      </c>
      <c r="E29" s="73">
        <f t="shared" si="4"/>
        <v>15750</v>
      </c>
      <c r="F29" s="34">
        <v>2.0999999999999999E-3</v>
      </c>
      <c r="G29" s="22">
        <f>E29*F29</f>
        <v>33.074999999999996</v>
      </c>
      <c r="H29" s="22">
        <f>G29-D29</f>
        <v>0</v>
      </c>
      <c r="I29" s="23">
        <f t="shared" si="3"/>
        <v>0</v>
      </c>
      <c r="J29" s="125">
        <f t="shared" si="0"/>
        <v>1.0314613036774604E-2</v>
      </c>
    </row>
    <row r="30" spans="1:10" x14ac:dyDescent="0.2">
      <c r="A30" s="107" t="s">
        <v>100</v>
      </c>
      <c r="B30" s="73">
        <f>B9</f>
        <v>15750</v>
      </c>
      <c r="C30" s="34">
        <v>1.1000000000000001E-3</v>
      </c>
      <c r="D30" s="22">
        <f>B30*C30</f>
        <v>17.324999999999999</v>
      </c>
      <c r="E30" s="73">
        <f t="shared" si="4"/>
        <v>15750</v>
      </c>
      <c r="F30" s="34">
        <v>1.1000000000000001E-3</v>
      </c>
      <c r="G30" s="22">
        <f>E30*F30</f>
        <v>17.324999999999999</v>
      </c>
      <c r="H30" s="22">
        <f>G30-D30</f>
        <v>0</v>
      </c>
      <c r="I30" s="23">
        <f t="shared" ref="I30" si="7">IF(ISERROR(H30/D30),0,(H30/D30))</f>
        <v>0</v>
      </c>
      <c r="J30" s="125">
        <f t="shared" ref="J30" si="8">G30/$G$38</f>
        <v>5.4028925430724128E-3</v>
      </c>
    </row>
    <row r="31" spans="1:10" x14ac:dyDescent="0.2">
      <c r="A31" s="107" t="s">
        <v>44</v>
      </c>
      <c r="B31" s="73">
        <v>1</v>
      </c>
      <c r="C31" s="22">
        <v>0.25</v>
      </c>
      <c r="D31" s="22">
        <f>B31*C31</f>
        <v>0.25</v>
      </c>
      <c r="E31" s="73">
        <f t="shared" si="4"/>
        <v>1</v>
      </c>
      <c r="F31" s="22">
        <f>C31</f>
        <v>0.25</v>
      </c>
      <c r="G31" s="22">
        <f>E31*F31</f>
        <v>0.25</v>
      </c>
      <c r="H31" s="22">
        <f t="shared" si="2"/>
        <v>0</v>
      </c>
      <c r="I31" s="23">
        <f t="shared" si="3"/>
        <v>0</v>
      </c>
      <c r="J31" s="125">
        <f t="shared" ref="J31:J38" si="9">G31/$G$38</f>
        <v>7.7963817360352278E-5</v>
      </c>
    </row>
    <row r="32" spans="1:10" x14ac:dyDescent="0.2">
      <c r="A32" s="110" t="s">
        <v>45</v>
      </c>
      <c r="B32" s="74"/>
      <c r="C32" s="35"/>
      <c r="D32" s="35">
        <f>SUM(D28:D31)</f>
        <v>107.35</v>
      </c>
      <c r="E32" s="73"/>
      <c r="F32" s="35"/>
      <c r="G32" s="35">
        <f>SUM(G28:G31)</f>
        <v>107.35</v>
      </c>
      <c r="H32" s="35">
        <f t="shared" si="2"/>
        <v>0</v>
      </c>
      <c r="I32" s="36">
        <f t="shared" si="3"/>
        <v>0</v>
      </c>
      <c r="J32" s="111">
        <f t="shared" si="9"/>
        <v>3.3477663174535266E-2</v>
      </c>
    </row>
    <row r="33" spans="1:10" ht="13.5" thickBot="1" x14ac:dyDescent="0.25">
      <c r="A33" s="112" t="s">
        <v>46</v>
      </c>
      <c r="B33" s="113">
        <f>B4</f>
        <v>15000</v>
      </c>
      <c r="C33" s="114">
        <v>7.0000000000000001E-3</v>
      </c>
      <c r="D33" s="115">
        <f>B33*C33</f>
        <v>105</v>
      </c>
      <c r="E33" s="116">
        <f t="shared" si="4"/>
        <v>15000</v>
      </c>
      <c r="F33" s="114">
        <f>C33</f>
        <v>7.0000000000000001E-3</v>
      </c>
      <c r="G33" s="115">
        <f>E33*F33</f>
        <v>105</v>
      </c>
      <c r="H33" s="115">
        <f t="shared" si="2"/>
        <v>0</v>
      </c>
      <c r="I33" s="117">
        <f t="shared" si="3"/>
        <v>0</v>
      </c>
      <c r="J33" s="118">
        <f t="shared" si="9"/>
        <v>3.2744803291347956E-2</v>
      </c>
    </row>
    <row r="34" spans="1:10" x14ac:dyDescent="0.2">
      <c r="A34" s="37" t="s">
        <v>146</v>
      </c>
      <c r="B34" s="38"/>
      <c r="C34" s="39"/>
      <c r="D34" s="39">
        <f>SUM(D15,D23,D26,D32,D33)</f>
        <v>2823.8618999999999</v>
      </c>
      <c r="E34" s="38"/>
      <c r="F34" s="39"/>
      <c r="G34" s="39">
        <f>SUM(G15,G23,G26,G32,G33)</f>
        <v>2837.7130000000002</v>
      </c>
      <c r="H34" s="39">
        <f t="shared" si="2"/>
        <v>13.851100000000315</v>
      </c>
      <c r="I34" s="40">
        <f>IF(ISERROR(H34/D34),0,(H34/D34))</f>
        <v>4.9050203198677369E-3</v>
      </c>
      <c r="J34" s="41">
        <f t="shared" si="9"/>
        <v>0.88495575221238942</v>
      </c>
    </row>
    <row r="35" spans="1:10" x14ac:dyDescent="0.2">
      <c r="A35" s="150" t="s">
        <v>138</v>
      </c>
      <c r="B35" s="43"/>
      <c r="C35" s="26">
        <v>0.13</v>
      </c>
      <c r="D35" s="26">
        <f>D34*C35</f>
        <v>367.10204699999997</v>
      </c>
      <c r="E35" s="26"/>
      <c r="F35" s="26">
        <f>C35</f>
        <v>0.13</v>
      </c>
      <c r="G35" s="26">
        <f>G34*F35</f>
        <v>368.90269000000006</v>
      </c>
      <c r="H35" s="26">
        <f t="shared" si="2"/>
        <v>1.8006430000000933</v>
      </c>
      <c r="I35" s="44">
        <f t="shared" ref="I35:I38" si="10">IF(ISERROR(H35/D35),0,(H35/D35))</f>
        <v>4.90502031986788E-3</v>
      </c>
      <c r="J35" s="45">
        <f t="shared" si="9"/>
        <v>0.11504424778761063</v>
      </c>
    </row>
    <row r="36" spans="1:10" x14ac:dyDescent="0.2">
      <c r="A36" s="46" t="s">
        <v>139</v>
      </c>
      <c r="B36" s="24"/>
      <c r="C36" s="25"/>
      <c r="D36" s="25">
        <f>SUM(D34:D35)</f>
        <v>3190.9639469999997</v>
      </c>
      <c r="E36" s="25"/>
      <c r="F36" s="25"/>
      <c r="G36" s="25">
        <f>SUM(G34:G35)</f>
        <v>3206.6156900000001</v>
      </c>
      <c r="H36" s="25">
        <f t="shared" si="2"/>
        <v>15.651743000000351</v>
      </c>
      <c r="I36" s="27">
        <f t="shared" si="10"/>
        <v>4.905020319867736E-3</v>
      </c>
      <c r="J36" s="47">
        <f t="shared" si="9"/>
        <v>1</v>
      </c>
    </row>
    <row r="37" spans="1:10" x14ac:dyDescent="0.2">
      <c r="A37" s="42" t="s">
        <v>140</v>
      </c>
      <c r="B37" s="43"/>
      <c r="C37" s="26">
        <v>0</v>
      </c>
      <c r="D37" s="26">
        <f>D34*C37</f>
        <v>0</v>
      </c>
      <c r="E37" s="26"/>
      <c r="F37" s="26">
        <f>C37</f>
        <v>0</v>
      </c>
      <c r="G37" s="26">
        <f>G34*F37</f>
        <v>0</v>
      </c>
      <c r="H37" s="26">
        <f t="shared" si="2"/>
        <v>0</v>
      </c>
      <c r="I37" s="44">
        <f t="shared" si="10"/>
        <v>0</v>
      </c>
      <c r="J37" s="45">
        <f t="shared" si="9"/>
        <v>0</v>
      </c>
    </row>
    <row r="38" spans="1:10" ht="13.5" thickBot="1" x14ac:dyDescent="0.25">
      <c r="A38" s="48" t="s">
        <v>141</v>
      </c>
      <c r="B38" s="49"/>
      <c r="C38" s="50"/>
      <c r="D38" s="50">
        <f>SUM(D36:D37)</f>
        <v>3190.9639469999997</v>
      </c>
      <c r="E38" s="50"/>
      <c r="F38" s="50"/>
      <c r="G38" s="50">
        <f>SUM(G36:G37)</f>
        <v>3206.6156900000001</v>
      </c>
      <c r="H38" s="50">
        <f t="shared" si="2"/>
        <v>15.651743000000351</v>
      </c>
      <c r="I38" s="51">
        <f t="shared" si="10"/>
        <v>4.905020319867736E-3</v>
      </c>
      <c r="J38" s="52">
        <f t="shared" si="9"/>
        <v>1</v>
      </c>
    </row>
    <row r="39" spans="1:10" x14ac:dyDescent="0.2">
      <c r="F39" s="69"/>
    </row>
    <row r="40" spans="1:10" x14ac:dyDescent="0.2">
      <c r="F40" s="69"/>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CCFFCC"/>
    <pageSetUpPr fitToPage="1"/>
  </sheetPr>
  <dimension ref="A1:J46"/>
  <sheetViews>
    <sheetView zoomScale="90" zoomScaleNormal="90" zoomScaleSheetLayoutView="100" workbookViewId="0">
      <selection activeCell="C19" sqref="C19"/>
    </sheetView>
  </sheetViews>
  <sheetFormatPr defaultColWidth="8.85546875" defaultRowHeight="12.75" x14ac:dyDescent="0.2"/>
  <cols>
    <col min="1" max="1" width="12.85546875" style="235" customWidth="1"/>
    <col min="2" max="2" width="13.42578125" style="235" customWidth="1"/>
    <col min="3" max="5" width="13.7109375" style="235" customWidth="1"/>
    <col min="6" max="6" width="12.140625" style="235" customWidth="1"/>
    <col min="7" max="7" width="13" style="235" customWidth="1"/>
    <col min="8" max="8" width="11.85546875" style="235" bestFit="1" customWidth="1"/>
    <col min="9" max="9" width="12.28515625" style="235" bestFit="1" customWidth="1"/>
    <col min="10" max="10" width="19.42578125" style="235" customWidth="1"/>
    <col min="11" max="16384" width="8.85546875" style="235"/>
  </cols>
  <sheetData>
    <row r="1" spans="1:10" ht="39" thickBot="1" x14ac:dyDescent="0.25">
      <c r="A1" s="95" t="s">
        <v>13</v>
      </c>
      <c r="B1" s="89" t="s">
        <v>67</v>
      </c>
      <c r="C1" s="96" t="s">
        <v>62</v>
      </c>
      <c r="D1" s="97" t="s">
        <v>68</v>
      </c>
      <c r="E1" s="99" t="s">
        <v>106</v>
      </c>
      <c r="F1" s="87" t="s">
        <v>63</v>
      </c>
      <c r="G1" s="88" t="s">
        <v>65</v>
      </c>
      <c r="H1" s="86" t="s">
        <v>64</v>
      </c>
      <c r="I1" s="137" t="s">
        <v>66</v>
      </c>
      <c r="J1" s="99" t="s">
        <v>69</v>
      </c>
    </row>
    <row r="2" spans="1:10" x14ac:dyDescent="0.2">
      <c r="A2" s="340" t="s">
        <v>0</v>
      </c>
      <c r="B2" s="90" t="s">
        <v>60</v>
      </c>
      <c r="C2" s="98">
        <f>BI_UR_Low!B4</f>
        <v>350</v>
      </c>
      <c r="D2" s="83"/>
      <c r="E2" s="138">
        <f>BI_UR_Low!D51</f>
        <v>90.302202059999985</v>
      </c>
      <c r="F2" s="236">
        <f>BI_UR_Low!H$25</f>
        <v>0.83999999999999631</v>
      </c>
      <c r="G2" s="240">
        <f>BI_UR_Low!I$25</f>
        <v>2.3359288097886437E-2</v>
      </c>
      <c r="H2" s="238">
        <f>BI_UR_Low!H$51</f>
        <v>0.77867296499999838</v>
      </c>
      <c r="I2" s="241">
        <f>BI_UR_Low!I$51</f>
        <v>8.6229676268871104E-3</v>
      </c>
      <c r="J2" s="337" t="s">
        <v>51</v>
      </c>
    </row>
    <row r="3" spans="1:10" x14ac:dyDescent="0.2">
      <c r="A3" s="341"/>
      <c r="B3" s="91" t="s">
        <v>94</v>
      </c>
      <c r="C3" s="93">
        <f>BI_UR_Typical!B4</f>
        <v>750</v>
      </c>
      <c r="D3" s="84"/>
      <c r="E3" s="139">
        <f>BI_UR_Typical!D51</f>
        <v>149.18871870000001</v>
      </c>
      <c r="F3" s="248">
        <f>BI_UR_Typical!H$25</f>
        <v>0.83999999999999631</v>
      </c>
      <c r="G3" s="249">
        <f>BI_UR_Typical!I$25</f>
        <v>2.3307436182019876E-2</v>
      </c>
      <c r="H3" s="250">
        <f>BI_UR_Typical!H$51</f>
        <v>0.66058492499999488</v>
      </c>
      <c r="I3" s="251">
        <f>BI_UR_Typical!I$51</f>
        <v>4.4278477002564062E-3</v>
      </c>
      <c r="J3" s="338"/>
    </row>
    <row r="4" spans="1:10" x14ac:dyDescent="0.2">
      <c r="A4" s="342"/>
      <c r="B4" s="198" t="s">
        <v>136</v>
      </c>
      <c r="C4" s="199">
        <f>BI_UR_Avg!B4</f>
        <v>755</v>
      </c>
      <c r="D4" s="200"/>
      <c r="E4" s="201">
        <f>BI_UR_Avg!H51</f>
        <v>0.6591088245000094</v>
      </c>
      <c r="F4" s="248">
        <f>BI_UR_Avg!H25</f>
        <v>0.83999999999999631</v>
      </c>
      <c r="G4" s="249">
        <f>BI_UR_Avg!I25</f>
        <v>2.3306789489747681E-2</v>
      </c>
      <c r="H4" s="250">
        <f>BI_UR_Avg!H$51</f>
        <v>0.6591088245000094</v>
      </c>
      <c r="I4" s="251">
        <f>BI_UR_Avg!I$51</f>
        <v>4.3962628184623211E-3</v>
      </c>
      <c r="J4" s="338"/>
    </row>
    <row r="5" spans="1:10" ht="13.5" thickBot="1" x14ac:dyDescent="0.25">
      <c r="A5" s="343"/>
      <c r="B5" s="92" t="s">
        <v>61</v>
      </c>
      <c r="C5" s="94">
        <f>BI_UR_High!B4</f>
        <v>1400</v>
      </c>
      <c r="D5" s="85"/>
      <c r="E5" s="140">
        <f>BI_UR_High!D51</f>
        <v>244.87930823999997</v>
      </c>
      <c r="F5" s="252">
        <f>BI_UR_High!H$25</f>
        <v>0.83999999999999631</v>
      </c>
      <c r="G5" s="237">
        <f>BI_UR_High!I$25</f>
        <v>2.322366602156473E-2</v>
      </c>
      <c r="H5" s="253">
        <f>BI_UR_High!H$51</f>
        <v>0.46869185999995011</v>
      </c>
      <c r="I5" s="239">
        <f>BI_UR_High!I$51</f>
        <v>1.9139708592307732E-3</v>
      </c>
      <c r="J5" s="339"/>
    </row>
    <row r="6" spans="1:10" x14ac:dyDescent="0.2">
      <c r="A6" s="340" t="s">
        <v>1</v>
      </c>
      <c r="B6" s="90" t="s">
        <v>60</v>
      </c>
      <c r="C6" s="98">
        <f>BI_R1_Low!B4</f>
        <v>400</v>
      </c>
      <c r="D6" s="83"/>
      <c r="E6" s="138">
        <f>BI_R1_Low!D51</f>
        <v>116.75689367999999</v>
      </c>
      <c r="F6" s="236">
        <f>BI_R1_Low!H$25</f>
        <v>3.490000000000002</v>
      </c>
      <c r="G6" s="240">
        <f>BI_R1_Low!I$25</f>
        <v>6.5124090315357389E-2</v>
      </c>
      <c r="H6" s="238">
        <f>BI_R1_Low!H$51</f>
        <v>3.6016831200000041</v>
      </c>
      <c r="I6" s="241">
        <f>BI_R1_Low!I$51</f>
        <v>3.0847712768646215E-2</v>
      </c>
      <c r="J6" s="337" t="s">
        <v>51</v>
      </c>
    </row>
    <row r="7" spans="1:10" x14ac:dyDescent="0.2">
      <c r="A7" s="341"/>
      <c r="B7" s="91" t="s">
        <v>94</v>
      </c>
      <c r="C7" s="93">
        <f>BI_R1_Typical!B4</f>
        <v>750</v>
      </c>
      <c r="D7" s="84"/>
      <c r="E7" s="139">
        <f>BI_R1_Typical!D51</f>
        <v>174.68136314999998</v>
      </c>
      <c r="F7" s="248">
        <f>BI_R1_Typical!H$25</f>
        <v>1.9500000000000028</v>
      </c>
      <c r="G7" s="254">
        <f>BI_R1_Typical!I$25</f>
        <v>3.2905838677016588E-2</v>
      </c>
      <c r="H7" s="250">
        <f>BI_R1_Typical!H$51</f>
        <v>1.9297183500000017</v>
      </c>
      <c r="I7" s="251">
        <f>BI_R1_Typical!I$51</f>
        <v>1.1047076317711927E-2</v>
      </c>
      <c r="J7" s="338"/>
    </row>
    <row r="8" spans="1:10" x14ac:dyDescent="0.2">
      <c r="A8" s="342"/>
      <c r="B8" s="198" t="s">
        <v>136</v>
      </c>
      <c r="C8" s="199">
        <f>BI_R1_Avg!B4</f>
        <v>920</v>
      </c>
      <c r="D8" s="200"/>
      <c r="E8" s="139">
        <f>BI_R1_Avg!D51</f>
        <v>202.816105464</v>
      </c>
      <c r="F8" s="248">
        <f>BI_R1_Avg!H$25</f>
        <v>1.2019999999999982</v>
      </c>
      <c r="G8" s="254">
        <f>BI_R1_Avg!I$25</f>
        <v>1.9382720030960723E-2</v>
      </c>
      <c r="H8" s="250">
        <f>BI_R1_Avg!H$51</f>
        <v>1.1176211760000001</v>
      </c>
      <c r="I8" s="251">
        <f>BI_R1_Avg!I$51</f>
        <v>5.5105149240644432E-3</v>
      </c>
      <c r="J8" s="338"/>
    </row>
    <row r="9" spans="1:10" ht="13.5" thickBot="1" x14ac:dyDescent="0.25">
      <c r="A9" s="343"/>
      <c r="B9" s="92" t="s">
        <v>61</v>
      </c>
      <c r="C9" s="94">
        <f>BI_R1_High!B4</f>
        <v>1800</v>
      </c>
      <c r="D9" s="85"/>
      <c r="E9" s="140">
        <f>BI_R1_High!D51</f>
        <v>348.45477155999998</v>
      </c>
      <c r="F9" s="252">
        <f>BI_R1_High!H$25</f>
        <v>-2.6700000000000017</v>
      </c>
      <c r="G9" s="237">
        <f>BI_R1_High!I$25</f>
        <v>-3.500721122328572E-2</v>
      </c>
      <c r="H9" s="253">
        <f>BI_R1_High!H$51</f>
        <v>-3.0861759599999914</v>
      </c>
      <c r="I9" s="239">
        <f>BI_R1_High!I$51</f>
        <v>-8.8567475950564988E-3</v>
      </c>
      <c r="J9" s="339"/>
    </row>
    <row r="10" spans="1:10" x14ac:dyDescent="0.2">
      <c r="A10" s="340" t="s">
        <v>2</v>
      </c>
      <c r="B10" s="90" t="s">
        <v>60</v>
      </c>
      <c r="C10" s="98">
        <f>BI_R2_Low!B4</f>
        <v>450</v>
      </c>
      <c r="D10" s="83"/>
      <c r="E10" s="138">
        <f>BI_R2_Low!D51</f>
        <v>128.44717022329914</v>
      </c>
      <c r="F10" s="236">
        <f>BI_R2_Low!H$25</f>
        <v>8.0199999999999889</v>
      </c>
      <c r="G10" s="240">
        <f>BI_R2_Low!I$25</f>
        <v>0.142275071292636</v>
      </c>
      <c r="H10" s="238">
        <f>BI_R2_Low!H$51</f>
        <v>8.3844521249999957</v>
      </c>
      <c r="I10" s="241">
        <f>BI_R2_Low!I$51</f>
        <v>6.5275491164375476E-2</v>
      </c>
      <c r="J10" s="337" t="s">
        <v>51</v>
      </c>
    </row>
    <row r="11" spans="1:10" x14ac:dyDescent="0.2">
      <c r="A11" s="341"/>
      <c r="B11" s="91" t="s">
        <v>94</v>
      </c>
      <c r="C11" s="93">
        <f>BI_R2_Typical!B4</f>
        <v>750</v>
      </c>
      <c r="D11" s="84"/>
      <c r="E11" s="139">
        <f>BI_R2_Typical!D51</f>
        <v>182.3968422232991</v>
      </c>
      <c r="F11" s="248">
        <f>BI_R2_Typical!H$25</f>
        <v>5.9799999999999898</v>
      </c>
      <c r="G11" s="254">
        <f>BI_R2_Typical!I$25</f>
        <v>9.275678360670285E-2</v>
      </c>
      <c r="H11" s="250">
        <f>BI_R2_Typical!H$51</f>
        <v>6.2180868750000116</v>
      </c>
      <c r="I11" s="251">
        <f>BI_R2_Typical!I$51</f>
        <v>3.4090978764794222E-2</v>
      </c>
      <c r="J11" s="338"/>
    </row>
    <row r="12" spans="1:10" x14ac:dyDescent="0.2">
      <c r="A12" s="342"/>
      <c r="B12" s="198" t="s">
        <v>136</v>
      </c>
      <c r="C12" s="199">
        <f>BI_R2_Avg!B4</f>
        <v>1152</v>
      </c>
      <c r="D12" s="200"/>
      <c r="E12" s="201">
        <f>BI_R2_Avg!D51</f>
        <v>254.68940270329912</v>
      </c>
      <c r="F12" s="255">
        <f>BI_R2_Avg!H25</f>
        <v>3.2463999999999942</v>
      </c>
      <c r="G12" s="254">
        <f>BI_R2_Avg!I25</f>
        <v>4.3099329094491927E-2</v>
      </c>
      <c r="H12" s="256">
        <f>BI_R2_Avg!H51</f>
        <v>3.3151574400000356</v>
      </c>
      <c r="I12" s="251">
        <f>BI_R2_Avg!I51</f>
        <v>1.3016471846934418E-2</v>
      </c>
      <c r="J12" s="338"/>
    </row>
    <row r="13" spans="1:10" ht="13.5" thickBot="1" x14ac:dyDescent="0.25">
      <c r="A13" s="343"/>
      <c r="B13" s="92" t="s">
        <v>61</v>
      </c>
      <c r="C13" s="94">
        <f>BI_R2_High!B4</f>
        <v>2300</v>
      </c>
      <c r="D13" s="85"/>
      <c r="E13" s="140">
        <f>BI_R2_High!D51</f>
        <v>461.13681422329915</v>
      </c>
      <c r="F13" s="252">
        <f>BI_R2_High!H$25</f>
        <v>-4.5600000000000023</v>
      </c>
      <c r="G13" s="237">
        <f>BI_R2_High!I$25</f>
        <v>-4.2889520289876644E-2</v>
      </c>
      <c r="H13" s="253">
        <f>BI_R2_High!H$51</f>
        <v>-4.9748002500000439</v>
      </c>
      <c r="I13" s="239">
        <f>BI_R2_High!I$51</f>
        <v>-1.0788122085587956E-2</v>
      </c>
      <c r="J13" s="339"/>
    </row>
    <row r="14" spans="1:10" x14ac:dyDescent="0.2">
      <c r="A14" s="340" t="s">
        <v>3</v>
      </c>
      <c r="B14" s="90" t="s">
        <v>60</v>
      </c>
      <c r="C14" s="98">
        <f>BI_Seas_Low!B4</f>
        <v>50</v>
      </c>
      <c r="D14" s="83"/>
      <c r="E14" s="138">
        <f>BI_Seas_Low!D51</f>
        <v>63.49078931999999</v>
      </c>
      <c r="F14" s="236">
        <f>BI_Seas_Low!H$25</f>
        <v>4.6600000000000037</v>
      </c>
      <c r="G14" s="240">
        <f>BI_Seas_Low!I$25</f>
        <v>8.9058767319636967E-2</v>
      </c>
      <c r="H14" s="238">
        <f>BI_Seas_Low!H$51</f>
        <v>4.8943330799999956</v>
      </c>
      <c r="I14" s="241">
        <f>BI_Seas_Low!I$51</f>
        <v>7.7087293013984481E-2</v>
      </c>
      <c r="J14" s="337" t="s">
        <v>51</v>
      </c>
    </row>
    <row r="15" spans="1:10" x14ac:dyDescent="0.2">
      <c r="A15" s="341"/>
      <c r="B15" s="91" t="s">
        <v>94</v>
      </c>
      <c r="C15" s="93">
        <f>BI_Seas_Typical!B4</f>
        <v>350</v>
      </c>
      <c r="D15" s="84"/>
      <c r="E15" s="139">
        <f>BI_Seas_Typical!D51</f>
        <v>122.12752524000001</v>
      </c>
      <c r="F15" s="248">
        <f>BI_Seas_Typical!H$25</f>
        <v>0.93999999999999773</v>
      </c>
      <c r="G15" s="254">
        <f>BI_Seas_Typical!I$25</f>
        <v>1.4339104568682752E-2</v>
      </c>
      <c r="H15" s="250">
        <f>BI_Seas_Typical!H$51</f>
        <v>0.99633155999998735</v>
      </c>
      <c r="I15" s="251">
        <f>BI_Seas_Typical!I$51</f>
        <v>8.158124534514536E-3</v>
      </c>
      <c r="J15" s="338"/>
    </row>
    <row r="16" spans="1:10" x14ac:dyDescent="0.2">
      <c r="A16" s="342"/>
      <c r="B16" s="198" t="s">
        <v>136</v>
      </c>
      <c r="C16" s="199">
        <f>BI_Seas_Avg!B4</f>
        <v>352</v>
      </c>
      <c r="D16" s="200"/>
      <c r="E16" s="139">
        <f>BI_Seas_Avg!D51</f>
        <v>122.51843681280003</v>
      </c>
      <c r="F16" s="248">
        <f>BI_Seas_Avg!H$25</f>
        <v>0.91519999999999868</v>
      </c>
      <c r="G16" s="254">
        <f>BI_Seas_Avg!I$25</f>
        <v>1.3942038169985597E-2</v>
      </c>
      <c r="H16" s="250">
        <f>BI_Seas_Avg!H$51</f>
        <v>0.97034488319998502</v>
      </c>
      <c r="I16" s="251">
        <f>BI_Seas_Avg!I$51</f>
        <v>7.9199907250090615E-3</v>
      </c>
      <c r="J16" s="338"/>
    </row>
    <row r="17" spans="1:10" ht="13.5" thickBot="1" x14ac:dyDescent="0.25">
      <c r="A17" s="343"/>
      <c r="B17" s="92" t="s">
        <v>61</v>
      </c>
      <c r="C17" s="94">
        <f>BI_Seas_High!B4</f>
        <v>1000</v>
      </c>
      <c r="D17" s="85"/>
      <c r="E17" s="140">
        <f>BI_Seas_High!D51</f>
        <v>249.17378639999998</v>
      </c>
      <c r="F17" s="252">
        <f>BI_Seas_High!H$25</f>
        <v>-7.1199999999999903</v>
      </c>
      <c r="G17" s="237">
        <f>BI_Seas_High!I$25</f>
        <v>-7.5567819995754515E-2</v>
      </c>
      <c r="H17" s="253">
        <f>BI_Seas_High!H$51</f>
        <v>-7.449338399999931</v>
      </c>
      <c r="I17" s="239">
        <f>BI_Seas_High!I$51</f>
        <v>-2.9896156042840995E-2</v>
      </c>
      <c r="J17" s="339"/>
    </row>
    <row r="18" spans="1:10" x14ac:dyDescent="0.2">
      <c r="A18" s="336" t="s">
        <v>4</v>
      </c>
      <c r="B18" s="90" t="s">
        <v>60</v>
      </c>
      <c r="C18" s="98">
        <f>BI_GSe_Low!B4</f>
        <v>1000</v>
      </c>
      <c r="D18" s="83"/>
      <c r="E18" s="138">
        <f>BI_GSe_Low!D51</f>
        <v>255.39073559999997</v>
      </c>
      <c r="F18" s="236">
        <f>BI_GSe_Low!H$25</f>
        <v>2.2999999999999829</v>
      </c>
      <c r="G18" s="240">
        <f>BI_GSe_Low!I$25</f>
        <v>2.4336049095333646E-2</v>
      </c>
      <c r="H18" s="238">
        <f>BI_GSe_Low!H$51</f>
        <v>2.2228163999999992</v>
      </c>
      <c r="I18" s="241">
        <f>BI_GSe_Low!I$51</f>
        <v>8.7035905776998729E-3</v>
      </c>
      <c r="J18" s="337" t="s">
        <v>51</v>
      </c>
    </row>
    <row r="19" spans="1:10" x14ac:dyDescent="0.2">
      <c r="A19" s="334"/>
      <c r="B19" s="91" t="s">
        <v>94</v>
      </c>
      <c r="C19" s="93">
        <f>BI_GSe_Typical!B4</f>
        <v>2000</v>
      </c>
      <c r="D19" s="84"/>
      <c r="E19" s="139">
        <f>BI_GSe_Typical!D51</f>
        <v>477.23397119999998</v>
      </c>
      <c r="F19" s="248">
        <f>BI_GSe_Typical!H$25</f>
        <v>4.0999999999999659</v>
      </c>
      <c r="G19" s="254">
        <f>BI_GSe_Typical!I$25</f>
        <v>2.5931313642400641E-2</v>
      </c>
      <c r="H19" s="250">
        <f>BI_GSe_Typical!H$51</f>
        <v>3.9206328000000781</v>
      </c>
      <c r="I19" s="251">
        <f>BI_GSe_Typical!I$51</f>
        <v>8.215326310785644E-3</v>
      </c>
      <c r="J19" s="338"/>
    </row>
    <row r="20" spans="1:10" x14ac:dyDescent="0.2">
      <c r="A20" s="334"/>
      <c r="B20" s="198" t="s">
        <v>136</v>
      </c>
      <c r="C20" s="199">
        <f>BI_GSe_Avg!B4</f>
        <v>1982</v>
      </c>
      <c r="D20" s="200"/>
      <c r="E20" s="139">
        <f>BI_GSe_Avg!D51</f>
        <v>473.24079295920006</v>
      </c>
      <c r="F20" s="248">
        <f>BI_GSe_Avg!H$25</f>
        <v>4.0675999999999704</v>
      </c>
      <c r="G20" s="254">
        <f>BI_GSe_Avg!I$25</f>
        <v>2.5914024255057618E-2</v>
      </c>
      <c r="H20" s="250">
        <f>BI_GSe_Avg!H$51</f>
        <v>3.8900721047999127</v>
      </c>
      <c r="I20" s="251">
        <f>BI_GSe_Avg!I$51</f>
        <v>8.220069281168859E-3</v>
      </c>
      <c r="J20" s="338"/>
    </row>
    <row r="21" spans="1:10" ht="13.5" thickBot="1" x14ac:dyDescent="0.25">
      <c r="A21" s="335"/>
      <c r="B21" s="92" t="s">
        <v>61</v>
      </c>
      <c r="C21" s="94">
        <f>BI_GSe_High!B4</f>
        <v>15000</v>
      </c>
      <c r="D21" s="85"/>
      <c r="E21" s="140">
        <f>BI_GSe_High!D51</f>
        <v>3361.1960340000001</v>
      </c>
      <c r="F21" s="252">
        <f>BI_GSe_High!H$25</f>
        <v>27.499999999999886</v>
      </c>
      <c r="G21" s="237">
        <f>BI_GSe_High!I$25</f>
        <v>2.7921332913667125E-2</v>
      </c>
      <c r="H21" s="253">
        <f>BI_GSe_High!H$51</f>
        <v>25.992245999999795</v>
      </c>
      <c r="I21" s="239">
        <f>BI_GSe_High!I$51</f>
        <v>7.7330348295894117E-3</v>
      </c>
      <c r="J21" s="339"/>
    </row>
    <row r="22" spans="1:10" x14ac:dyDescent="0.2">
      <c r="A22" s="336" t="s">
        <v>6</v>
      </c>
      <c r="B22" s="90" t="s">
        <v>60</v>
      </c>
      <c r="C22" s="98">
        <f>BI_UGe_Low!B4</f>
        <v>1000</v>
      </c>
      <c r="D22" s="83"/>
      <c r="E22" s="138">
        <f>BI_UGe_Low!D51</f>
        <v>210.99489179999998</v>
      </c>
      <c r="F22" s="236">
        <f>BI_UGe_Low!H$25</f>
        <v>1.2899999999999991</v>
      </c>
      <c r="G22" s="240">
        <f>BI_UGe_Low!I$25</f>
        <v>2.331887201735356E-2</v>
      </c>
      <c r="H22" s="238">
        <f>BI_UGe_Low!H$51</f>
        <v>1.0654497000000163</v>
      </c>
      <c r="I22" s="241">
        <f>BI_UGe_Low!I$51</f>
        <v>5.0496468938686237E-3</v>
      </c>
      <c r="J22" s="337" t="s">
        <v>51</v>
      </c>
    </row>
    <row r="23" spans="1:10" x14ac:dyDescent="0.2">
      <c r="A23" s="334"/>
      <c r="B23" s="91" t="s">
        <v>94</v>
      </c>
      <c r="C23" s="93">
        <f>BI_UGe_Typical!$B$4</f>
        <v>2000</v>
      </c>
      <c r="D23" s="84"/>
      <c r="E23" s="139">
        <f>BI_UGe_Typical!$D$51</f>
        <v>394.52178359999999</v>
      </c>
      <c r="F23" s="248">
        <f>BI_UGe_Typical!$H$25</f>
        <v>2.0900000000000034</v>
      </c>
      <c r="G23" s="254">
        <f>BI_UGe_Typical!$I$25</f>
        <v>2.4438727782974779E-2</v>
      </c>
      <c r="H23" s="250">
        <f>BI_UGe_Typical!$H$51</f>
        <v>1.6163993999999775</v>
      </c>
      <c r="I23" s="251">
        <f>BI_UGe_Typical!$I$51</f>
        <v>4.0971106468453509E-3</v>
      </c>
      <c r="J23" s="338"/>
    </row>
    <row r="24" spans="1:10" x14ac:dyDescent="0.2">
      <c r="A24" s="334"/>
      <c r="B24" s="198" t="s">
        <v>136</v>
      </c>
      <c r="C24" s="93">
        <f>BI_UGe_Avg!$B$4</f>
        <v>2759</v>
      </c>
      <c r="D24" s="84"/>
      <c r="E24" s="139">
        <f>BI_UGe_Avg!$D$51</f>
        <v>533.81869447619999</v>
      </c>
      <c r="F24" s="248">
        <f>BI_UGe_Avg!$H$25</f>
        <v>2.6971999999999952</v>
      </c>
      <c r="G24" s="254">
        <f>BI_UGe_Avg!$I$25</f>
        <v>2.4872327829305627E-2</v>
      </c>
      <c r="H24" s="250">
        <f>BI_UGe_Avg!$H$51</f>
        <v>2.0345702222999762</v>
      </c>
      <c r="I24" s="251">
        <f>BI_UGe_Avg!$I$51</f>
        <v>3.8113506389961891E-3</v>
      </c>
      <c r="J24" s="338"/>
    </row>
    <row r="25" spans="1:10" ht="13.5" thickBot="1" x14ac:dyDescent="0.25">
      <c r="A25" s="335"/>
      <c r="B25" s="92" t="s">
        <v>61</v>
      </c>
      <c r="C25" s="94">
        <f>BI_UGe_High!B4</f>
        <v>15000</v>
      </c>
      <c r="D25" s="85"/>
      <c r="E25" s="140">
        <f>BI_UGe_High!D51</f>
        <v>2780.3713769999995</v>
      </c>
      <c r="F25" s="252">
        <f>BI_UGe_High!H$25</f>
        <v>12.490000000000009</v>
      </c>
      <c r="G25" s="237">
        <f>BI_UGe_High!I$25</f>
        <v>2.6123149000251002E-2</v>
      </c>
      <c r="H25" s="253">
        <f>BI_UGe_High!H$51</f>
        <v>8.7787455000006958</v>
      </c>
      <c r="I25" s="239">
        <f>BI_UGe_High!I$51</f>
        <v>3.1574003288268987E-3</v>
      </c>
      <c r="J25" s="339"/>
    </row>
    <row r="26" spans="1:10" x14ac:dyDescent="0.2">
      <c r="A26" s="336" t="s">
        <v>5</v>
      </c>
      <c r="B26" s="90" t="s">
        <v>60</v>
      </c>
      <c r="C26" s="98">
        <f>BI_GSd_Low!B4</f>
        <v>15000</v>
      </c>
      <c r="D26" s="83">
        <f>BI_GSd_Low!B5</f>
        <v>60</v>
      </c>
      <c r="E26" s="138">
        <f>BI_GSd_Low!D38</f>
        <v>3662.7406103599997</v>
      </c>
      <c r="F26" s="236">
        <f>BI_GSd_Low!H$23</f>
        <v>30.110000000000127</v>
      </c>
      <c r="G26" s="240">
        <f>BI_GSd_Low!I$23</f>
        <v>2.4848923742853773E-2</v>
      </c>
      <c r="H26" s="238">
        <f>BI_GSd_Low!H$38</f>
        <v>29.540604640000765</v>
      </c>
      <c r="I26" s="241">
        <f>BI_GSd_Low!I$38</f>
        <v>8.0651642533587191E-3</v>
      </c>
      <c r="J26" s="331" t="s">
        <v>70</v>
      </c>
    </row>
    <row r="27" spans="1:10" x14ac:dyDescent="0.2">
      <c r="A27" s="334"/>
      <c r="B27" s="91" t="s">
        <v>136</v>
      </c>
      <c r="C27" s="93">
        <f>BI_GSd_Avg!B4</f>
        <v>36104</v>
      </c>
      <c r="D27" s="84">
        <f>BI_GSd_Avg!B5</f>
        <v>128</v>
      </c>
      <c r="E27" s="139">
        <f>BI_GSd_Avg!D38</f>
        <v>8259.5151227919996</v>
      </c>
      <c r="F27" s="248">
        <f>BI_GSd_Avg!H$23</f>
        <v>62.715999999999894</v>
      </c>
      <c r="G27" s="254">
        <f>BI_GSd_Avg!I$23</f>
        <v>2.5361796098776757E-2</v>
      </c>
      <c r="H27" s="250">
        <f>BI_GSd_Avg!H$38</f>
        <v>61.303863231998548</v>
      </c>
      <c r="I27" s="251">
        <f>BI_GSd_Avg!I$38</f>
        <v>7.4222109071307978E-3</v>
      </c>
      <c r="J27" s="332"/>
    </row>
    <row r="28" spans="1:10" ht="13.5" thickBot="1" x14ac:dyDescent="0.25">
      <c r="A28" s="335"/>
      <c r="B28" s="92" t="s">
        <v>61</v>
      </c>
      <c r="C28" s="94">
        <f>BI_GSd_High!B4</f>
        <v>175000</v>
      </c>
      <c r="D28" s="85">
        <f>BI_GSd_High!B5</f>
        <v>500</v>
      </c>
      <c r="E28" s="140">
        <f>BI_GSd_High!D38</f>
        <v>36731.749602999997</v>
      </c>
      <c r="F28" s="252">
        <f>BI_GSd_High!H$23</f>
        <v>241.09000000000015</v>
      </c>
      <c r="G28" s="237">
        <f>BI_GSd_High!I$23</f>
        <v>2.5595476493996214E-2</v>
      </c>
      <c r="H28" s="253">
        <f>BI_GSd_High!H$38</f>
        <v>235.06757199999993</v>
      </c>
      <c r="I28" s="239">
        <f>BI_GSd_High!I$38</f>
        <v>6.3995746061821469E-3</v>
      </c>
      <c r="J28" s="333"/>
    </row>
    <row r="29" spans="1:10" ht="12.75" customHeight="1" x14ac:dyDescent="0.2">
      <c r="A29" s="336" t="s">
        <v>7</v>
      </c>
      <c r="B29" s="90" t="s">
        <v>60</v>
      </c>
      <c r="C29" s="98">
        <f>BI_UGd_Low!B4</f>
        <v>15000</v>
      </c>
      <c r="D29" s="83">
        <f>BI_UGd_Low!B5</f>
        <v>60</v>
      </c>
      <c r="E29" s="138">
        <f>BI_UGd_Low!D38</f>
        <v>3190.9639469999997</v>
      </c>
      <c r="F29" s="236">
        <f>BI_UGd_Low!H$23</f>
        <v>18.189999999999941</v>
      </c>
      <c r="G29" s="240">
        <f>BI_UGd_Low!I$23</f>
        <v>2.4152889516796072E-2</v>
      </c>
      <c r="H29" s="238">
        <f>BI_UGd_Low!H$38</f>
        <v>15.651743000000351</v>
      </c>
      <c r="I29" s="241">
        <f>BI_UGd_Low!I$38</f>
        <v>4.905020319867736E-3</v>
      </c>
      <c r="J29" s="331" t="s">
        <v>70</v>
      </c>
    </row>
    <row r="30" spans="1:10" x14ac:dyDescent="0.2">
      <c r="A30" s="334"/>
      <c r="B30" s="91" t="s">
        <v>136</v>
      </c>
      <c r="C30" s="93">
        <f>BI_UGd_Avg!B4</f>
        <v>50525</v>
      </c>
      <c r="D30" s="84">
        <f>BI_UGd_Avg!B5</f>
        <v>138</v>
      </c>
      <c r="E30" s="139">
        <f>BI_UGd_Avg!D38</f>
        <v>9435.0270893499983</v>
      </c>
      <c r="F30" s="248">
        <f>BI_UGd_Avg!H$23</f>
        <v>39.757000000000062</v>
      </c>
      <c r="G30" s="254">
        <f>BI_UGd_Avg!I$23</f>
        <v>2.4428255578342922E-2</v>
      </c>
      <c r="H30" s="250">
        <f>BI_UGd_Avg!H$38</f>
        <v>33.64860889999909</v>
      </c>
      <c r="I30" s="251">
        <f>BI_UGd_Avg!I$38</f>
        <v>3.5663500042284694E-3</v>
      </c>
      <c r="J30" s="332"/>
    </row>
    <row r="31" spans="1:10" ht="13.5" thickBot="1" x14ac:dyDescent="0.25">
      <c r="A31" s="335"/>
      <c r="B31" s="92" t="s">
        <v>61</v>
      </c>
      <c r="C31" s="94">
        <f>BI_UGd_High!B4</f>
        <v>175000</v>
      </c>
      <c r="D31" s="85">
        <f>BI_UGd_High!B5</f>
        <v>500</v>
      </c>
      <c r="E31" s="140">
        <f>BI_UGd_High!D38</f>
        <v>32740.385525000005</v>
      </c>
      <c r="F31" s="252">
        <f>BI_UGd_High!H$23</f>
        <v>139.84999999999945</v>
      </c>
      <c r="G31" s="237">
        <f>BI_UGd_High!I$23</f>
        <v>2.4951226017786012E-2</v>
      </c>
      <c r="H31" s="253">
        <f>BI_UGd_High!H$38</f>
        <v>117.17252499999449</v>
      </c>
      <c r="I31" s="239">
        <f>BI_UGd_High!I$38</f>
        <v>3.5788376685584088E-3</v>
      </c>
      <c r="J31" s="333"/>
    </row>
    <row r="32" spans="1:10" x14ac:dyDescent="0.2">
      <c r="A32" s="334" t="s">
        <v>8</v>
      </c>
      <c r="B32" s="90" t="s">
        <v>60</v>
      </c>
      <c r="C32" s="98">
        <f>BI_StLgt_Low!B4</f>
        <v>100</v>
      </c>
      <c r="D32" s="83"/>
      <c r="E32" s="138">
        <f>BI_StLgt_Low!D39</f>
        <v>30.147232079999998</v>
      </c>
      <c r="F32" s="236">
        <f>BI_StLgt_Low!H$22</f>
        <v>0.69999999999999751</v>
      </c>
      <c r="G32" s="240">
        <f>BI_StLgt_Low!I$22</f>
        <v>4.7329276538201313E-2</v>
      </c>
      <c r="H32" s="238">
        <f>BI_StLgt_Low!H$39</f>
        <v>0.5597995200000021</v>
      </c>
      <c r="I32" s="241">
        <f>BI_StLgt_Low!I$39</f>
        <v>1.8568852971791703E-2</v>
      </c>
      <c r="J32" s="337" t="s">
        <v>99</v>
      </c>
    </row>
    <row r="33" spans="1:10" x14ac:dyDescent="0.2">
      <c r="A33" s="334"/>
      <c r="B33" s="91" t="s">
        <v>136</v>
      </c>
      <c r="C33" s="93">
        <f>BI_StLgt_Avg!B4</f>
        <v>517</v>
      </c>
      <c r="D33" s="84"/>
      <c r="E33" s="139">
        <f>BI_StLgt_Avg!D39</f>
        <v>135.3334260936</v>
      </c>
      <c r="F33" s="248">
        <f>BI_StLgt_Avg!H24</f>
        <v>1.7841999999999913</v>
      </c>
      <c r="G33" s="254">
        <f>BI_StLgt_Avg!I24</f>
        <v>2.8183167272420862E-2</v>
      </c>
      <c r="H33" s="250">
        <f>BI_StLgt_Avg!H$39</f>
        <v>0.96762351839998928</v>
      </c>
      <c r="I33" s="251">
        <f>BI_StLgt_Avg!I$39</f>
        <v>7.1499225751571272E-3</v>
      </c>
      <c r="J33" s="338"/>
    </row>
    <row r="34" spans="1:10" ht="13.5" thickBot="1" x14ac:dyDescent="0.25">
      <c r="A34" s="335"/>
      <c r="B34" s="92" t="s">
        <v>61</v>
      </c>
      <c r="C34" s="94">
        <f>BI_StLgt_High!B4</f>
        <v>2000</v>
      </c>
      <c r="D34" s="85"/>
      <c r="E34" s="140">
        <f>BI_StLgt_High!D39</f>
        <v>538.67624160000014</v>
      </c>
      <c r="F34" s="252">
        <f>BI_StLgt_High!H$22</f>
        <v>5.6399999999999864</v>
      </c>
      <c r="G34" s="237">
        <f>BI_StLgt_High!I$22</f>
        <v>2.6413150376996139E-2</v>
      </c>
      <c r="H34" s="253">
        <f>BI_StLgt_High!H$39</f>
        <v>2.4179903999998942</v>
      </c>
      <c r="I34" s="239">
        <f>BI_StLgt_High!I$39</f>
        <v>4.488763775469049E-3</v>
      </c>
      <c r="J34" s="339"/>
    </row>
    <row r="35" spans="1:10" x14ac:dyDescent="0.2">
      <c r="A35" s="334" t="s">
        <v>9</v>
      </c>
      <c r="B35" s="90" t="s">
        <v>60</v>
      </c>
      <c r="C35" s="98">
        <f>BI_SenLgt_Low!B4</f>
        <v>20</v>
      </c>
      <c r="D35" s="83"/>
      <c r="E35" s="138">
        <f>BI_SenLgt_Low!D39</f>
        <v>9.5133464159999974</v>
      </c>
      <c r="F35" s="236">
        <f>BI_SenLgt_Low!H$22</f>
        <v>0.20199999999999996</v>
      </c>
      <c r="G35" s="240">
        <f>BI_SenLgt_Low!I$22</f>
        <v>3.3245556287030936E-2</v>
      </c>
      <c r="H35" s="238">
        <f>BI_SenLgt_Low!H$39</f>
        <v>0.17705990400000182</v>
      </c>
      <c r="I35" s="241">
        <f>BI_SenLgt_Low!I$39</f>
        <v>1.8611737264419812E-2</v>
      </c>
      <c r="J35" s="337" t="s">
        <v>99</v>
      </c>
    </row>
    <row r="36" spans="1:10" x14ac:dyDescent="0.2">
      <c r="A36" s="334"/>
      <c r="B36" s="91" t="s">
        <v>136</v>
      </c>
      <c r="C36" s="93">
        <f>BI_SenLgt_Avg!B4</f>
        <v>71</v>
      </c>
      <c r="D36" s="84"/>
      <c r="E36" s="139">
        <f>BI_SenLgt_Avg!D39</f>
        <v>23.865629776800002</v>
      </c>
      <c r="F36" s="248">
        <f>BI_SenLgt_Avg!H$22</f>
        <v>0.33460000000000001</v>
      </c>
      <c r="G36" s="254">
        <f>BI_SenLgt_Avg!I$22</f>
        <v>2.6197317632689492E-2</v>
      </c>
      <c r="H36" s="250">
        <f>BI_SenLgt_Avg!H$39</f>
        <v>0.2269376591999972</v>
      </c>
      <c r="I36" s="251">
        <f>BI_SenLgt_Avg!I$39</f>
        <v>9.5089742580606595E-3</v>
      </c>
      <c r="J36" s="338"/>
    </row>
    <row r="37" spans="1:10" ht="13.5" thickBot="1" x14ac:dyDescent="0.25">
      <c r="A37" s="335"/>
      <c r="B37" s="92" t="s">
        <v>61</v>
      </c>
      <c r="C37" s="94">
        <f>BI_SenLgt_High!B4</f>
        <v>200</v>
      </c>
      <c r="D37" s="85"/>
      <c r="E37" s="140">
        <f>BI_SenLgt_High!D39</f>
        <v>60.168464159999999</v>
      </c>
      <c r="F37" s="252">
        <f>BI_SenLgt_High!H$22</f>
        <v>0.67000000000000171</v>
      </c>
      <c r="G37" s="237">
        <f>BI_SenLgt_High!I$22</f>
        <v>2.2551329518680635E-2</v>
      </c>
      <c r="H37" s="253">
        <f>BI_SenLgt_High!H$39</f>
        <v>0.35309904000000358</v>
      </c>
      <c r="I37" s="239">
        <f>BI_SenLgt_High!I$39</f>
        <v>5.8685067822413168E-3</v>
      </c>
      <c r="J37" s="339"/>
    </row>
    <row r="38" spans="1:10" x14ac:dyDescent="0.2">
      <c r="A38" s="334" t="s">
        <v>12</v>
      </c>
      <c r="B38" s="90" t="s">
        <v>60</v>
      </c>
      <c r="C38" s="98">
        <f>BI_USL_Low!B4</f>
        <v>100</v>
      </c>
      <c r="D38" s="83"/>
      <c r="E38" s="138">
        <f>BI_USL_Low!D39</f>
        <v>56.453730900000011</v>
      </c>
      <c r="F38" s="236">
        <f>BI_USL_Low!H$22</f>
        <v>0.65999999999999659</v>
      </c>
      <c r="G38" s="240">
        <f>BI_USL_Low!I$22</f>
        <v>1.6545500125344611E-2</v>
      </c>
      <c r="H38" s="238">
        <f>BI_USL_Low!H$39</f>
        <v>0.68554709999998664</v>
      </c>
      <c r="I38" s="241">
        <f>BI_USL_Low!I$39</f>
        <v>1.2143521589641944E-2</v>
      </c>
      <c r="J38" s="337" t="s">
        <v>99</v>
      </c>
    </row>
    <row r="39" spans="1:10" x14ac:dyDescent="0.2">
      <c r="A39" s="334"/>
      <c r="B39" s="91" t="s">
        <v>136</v>
      </c>
      <c r="C39" s="93">
        <f>BI_USL_Avg!B4</f>
        <v>364</v>
      </c>
      <c r="D39" s="84"/>
      <c r="E39" s="139">
        <f>BI_USL_Avg!D39</f>
        <v>102.59494047600002</v>
      </c>
      <c r="F39" s="248">
        <f>BI_USL_Avg!H$22</f>
        <v>0.76559999999999206</v>
      </c>
      <c r="G39" s="254">
        <f>BI_USL_Avg!I$22</f>
        <v>1.5995721102818723E-2</v>
      </c>
      <c r="H39" s="250">
        <f>BI_USL_Avg!H$39</f>
        <v>0.7767514439999843</v>
      </c>
      <c r="I39" s="251">
        <f>BI_USL_Avg!I$39</f>
        <v>7.5710501940560058E-3</v>
      </c>
      <c r="J39" s="338"/>
    </row>
    <row r="40" spans="1:10" ht="13.5" thickBot="1" x14ac:dyDescent="0.25">
      <c r="A40" s="335"/>
      <c r="B40" s="92" t="s">
        <v>61</v>
      </c>
      <c r="C40" s="94">
        <f>BI_USL_High!B4</f>
        <v>1000</v>
      </c>
      <c r="D40" s="85"/>
      <c r="E40" s="140">
        <f>BI_USL_High!D39</f>
        <v>220.21710899999999</v>
      </c>
      <c r="F40" s="252">
        <f>BI_USL_High!H$22</f>
        <v>1.019999999999996</v>
      </c>
      <c r="G40" s="237">
        <f>BI_USL_High!I$22</f>
        <v>1.5207991650514327E-2</v>
      </c>
      <c r="H40" s="253">
        <f>BI_USL_High!H$39</f>
        <v>0.9964710000000423</v>
      </c>
      <c r="I40" s="239">
        <f>BI_USL_High!I$39</f>
        <v>4.5249481501459651E-3</v>
      </c>
      <c r="J40" s="339"/>
    </row>
    <row r="41" spans="1:10" ht="12.75" customHeight="1" x14ac:dyDescent="0.2">
      <c r="A41" s="334" t="s">
        <v>48</v>
      </c>
      <c r="B41" s="90" t="s">
        <v>60</v>
      </c>
      <c r="C41" s="98">
        <f>BI_DGen_Low!B4</f>
        <v>300</v>
      </c>
      <c r="D41" s="83">
        <f>BI_DGen_Low!B5</f>
        <v>10</v>
      </c>
      <c r="E41" s="138">
        <f>BI_DGen_Low!D38</f>
        <v>397.41161874000005</v>
      </c>
      <c r="F41" s="236">
        <f>BI_DGen_Low!H$23</f>
        <v>7.2940000000000396</v>
      </c>
      <c r="G41" s="240">
        <f>BI_DGen_Low!I$23</f>
        <v>2.4103889017420329E-2</v>
      </c>
      <c r="H41" s="238">
        <f>BI_DGen_Low!H$38</f>
        <v>8.4144455599999901</v>
      </c>
      <c r="I41" s="241">
        <f>BI_DGen_Low!I$38</f>
        <v>2.1173124194703026E-2</v>
      </c>
      <c r="J41" s="331" t="s">
        <v>70</v>
      </c>
    </row>
    <row r="42" spans="1:10" x14ac:dyDescent="0.2">
      <c r="A42" s="334"/>
      <c r="B42" s="91" t="s">
        <v>136</v>
      </c>
      <c r="C42" s="93">
        <f>BI_DGen_Avg!B4</f>
        <v>1328</v>
      </c>
      <c r="D42" s="84">
        <f>BI_DGen_Avg!B5</f>
        <v>12</v>
      </c>
      <c r="E42" s="139">
        <f>BI_DGen_Avg!D38</f>
        <v>569.37230809599987</v>
      </c>
      <c r="F42" s="248">
        <f>BI_DGen_Avg!H$23</f>
        <v>8.7527999999999793</v>
      </c>
      <c r="G42" s="254">
        <f>BI_DGen_Avg!I$23</f>
        <v>2.689267598309316E-2</v>
      </c>
      <c r="H42" s="250">
        <f>BI_DGen_Avg!H$38</f>
        <v>10.097334671999988</v>
      </c>
      <c r="I42" s="251">
        <f>BI_DGen_Avg!I$38</f>
        <v>1.7734151324931509E-2</v>
      </c>
      <c r="J42" s="332"/>
    </row>
    <row r="43" spans="1:10" ht="13.5" thickBot="1" x14ac:dyDescent="0.25">
      <c r="A43" s="335"/>
      <c r="B43" s="92" t="s">
        <v>61</v>
      </c>
      <c r="C43" s="94">
        <f>BI_DGen_High!B4</f>
        <v>5000</v>
      </c>
      <c r="D43" s="85">
        <f>BI_DGen_High!B5</f>
        <v>100</v>
      </c>
      <c r="E43" s="140">
        <f>BI_DGen_High!D38</f>
        <v>2241.1678493999998</v>
      </c>
      <c r="F43" s="252">
        <f>BI_DGen_High!H$23</f>
        <v>72.940000000000055</v>
      </c>
      <c r="G43" s="237">
        <f>BI_DGen_High!I$23</f>
        <v>5.8457714931682503E-2</v>
      </c>
      <c r="H43" s="253">
        <f>BI_DGen_High!H$38</f>
        <v>84.144455600000128</v>
      </c>
      <c r="I43" s="239">
        <f>BI_DGen_High!I$38</f>
        <v>3.7544914640162755E-2</v>
      </c>
      <c r="J43" s="333"/>
    </row>
    <row r="44" spans="1:10" x14ac:dyDescent="0.2">
      <c r="A44" s="334" t="s">
        <v>11</v>
      </c>
      <c r="B44" s="90" t="s">
        <v>60</v>
      </c>
      <c r="C44" s="98">
        <f>BI_ST_Low!B4</f>
        <v>200000</v>
      </c>
      <c r="D44" s="83">
        <f>BI_ST_Low!B5</f>
        <v>500</v>
      </c>
      <c r="E44" s="138">
        <f>BI_ST_Low!D38</f>
        <v>33502.6852512068</v>
      </c>
      <c r="F44" s="236">
        <f>BI_ST_Low!H$23</f>
        <v>29.073406874864304</v>
      </c>
      <c r="G44" s="240">
        <f>BI_ST_Low!I$23</f>
        <v>1.164287860624727E-2</v>
      </c>
      <c r="H44" s="238">
        <f>BI_ST_Low!H$38</f>
        <v>88.950443768597324</v>
      </c>
      <c r="I44" s="241">
        <f>BI_ST_Low!I$38</f>
        <v>2.6550243092945285E-3</v>
      </c>
      <c r="J44" s="331" t="s">
        <v>70</v>
      </c>
    </row>
    <row r="45" spans="1:10" x14ac:dyDescent="0.2">
      <c r="A45" s="334"/>
      <c r="B45" s="91" t="s">
        <v>136</v>
      </c>
      <c r="C45" s="93">
        <f>BI_ST_Avg!B4</f>
        <v>1601036</v>
      </c>
      <c r="D45" s="84">
        <f>BI_ST_Avg!B5</f>
        <v>2960</v>
      </c>
      <c r="E45" s="139">
        <f>BI_ST_Avg!D38</f>
        <v>249052.6350196483</v>
      </c>
      <c r="F45" s="248">
        <f>BI_ST_Avg!H$23</f>
        <v>111.50016869919637</v>
      </c>
      <c r="G45" s="254">
        <f>BI_ST_Avg!I$23</f>
        <v>1.186243325258925E-2</v>
      </c>
      <c r="H45" s="250">
        <f>BI_ST_Avg!H$38</f>
        <v>458.09235511007137</v>
      </c>
      <c r="I45" s="251">
        <f>BI_ST_Avg!I$38</f>
        <v>1.8393395238477661E-3</v>
      </c>
      <c r="J45" s="332"/>
    </row>
    <row r="46" spans="1:10" ht="13.5" thickBot="1" x14ac:dyDescent="0.25">
      <c r="A46" s="335"/>
      <c r="B46" s="92" t="s">
        <v>61</v>
      </c>
      <c r="C46" s="94">
        <f>BI_ST_High!B4</f>
        <v>4000000</v>
      </c>
      <c r="D46" s="85">
        <f>BI_ST_High!B5</f>
        <v>10000</v>
      </c>
      <c r="E46" s="140">
        <f>BI_ST_High!D38</f>
        <v>642980.89382413612</v>
      </c>
      <c r="F46" s="252">
        <f>BI_ST_High!H$23</f>
        <v>347.38813749729161</v>
      </c>
      <c r="G46" s="237">
        <f>BI_ST_High!I$23</f>
        <v>1.3367011739525248E-2</v>
      </c>
      <c r="H46" s="253">
        <f>BI_ST_High!H$38</f>
        <v>1514.4984753719764</v>
      </c>
      <c r="I46" s="239">
        <f>BI_ST_High!I$38</f>
        <v>2.3554330928318564E-3</v>
      </c>
      <c r="J46" s="333"/>
    </row>
  </sheetData>
  <mergeCells count="26">
    <mergeCell ref="A2:A5"/>
    <mergeCell ref="A6:A9"/>
    <mergeCell ref="A10:A13"/>
    <mergeCell ref="A14:A17"/>
    <mergeCell ref="A18:A21"/>
    <mergeCell ref="J2:J5"/>
    <mergeCell ref="J22:J25"/>
    <mergeCell ref="J18:J21"/>
    <mergeCell ref="J14:J17"/>
    <mergeCell ref="J10:J13"/>
    <mergeCell ref="J6:J9"/>
    <mergeCell ref="J44:J46"/>
    <mergeCell ref="A41:A43"/>
    <mergeCell ref="A38:A40"/>
    <mergeCell ref="A22:A25"/>
    <mergeCell ref="A26:A28"/>
    <mergeCell ref="A29:A31"/>
    <mergeCell ref="A32:A34"/>
    <mergeCell ref="A35:A37"/>
    <mergeCell ref="J32:J34"/>
    <mergeCell ref="J29:J31"/>
    <mergeCell ref="J26:J28"/>
    <mergeCell ref="J41:J43"/>
    <mergeCell ref="J38:J40"/>
    <mergeCell ref="J35:J37"/>
    <mergeCell ref="A44:A46"/>
  </mergeCells>
  <pageMargins left="0.7" right="0.7" top="0.75" bottom="0.75" header="0.3" footer="0.3"/>
  <pageSetup paperSize="17" orientation="landscape" r:id="rId1"/>
  <headerFooter>
    <oddHeader>&amp;RFiled: 2017-03-31
EB-2017-0049
Exhibit H1-4-1
Attachment 4
Page &amp;P of &amp;N</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theme="1" tint="0.499984740745262"/>
    <pageSetUpPr fitToPage="1"/>
  </sheetPr>
  <dimension ref="A1:J40"/>
  <sheetViews>
    <sheetView topLeftCell="A10" workbookViewId="0">
      <selection activeCell="C19" sqref="C19"/>
    </sheetView>
  </sheetViews>
  <sheetFormatPr defaultRowHeight="12.75" x14ac:dyDescent="0.2"/>
  <cols>
    <col min="1" max="1" width="64.710937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48" t="s">
        <v>112</v>
      </c>
      <c r="B1" s="349"/>
      <c r="C1" s="349"/>
      <c r="D1" s="349"/>
      <c r="E1" s="349"/>
      <c r="F1" s="349"/>
      <c r="G1" s="349"/>
      <c r="H1" s="349"/>
      <c r="I1" s="349"/>
      <c r="J1" s="350"/>
    </row>
    <row r="3" spans="1:10" x14ac:dyDescent="0.2">
      <c r="A3" s="13" t="s">
        <v>13</v>
      </c>
      <c r="B3" s="13" t="s">
        <v>7</v>
      </c>
    </row>
    <row r="4" spans="1:10" x14ac:dyDescent="0.2">
      <c r="A4" s="15" t="s">
        <v>62</v>
      </c>
      <c r="B4" s="79">
        <f>'Data for Bill Impacts_HONI Avg '!C13</f>
        <v>50525</v>
      </c>
    </row>
    <row r="5" spans="1:10" x14ac:dyDescent="0.2">
      <c r="A5" s="15" t="s">
        <v>16</v>
      </c>
      <c r="B5" s="79">
        <v>138</v>
      </c>
    </row>
    <row r="6" spans="1:10" x14ac:dyDescent="0.2">
      <c r="A6" s="15" t="s">
        <v>20</v>
      </c>
      <c r="B6" s="80">
        <f>VLOOKUP($B$3,'Data for Bill Impacts'!$A$3:$Y$15,2,0)</f>
        <v>1.05</v>
      </c>
    </row>
    <row r="7" spans="1:10" x14ac:dyDescent="0.2">
      <c r="A7" s="81" t="s">
        <v>49</v>
      </c>
      <c r="B7" s="82">
        <f>B4/(B5*730)</f>
        <v>0.50153861425451662</v>
      </c>
    </row>
    <row r="8" spans="1:10" x14ac:dyDescent="0.2">
      <c r="A8" s="15" t="s">
        <v>15</v>
      </c>
      <c r="B8" s="79">
        <f>VLOOKUP($B$3,'Data for Bill Impacts'!$A$3:$Y$15,4,0)</f>
        <v>0</v>
      </c>
    </row>
    <row r="9" spans="1:10" x14ac:dyDescent="0.2">
      <c r="A9" s="15" t="s">
        <v>82</v>
      </c>
      <c r="B9" s="79">
        <f>B4*B6</f>
        <v>53051.25</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3" t="s">
        <v>50</v>
      </c>
    </row>
    <row r="13" spans="1:10" x14ac:dyDescent="0.2">
      <c r="A13" s="101" t="s">
        <v>31</v>
      </c>
      <c r="B13" s="102">
        <f>B9</f>
        <v>53051.25</v>
      </c>
      <c r="C13" s="103">
        <v>0.10299999999999999</v>
      </c>
      <c r="D13" s="104">
        <f>B13*C13</f>
        <v>5464.2787499999995</v>
      </c>
      <c r="E13" s="102">
        <f>B13</f>
        <v>53051.25</v>
      </c>
      <c r="F13" s="103">
        <f>C13</f>
        <v>0.10299999999999999</v>
      </c>
      <c r="G13" s="104">
        <f>E13*F13</f>
        <v>5464.2787499999995</v>
      </c>
      <c r="H13" s="104">
        <f>G13-D13</f>
        <v>0</v>
      </c>
      <c r="I13" s="105">
        <f>IF(ISERROR(H13/D13),0,(H13/D13))</f>
        <v>0</v>
      </c>
      <c r="J13" s="124">
        <f t="shared" ref="J13:J32" si="0">G13/$G$38</f>
        <v>0.57709007300882731</v>
      </c>
    </row>
    <row r="14" spans="1:10" x14ac:dyDescent="0.2">
      <c r="A14" s="107" t="s">
        <v>32</v>
      </c>
      <c r="B14" s="73">
        <v>0</v>
      </c>
      <c r="C14" s="21">
        <v>0.121</v>
      </c>
      <c r="D14" s="22">
        <f>B14*C14</f>
        <v>0</v>
      </c>
      <c r="E14" s="73">
        <f t="shared" ref="E14" si="1">B14</f>
        <v>0</v>
      </c>
      <c r="F14" s="21">
        <f>C14</f>
        <v>0.121</v>
      </c>
      <c r="G14" s="22">
        <f>E14*F14</f>
        <v>0</v>
      </c>
      <c r="H14" s="22">
        <f t="shared" ref="H14:H38" si="2">G14-D14</f>
        <v>0</v>
      </c>
      <c r="I14" s="23">
        <f t="shared" ref="I14:I33" si="3">IF(ISERROR(H14/D14),0,(H14/D14))</f>
        <v>0</v>
      </c>
      <c r="J14" s="125">
        <f t="shared" si="0"/>
        <v>0</v>
      </c>
    </row>
    <row r="15" spans="1:10" s="1" customFormat="1" x14ac:dyDescent="0.2">
      <c r="A15" s="46" t="s">
        <v>33</v>
      </c>
      <c r="B15" s="24"/>
      <c r="C15" s="25"/>
      <c r="D15" s="25">
        <f>SUM(D13:D14)</f>
        <v>5464.2787499999995</v>
      </c>
      <c r="E15" s="76"/>
      <c r="F15" s="25"/>
      <c r="G15" s="25">
        <f>SUM(G13:G14)</f>
        <v>5464.2787499999995</v>
      </c>
      <c r="H15" s="25">
        <f t="shared" si="2"/>
        <v>0</v>
      </c>
      <c r="I15" s="27">
        <f t="shared" si="3"/>
        <v>0</v>
      </c>
      <c r="J15" s="47">
        <f t="shared" si="0"/>
        <v>0.57709007300882731</v>
      </c>
    </row>
    <row r="16" spans="1:10" s="1" customFormat="1" x14ac:dyDescent="0.2">
      <c r="A16" s="107" t="s">
        <v>38</v>
      </c>
      <c r="B16" s="73">
        <v>1</v>
      </c>
      <c r="C16" s="78">
        <f>VLOOKUP($B$3,'Data for Bill Impacts'!$A$3:$Y$15,7,0)</f>
        <v>105.1</v>
      </c>
      <c r="D16" s="22">
        <f>B16*C16</f>
        <v>105.1</v>
      </c>
      <c r="E16" s="73">
        <f t="shared" ref="E16:E31" si="4">B16</f>
        <v>1</v>
      </c>
      <c r="F16" s="78">
        <f>VLOOKUP($B$3,'Data for Bill Impacts'!$A$3:$Y$15,17,0)</f>
        <v>106.7</v>
      </c>
      <c r="G16" s="22">
        <f>E16*F16</f>
        <v>106.7</v>
      </c>
      <c r="H16" s="22">
        <f t="shared" si="2"/>
        <v>1.6000000000000085</v>
      </c>
      <c r="I16" s="23">
        <f t="shared" si="3"/>
        <v>1.5223596574690853E-2</v>
      </c>
      <c r="J16" s="125">
        <f t="shared" si="0"/>
        <v>1.1268735291010159E-2</v>
      </c>
    </row>
    <row r="17" spans="1:10" hidden="1" x14ac:dyDescent="0.2">
      <c r="A17" s="107" t="s">
        <v>83</v>
      </c>
      <c r="B17" s="73">
        <v>1</v>
      </c>
      <c r="C17" s="78">
        <v>0</v>
      </c>
      <c r="D17" s="22">
        <f>B17*C17</f>
        <v>0</v>
      </c>
      <c r="E17" s="73">
        <f t="shared" si="4"/>
        <v>1</v>
      </c>
      <c r="F17" s="78">
        <v>0</v>
      </c>
      <c r="G17" s="22">
        <f t="shared" ref="G17:G19" si="5">E17*F17</f>
        <v>0</v>
      </c>
      <c r="H17" s="22">
        <f t="shared" si="2"/>
        <v>0</v>
      </c>
      <c r="I17" s="23">
        <f t="shared" si="3"/>
        <v>0</v>
      </c>
      <c r="J17" s="125">
        <f t="shared" si="0"/>
        <v>0</v>
      </c>
    </row>
    <row r="18" spans="1:10" hidden="1" x14ac:dyDescent="0.2">
      <c r="A18" s="107" t="s">
        <v>84</v>
      </c>
      <c r="B18" s="73">
        <v>1</v>
      </c>
      <c r="C18" s="78">
        <v>0</v>
      </c>
      <c r="D18" s="22">
        <f t="shared" ref="D18:D19" si="6">B18*C18</f>
        <v>0</v>
      </c>
      <c r="E18" s="73">
        <f t="shared" si="4"/>
        <v>1</v>
      </c>
      <c r="F18" s="78">
        <v>0</v>
      </c>
      <c r="G18" s="22">
        <f t="shared" si="5"/>
        <v>0</v>
      </c>
      <c r="H18" s="22">
        <f t="shared" si="2"/>
        <v>0</v>
      </c>
      <c r="I18" s="23">
        <f t="shared" si="3"/>
        <v>0</v>
      </c>
      <c r="J18" s="125">
        <f t="shared" si="0"/>
        <v>0</v>
      </c>
    </row>
    <row r="19" spans="1:10" x14ac:dyDescent="0.2">
      <c r="A19" s="107" t="s">
        <v>85</v>
      </c>
      <c r="B19" s="73">
        <v>1</v>
      </c>
      <c r="C19" s="122">
        <f>VLOOKUP($B$3,'Data for Bill Impacts'!$A$3:$Y$15,13,0)</f>
        <v>0.01</v>
      </c>
      <c r="D19" s="22">
        <f t="shared" si="6"/>
        <v>0.01</v>
      </c>
      <c r="E19" s="73">
        <f t="shared" si="4"/>
        <v>1</v>
      </c>
      <c r="F19" s="122">
        <f>VLOOKUP($B$3,'Data for Bill Impacts'!$A$3:$Y$15,22,0)</f>
        <v>0.01</v>
      </c>
      <c r="G19" s="22">
        <f t="shared" si="5"/>
        <v>0.01</v>
      </c>
      <c r="H19" s="22">
        <f t="shared" si="2"/>
        <v>0</v>
      </c>
      <c r="I19" s="23">
        <f t="shared" si="3"/>
        <v>0</v>
      </c>
      <c r="J19" s="125">
        <f t="shared" si="0"/>
        <v>1.0561138979390964E-6</v>
      </c>
    </row>
    <row r="20" spans="1:10" x14ac:dyDescent="0.2">
      <c r="A20" s="107" t="s">
        <v>39</v>
      </c>
      <c r="B20" s="73">
        <f>IF($B$10="kWh",$B$4,$B$5)</f>
        <v>138</v>
      </c>
      <c r="C20" s="78">
        <f>VLOOKUP($B$3,'Data for Bill Impacts'!$A$3:$Y$15,10,0)</f>
        <v>10.236800000000001</v>
      </c>
      <c r="D20" s="22">
        <f>B20*C20</f>
        <v>1412.6784</v>
      </c>
      <c r="E20" s="73">
        <f t="shared" si="4"/>
        <v>138</v>
      </c>
      <c r="F20" s="78">
        <f>VLOOKUP($B$3,'Data for Bill Impacts'!$A$3:$Y$15,19,0)</f>
        <v>10.513299999999999</v>
      </c>
      <c r="G20" s="22">
        <f>E20*F20</f>
        <v>1450.8353999999999</v>
      </c>
      <c r="H20" s="22">
        <f t="shared" si="2"/>
        <v>38.156999999999925</v>
      </c>
      <c r="I20" s="23">
        <f t="shared" si="3"/>
        <v>2.7010393873085285E-2</v>
      </c>
      <c r="J20" s="125">
        <f t="shared" si="0"/>
        <v>0.15322474295620281</v>
      </c>
    </row>
    <row r="21" spans="1:10" s="1" customFormat="1" x14ac:dyDescent="0.2">
      <c r="A21" s="107" t="s">
        <v>194</v>
      </c>
      <c r="B21" s="73">
        <f>IF($B$10="kWh",$B$4,$B$5)</f>
        <v>138</v>
      </c>
      <c r="C21" s="126">
        <f>VLOOKUP($B$3,'Data for Bill Impacts'!$A$3:$Y$15,14,0)</f>
        <v>6.4600000000000005E-2</v>
      </c>
      <c r="D21" s="22">
        <f>B21*C21</f>
        <v>8.9148000000000014</v>
      </c>
      <c r="E21" s="73">
        <f>B21</f>
        <v>138</v>
      </c>
      <c r="F21" s="126">
        <f>VLOOKUP($B$3,'Data for Bill Impacts'!$A$3:$Y$15,23,0)</f>
        <v>6.4600000000000005E-2</v>
      </c>
      <c r="G21" s="22">
        <f>E21*F21</f>
        <v>8.9148000000000014</v>
      </c>
      <c r="H21" s="22">
        <f>G21-D21</f>
        <v>0</v>
      </c>
      <c r="I21" s="23">
        <f>IF(ISERROR(H21/D21),0,(H21/D21))</f>
        <v>0</v>
      </c>
      <c r="J21" s="125">
        <f t="shared" si="0"/>
        <v>9.4150441773474579E-4</v>
      </c>
    </row>
    <row r="22" spans="1:10" s="1" customFormat="1" x14ac:dyDescent="0.2">
      <c r="A22" s="107" t="s">
        <v>147</v>
      </c>
      <c r="B22" s="73">
        <f>B9</f>
        <v>53051.25</v>
      </c>
      <c r="C22" s="126">
        <f>VLOOKUP($B$3,'Data for Bill Impacts'!$A$3:$Y$15,20,0)</f>
        <v>1.9E-3</v>
      </c>
      <c r="D22" s="22">
        <f>B22*C22</f>
        <v>100.797375</v>
      </c>
      <c r="E22" s="73">
        <f t="shared" si="4"/>
        <v>53051.25</v>
      </c>
      <c r="F22" s="126">
        <f>VLOOKUP($B$3,'Data for Bill Impacts'!$A$3:$Y$15,21,0)</f>
        <v>1.9E-3</v>
      </c>
      <c r="G22" s="22">
        <f>E22*F22</f>
        <v>100.797375</v>
      </c>
      <c r="H22" s="22">
        <f t="shared" si="2"/>
        <v>0</v>
      </c>
      <c r="I22" s="23">
        <f>IF(ISERROR(H22/D22),0,(H22/D22))</f>
        <v>0</v>
      </c>
      <c r="J22" s="125">
        <f t="shared" si="0"/>
        <v>1.0645350861327884E-2</v>
      </c>
    </row>
    <row r="23" spans="1:10" x14ac:dyDescent="0.2">
      <c r="A23" s="110" t="s">
        <v>97</v>
      </c>
      <c r="B23" s="74"/>
      <c r="C23" s="35"/>
      <c r="D23" s="35">
        <f>SUM(D16:D22)</f>
        <v>1627.500575</v>
      </c>
      <c r="E23" s="73"/>
      <c r="F23" s="35"/>
      <c r="G23" s="35">
        <f>SUM(G16:G22)</f>
        <v>1667.2575750000001</v>
      </c>
      <c r="H23" s="35">
        <f t="shared" si="2"/>
        <v>39.757000000000062</v>
      </c>
      <c r="I23" s="36">
        <f t="shared" si="3"/>
        <v>2.4428255578342922E-2</v>
      </c>
      <c r="J23" s="111">
        <f t="shared" si="0"/>
        <v>0.17608138964017356</v>
      </c>
    </row>
    <row r="24" spans="1:10" x14ac:dyDescent="0.2">
      <c r="A24" s="107" t="s">
        <v>40</v>
      </c>
      <c r="B24" s="73">
        <f>B5</f>
        <v>138</v>
      </c>
      <c r="C24" s="126">
        <f>VLOOKUP($B$3,'Data for Bill Impacts'!$A$3:$Y$15,15,0)</f>
        <v>2.2310400000000001</v>
      </c>
      <c r="D24" s="22">
        <f>B24*C24</f>
        <v>307.88352000000003</v>
      </c>
      <c r="E24" s="73">
        <f t="shared" si="4"/>
        <v>138</v>
      </c>
      <c r="F24" s="78">
        <f>VLOOKUP($B$3,'Data for Bill Impacts'!$A$3:$Y$15,24,0)</f>
        <v>2.1349</v>
      </c>
      <c r="G24" s="22">
        <f>E24*F24</f>
        <v>294.61619999999999</v>
      </c>
      <c r="H24" s="22">
        <f t="shared" si="2"/>
        <v>-13.267320000000041</v>
      </c>
      <c r="I24" s="23">
        <f t="shared" si="3"/>
        <v>-4.3092010900745971E-2</v>
      </c>
      <c r="J24" s="125">
        <f t="shared" si="0"/>
        <v>3.1114826337800439E-2</v>
      </c>
    </row>
    <row r="25" spans="1:10" s="1" customFormat="1" x14ac:dyDescent="0.2">
      <c r="A25" s="107" t="s">
        <v>41</v>
      </c>
      <c r="B25" s="73">
        <f>B5</f>
        <v>138</v>
      </c>
      <c r="C25" s="126">
        <f>VLOOKUP($B$3,'Data for Bill Impacts'!$A$3:$Y$15,16,0)</f>
        <v>1.7046749999999999</v>
      </c>
      <c r="D25" s="22">
        <f>B25*C25</f>
        <v>235.24515</v>
      </c>
      <c r="E25" s="73">
        <f t="shared" si="4"/>
        <v>138</v>
      </c>
      <c r="F25" s="126">
        <f>VLOOKUP($B$3,'Data for Bill Impacts'!$A$3:$Y$15,25,0)</f>
        <v>1.7284999999999999</v>
      </c>
      <c r="G25" s="22">
        <f>E25*F25</f>
        <v>238.53299999999999</v>
      </c>
      <c r="H25" s="22">
        <f t="shared" si="2"/>
        <v>3.2878499999999917</v>
      </c>
      <c r="I25" s="23">
        <f t="shared" si="3"/>
        <v>1.3976271136726908E-2</v>
      </c>
      <c r="J25" s="125">
        <f t="shared" si="0"/>
        <v>2.5191801641710646E-2</v>
      </c>
    </row>
    <row r="26" spans="1:10" x14ac:dyDescent="0.2">
      <c r="A26" s="110" t="s">
        <v>76</v>
      </c>
      <c r="B26" s="74"/>
      <c r="C26" s="35"/>
      <c r="D26" s="35">
        <f>SUM(D24:D25)</f>
        <v>543.12867000000006</v>
      </c>
      <c r="E26" s="73"/>
      <c r="F26" s="35"/>
      <c r="G26" s="35">
        <f>SUM(G24:G25)</f>
        <v>533.14919999999995</v>
      </c>
      <c r="H26" s="35">
        <f t="shared" si="2"/>
        <v>-9.9794700000001058</v>
      </c>
      <c r="I26" s="36">
        <f t="shared" si="3"/>
        <v>-1.8374043852260838E-2</v>
      </c>
      <c r="J26" s="111">
        <f t="shared" si="0"/>
        <v>5.6306627979511081E-2</v>
      </c>
    </row>
    <row r="27" spans="1:10" s="1" customFormat="1" x14ac:dyDescent="0.2">
      <c r="A27" s="110" t="s">
        <v>80</v>
      </c>
      <c r="B27" s="74"/>
      <c r="C27" s="35"/>
      <c r="D27" s="35">
        <f>D23+D26</f>
        <v>2170.6292450000001</v>
      </c>
      <c r="E27" s="73"/>
      <c r="F27" s="35"/>
      <c r="G27" s="35">
        <f>G23+G26</f>
        <v>2200.4067749999999</v>
      </c>
      <c r="H27" s="35">
        <f t="shared" si="2"/>
        <v>29.777529999999842</v>
      </c>
      <c r="I27" s="36">
        <f t="shared" si="3"/>
        <v>1.3718386071039894E-2</v>
      </c>
      <c r="J27" s="111">
        <f t="shared" si="0"/>
        <v>0.23238801761968461</v>
      </c>
    </row>
    <row r="28" spans="1:10" x14ac:dyDescent="0.2">
      <c r="A28" s="107" t="s">
        <v>42</v>
      </c>
      <c r="B28" s="73">
        <f>B9</f>
        <v>53051.25</v>
      </c>
      <c r="C28" s="34">
        <v>3.5999999999999999E-3</v>
      </c>
      <c r="D28" s="22">
        <f>B28*C28</f>
        <v>190.9845</v>
      </c>
      <c r="E28" s="73">
        <f t="shared" si="4"/>
        <v>53051.25</v>
      </c>
      <c r="F28" s="34">
        <v>3.5999999999999999E-3</v>
      </c>
      <c r="G28" s="22">
        <f>E28*F28</f>
        <v>190.9845</v>
      </c>
      <c r="H28" s="22">
        <f t="shared" si="2"/>
        <v>0</v>
      </c>
      <c r="I28" s="23">
        <f t="shared" si="3"/>
        <v>0</v>
      </c>
      <c r="J28" s="125">
        <f t="shared" si="0"/>
        <v>2.0170138474094934E-2</v>
      </c>
    </row>
    <row r="29" spans="1:10" x14ac:dyDescent="0.2">
      <c r="A29" s="107" t="s">
        <v>43</v>
      </c>
      <c r="B29" s="73">
        <f>B9</f>
        <v>53051.25</v>
      </c>
      <c r="C29" s="34">
        <v>2.0999999999999999E-3</v>
      </c>
      <c r="D29" s="22">
        <f>B29*C29</f>
        <v>111.407625</v>
      </c>
      <c r="E29" s="73">
        <f t="shared" si="4"/>
        <v>53051.25</v>
      </c>
      <c r="F29" s="34">
        <v>2.0999999999999999E-3</v>
      </c>
      <c r="G29" s="22">
        <f>E29*F29</f>
        <v>111.407625</v>
      </c>
      <c r="H29" s="22">
        <f>G29-D29</f>
        <v>0</v>
      </c>
      <c r="I29" s="23">
        <f t="shared" si="3"/>
        <v>0</v>
      </c>
      <c r="J29" s="125">
        <f t="shared" si="0"/>
        <v>1.1765914109888712E-2</v>
      </c>
    </row>
    <row r="30" spans="1:10" x14ac:dyDescent="0.2">
      <c r="A30" s="107" t="s">
        <v>100</v>
      </c>
      <c r="B30" s="73">
        <f>B9</f>
        <v>53051.25</v>
      </c>
      <c r="C30" s="34">
        <v>1.1000000000000001E-3</v>
      </c>
      <c r="D30" s="22">
        <f>B30*C30</f>
        <v>58.356375000000007</v>
      </c>
      <c r="E30" s="73">
        <f t="shared" si="4"/>
        <v>53051.25</v>
      </c>
      <c r="F30" s="34">
        <v>1.1000000000000001E-3</v>
      </c>
      <c r="G30" s="22">
        <f>E30*F30</f>
        <v>58.356375000000007</v>
      </c>
      <c r="H30" s="22">
        <f>G30-D30</f>
        <v>0</v>
      </c>
      <c r="I30" s="23">
        <f t="shared" si="3"/>
        <v>0</v>
      </c>
      <c r="J30" s="125">
        <f t="shared" si="0"/>
        <v>6.1630978670845641E-3</v>
      </c>
    </row>
    <row r="31" spans="1:10" x14ac:dyDescent="0.2">
      <c r="A31" s="107" t="s">
        <v>44</v>
      </c>
      <c r="B31" s="73">
        <v>1</v>
      </c>
      <c r="C31" s="22">
        <v>0.25</v>
      </c>
      <c r="D31" s="22">
        <f>B31*C31</f>
        <v>0.25</v>
      </c>
      <c r="E31" s="73">
        <f t="shared" si="4"/>
        <v>1</v>
      </c>
      <c r="F31" s="22">
        <f>C31</f>
        <v>0.25</v>
      </c>
      <c r="G31" s="22">
        <f>E31*F31</f>
        <v>0.25</v>
      </c>
      <c r="H31" s="22">
        <f t="shared" si="2"/>
        <v>0</v>
      </c>
      <c r="I31" s="23">
        <f t="shared" si="3"/>
        <v>0</v>
      </c>
      <c r="J31" s="125">
        <f t="shared" si="0"/>
        <v>2.6402847448477409E-5</v>
      </c>
    </row>
    <row r="32" spans="1:10" x14ac:dyDescent="0.2">
      <c r="A32" s="110" t="s">
        <v>45</v>
      </c>
      <c r="B32" s="74"/>
      <c r="C32" s="35"/>
      <c r="D32" s="35">
        <f>SUM(D28:D31)</f>
        <v>360.99849999999998</v>
      </c>
      <c r="E32" s="73"/>
      <c r="F32" s="35"/>
      <c r="G32" s="35">
        <f>SUM(G28:G31)</f>
        <v>360.99849999999998</v>
      </c>
      <c r="H32" s="35">
        <f t="shared" si="2"/>
        <v>0</v>
      </c>
      <c r="I32" s="36">
        <f t="shared" si="3"/>
        <v>0</v>
      </c>
      <c r="J32" s="111">
        <f t="shared" si="0"/>
        <v>3.812555329851669E-2</v>
      </c>
    </row>
    <row r="33" spans="1:10" ht="13.5" thickBot="1" x14ac:dyDescent="0.25">
      <c r="A33" s="112" t="s">
        <v>46</v>
      </c>
      <c r="B33" s="113">
        <f>B4</f>
        <v>50525</v>
      </c>
      <c r="C33" s="114">
        <v>7.0000000000000001E-3</v>
      </c>
      <c r="D33" s="115">
        <f>B33*C33</f>
        <v>353.67500000000001</v>
      </c>
      <c r="E33" s="116">
        <f t="shared" ref="E33" si="7">B33</f>
        <v>50525</v>
      </c>
      <c r="F33" s="114">
        <f>C33</f>
        <v>7.0000000000000001E-3</v>
      </c>
      <c r="G33" s="115">
        <f>E33*F33</f>
        <v>353.67500000000001</v>
      </c>
      <c r="H33" s="115">
        <f t="shared" si="2"/>
        <v>0</v>
      </c>
      <c r="I33" s="117">
        <f t="shared" si="3"/>
        <v>0</v>
      </c>
      <c r="J33" s="118">
        <f t="shared" ref="J33:J38" si="8">G33/$G$38</f>
        <v>3.7352108285360994E-2</v>
      </c>
    </row>
    <row r="34" spans="1:10" x14ac:dyDescent="0.2">
      <c r="A34" s="37" t="s">
        <v>146</v>
      </c>
      <c r="B34" s="38"/>
      <c r="C34" s="39"/>
      <c r="D34" s="39">
        <f>SUM(D15,D23,D26,D32,D33)</f>
        <v>8349.5814949999985</v>
      </c>
      <c r="E34" s="38"/>
      <c r="F34" s="39"/>
      <c r="G34" s="39">
        <f>SUM(G15,G23,G26,G32,G33)</f>
        <v>8379.3590249999979</v>
      </c>
      <c r="H34" s="39">
        <f t="shared" si="2"/>
        <v>29.777529999999388</v>
      </c>
      <c r="I34" s="40">
        <f>IF(ISERROR(H34/D34),0,(H34/D34))</f>
        <v>3.5663500042284924E-3</v>
      </c>
      <c r="J34" s="41">
        <f t="shared" si="8"/>
        <v>0.88495575221238942</v>
      </c>
    </row>
    <row r="35" spans="1:10" x14ac:dyDescent="0.2">
      <c r="A35" s="46" t="s">
        <v>138</v>
      </c>
      <c r="B35" s="43"/>
      <c r="C35" s="26">
        <v>0.13</v>
      </c>
      <c r="D35" s="26">
        <f>D34*C35</f>
        <v>1085.4455943499997</v>
      </c>
      <c r="E35" s="26"/>
      <c r="F35" s="26">
        <f>C35</f>
        <v>0.13</v>
      </c>
      <c r="G35" s="26">
        <f>G34*F35</f>
        <v>1089.3166732499997</v>
      </c>
      <c r="H35" s="26">
        <f t="shared" si="2"/>
        <v>3.8710788999999295</v>
      </c>
      <c r="I35" s="44">
        <f t="shared" ref="I35:I38" si="9">IF(ISERROR(H35/D35),0,(H35/D35))</f>
        <v>3.566350004228501E-3</v>
      </c>
      <c r="J35" s="45">
        <f t="shared" si="8"/>
        <v>0.11504424778761062</v>
      </c>
    </row>
    <row r="36" spans="1:10" x14ac:dyDescent="0.2">
      <c r="A36" s="46" t="s">
        <v>139</v>
      </c>
      <c r="B36" s="24"/>
      <c r="C36" s="25"/>
      <c r="D36" s="25">
        <f>SUM(D34:D35)</f>
        <v>9435.0270893499983</v>
      </c>
      <c r="E36" s="25"/>
      <c r="F36" s="25"/>
      <c r="G36" s="25">
        <f>SUM(G34:G35)</f>
        <v>9468.6756982499974</v>
      </c>
      <c r="H36" s="25">
        <f t="shared" si="2"/>
        <v>33.64860889999909</v>
      </c>
      <c r="I36" s="27">
        <f t="shared" si="9"/>
        <v>3.5663500042284694E-3</v>
      </c>
      <c r="J36" s="47">
        <f t="shared" si="8"/>
        <v>1</v>
      </c>
    </row>
    <row r="37" spans="1:10" x14ac:dyDescent="0.2">
      <c r="A37" s="46" t="s">
        <v>140</v>
      </c>
      <c r="B37" s="43"/>
      <c r="C37" s="26">
        <v>0</v>
      </c>
      <c r="D37" s="26">
        <f>D34*C37</f>
        <v>0</v>
      </c>
      <c r="E37" s="26"/>
      <c r="F37" s="26">
        <f>C37</f>
        <v>0</v>
      </c>
      <c r="G37" s="26">
        <f>G34*F37</f>
        <v>0</v>
      </c>
      <c r="H37" s="26">
        <f t="shared" si="2"/>
        <v>0</v>
      </c>
      <c r="I37" s="44">
        <f t="shared" si="9"/>
        <v>0</v>
      </c>
      <c r="J37" s="45">
        <f t="shared" si="8"/>
        <v>0</v>
      </c>
    </row>
    <row r="38" spans="1:10" ht="13.5" thickBot="1" x14ac:dyDescent="0.25">
      <c r="A38" s="46" t="s">
        <v>141</v>
      </c>
      <c r="B38" s="49"/>
      <c r="C38" s="50"/>
      <c r="D38" s="50">
        <f>SUM(D36:D37)</f>
        <v>9435.0270893499983</v>
      </c>
      <c r="E38" s="50"/>
      <c r="F38" s="50"/>
      <c r="G38" s="50">
        <f>SUM(G36:G37)</f>
        <v>9468.6756982499974</v>
      </c>
      <c r="H38" s="50">
        <f t="shared" si="2"/>
        <v>33.64860889999909</v>
      </c>
      <c r="I38" s="51">
        <f t="shared" si="9"/>
        <v>3.5663500042284694E-3</v>
      </c>
      <c r="J38" s="52">
        <f t="shared" si="8"/>
        <v>1</v>
      </c>
    </row>
    <row r="39" spans="1:10" x14ac:dyDescent="0.2">
      <c r="F39" s="69"/>
    </row>
    <row r="40" spans="1:10" x14ac:dyDescent="0.2">
      <c r="F40" s="69"/>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tabColor theme="1" tint="0.499984740745262"/>
    <pageSetUpPr fitToPage="1"/>
  </sheetPr>
  <dimension ref="A1:J40"/>
  <sheetViews>
    <sheetView view="pageBreakPreview" topLeftCell="A7" zoomScaleNormal="100" zoomScaleSheetLayoutView="100" workbookViewId="0">
      <selection activeCell="C19" sqref="C19"/>
    </sheetView>
  </sheetViews>
  <sheetFormatPr defaultRowHeight="12.75" x14ac:dyDescent="0.2"/>
  <cols>
    <col min="1" max="1" width="64.710937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48" t="s">
        <v>111</v>
      </c>
      <c r="B1" s="349"/>
      <c r="C1" s="349"/>
      <c r="D1" s="349"/>
      <c r="E1" s="349"/>
      <c r="F1" s="349"/>
      <c r="G1" s="349"/>
      <c r="H1" s="349"/>
      <c r="I1" s="349"/>
      <c r="J1" s="350"/>
    </row>
    <row r="3" spans="1:10" x14ac:dyDescent="0.2">
      <c r="A3" s="13" t="s">
        <v>13</v>
      </c>
      <c r="B3" s="13" t="s">
        <v>7</v>
      </c>
    </row>
    <row r="4" spans="1:10" x14ac:dyDescent="0.2">
      <c r="A4" s="15" t="s">
        <v>62</v>
      </c>
      <c r="B4" s="79">
        <v>175000</v>
      </c>
    </row>
    <row r="5" spans="1:10" x14ac:dyDescent="0.2">
      <c r="A5" s="15" t="s">
        <v>16</v>
      </c>
      <c r="B5" s="79">
        <v>500</v>
      </c>
    </row>
    <row r="6" spans="1:10" x14ac:dyDescent="0.2">
      <c r="A6" s="15" t="s">
        <v>20</v>
      </c>
      <c r="B6" s="80">
        <f>VLOOKUP($B$3,'Data for Bill Impacts'!$A$3:$Y$15,2,0)</f>
        <v>1.05</v>
      </c>
    </row>
    <row r="7" spans="1:10" x14ac:dyDescent="0.2">
      <c r="A7" s="81" t="s">
        <v>49</v>
      </c>
      <c r="B7" s="82">
        <f>B4/(B5*730)</f>
        <v>0.47945205479452052</v>
      </c>
    </row>
    <row r="8" spans="1:10" x14ac:dyDescent="0.2">
      <c r="A8" s="15" t="s">
        <v>15</v>
      </c>
      <c r="B8" s="79">
        <f>VLOOKUP($B$3,'Data for Bill Impacts'!$A$3:$Y$15,4,0)</f>
        <v>0</v>
      </c>
    </row>
    <row r="9" spans="1:10" x14ac:dyDescent="0.2">
      <c r="A9" s="15" t="s">
        <v>82</v>
      </c>
      <c r="B9" s="79">
        <f>B4*B6</f>
        <v>183750</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3" t="s">
        <v>50</v>
      </c>
    </row>
    <row r="13" spans="1:10" x14ac:dyDescent="0.2">
      <c r="A13" s="101" t="s">
        <v>31</v>
      </c>
      <c r="B13" s="102">
        <f>B9</f>
        <v>183750</v>
      </c>
      <c r="C13" s="103">
        <v>0.10299999999999999</v>
      </c>
      <c r="D13" s="104">
        <f>B13*C13</f>
        <v>18926.25</v>
      </c>
      <c r="E13" s="102">
        <f>B13</f>
        <v>183750</v>
      </c>
      <c r="F13" s="103">
        <f>C13</f>
        <v>0.10299999999999999</v>
      </c>
      <c r="G13" s="104">
        <f>E13*F13</f>
        <v>18926.25</v>
      </c>
      <c r="H13" s="104">
        <f>G13-D13</f>
        <v>0</v>
      </c>
      <c r="I13" s="105">
        <f>IF(ISERROR(H13/D13),0,(H13/D13))</f>
        <v>0</v>
      </c>
      <c r="J13" s="124">
        <f t="shared" ref="J13:J29" si="0">G13/$G$38</f>
        <v>0.57600902572246993</v>
      </c>
    </row>
    <row r="14" spans="1:10" x14ac:dyDescent="0.2">
      <c r="A14" s="107" t="s">
        <v>32</v>
      </c>
      <c r="B14" s="73">
        <v>0</v>
      </c>
      <c r="C14" s="21">
        <v>0.121</v>
      </c>
      <c r="D14" s="22">
        <f>B14*C14</f>
        <v>0</v>
      </c>
      <c r="E14" s="73">
        <f t="shared" ref="E14" si="1">B14</f>
        <v>0</v>
      </c>
      <c r="F14" s="21">
        <f>C14</f>
        <v>0.121</v>
      </c>
      <c r="G14" s="22">
        <f>E14*F14</f>
        <v>0</v>
      </c>
      <c r="H14" s="22">
        <f t="shared" ref="H14:H38" si="2">G14-D14</f>
        <v>0</v>
      </c>
      <c r="I14" s="23">
        <f t="shared" ref="I14:I33" si="3">IF(ISERROR(H14/D14),0,(H14/D14))</f>
        <v>0</v>
      </c>
      <c r="J14" s="125">
        <f t="shared" si="0"/>
        <v>0</v>
      </c>
    </row>
    <row r="15" spans="1:10" s="1" customFormat="1" x14ac:dyDescent="0.2">
      <c r="A15" s="46" t="s">
        <v>33</v>
      </c>
      <c r="B15" s="24"/>
      <c r="C15" s="25"/>
      <c r="D15" s="25">
        <f>SUM(D13:D14)</f>
        <v>18926.25</v>
      </c>
      <c r="E15" s="76"/>
      <c r="F15" s="25"/>
      <c r="G15" s="25">
        <f>SUM(G13:G14)</f>
        <v>18926.25</v>
      </c>
      <c r="H15" s="25">
        <f t="shared" si="2"/>
        <v>0</v>
      </c>
      <c r="I15" s="27">
        <f t="shared" si="3"/>
        <v>0</v>
      </c>
      <c r="J15" s="47">
        <f t="shared" si="0"/>
        <v>0.57600902572246993</v>
      </c>
    </row>
    <row r="16" spans="1:10" s="1" customFormat="1" x14ac:dyDescent="0.2">
      <c r="A16" s="107" t="s">
        <v>38</v>
      </c>
      <c r="B16" s="73">
        <v>1</v>
      </c>
      <c r="C16" s="78">
        <f>VLOOKUP($B$3,'Data for Bill Impacts'!$A$3:$Y$15,7,0)</f>
        <v>105.1</v>
      </c>
      <c r="D16" s="22">
        <f>B16*C16</f>
        <v>105.1</v>
      </c>
      <c r="E16" s="73">
        <f t="shared" ref="E16:E31" si="4">B16</f>
        <v>1</v>
      </c>
      <c r="F16" s="78">
        <f>VLOOKUP($B$3,'Data for Bill Impacts'!$A$3:$Y$15,17,0)</f>
        <v>106.7</v>
      </c>
      <c r="G16" s="22">
        <f>E16*F16</f>
        <v>106.7</v>
      </c>
      <c r="H16" s="22">
        <f t="shared" si="2"/>
        <v>1.6000000000000085</v>
      </c>
      <c r="I16" s="23">
        <f t="shared" si="3"/>
        <v>1.5223596574690853E-2</v>
      </c>
      <c r="J16" s="125">
        <f t="shared" si="0"/>
        <v>3.2473502698414924E-3</v>
      </c>
    </row>
    <row r="17" spans="1:10" hidden="1" x14ac:dyDescent="0.2">
      <c r="A17" s="107" t="s">
        <v>83</v>
      </c>
      <c r="B17" s="73">
        <v>1</v>
      </c>
      <c r="C17" s="78">
        <v>0</v>
      </c>
      <c r="D17" s="22">
        <f>B17*C17</f>
        <v>0</v>
      </c>
      <c r="E17" s="73">
        <f t="shared" si="4"/>
        <v>1</v>
      </c>
      <c r="F17" s="78">
        <v>0</v>
      </c>
      <c r="G17" s="22">
        <f t="shared" ref="G17:G19" si="5">E17*F17</f>
        <v>0</v>
      </c>
      <c r="H17" s="22">
        <f t="shared" si="2"/>
        <v>0</v>
      </c>
      <c r="I17" s="23">
        <f t="shared" si="3"/>
        <v>0</v>
      </c>
      <c r="J17" s="125">
        <f t="shared" si="0"/>
        <v>0</v>
      </c>
    </row>
    <row r="18" spans="1:10" hidden="1" x14ac:dyDescent="0.2">
      <c r="A18" s="107" t="s">
        <v>84</v>
      </c>
      <c r="B18" s="73">
        <v>1</v>
      </c>
      <c r="C18" s="78">
        <v>0</v>
      </c>
      <c r="D18" s="22">
        <f t="shared" ref="D18:D19" si="6">B18*C18</f>
        <v>0</v>
      </c>
      <c r="E18" s="73">
        <f t="shared" si="4"/>
        <v>1</v>
      </c>
      <c r="F18" s="78">
        <v>0</v>
      </c>
      <c r="G18" s="22">
        <f t="shared" si="5"/>
        <v>0</v>
      </c>
      <c r="H18" s="22">
        <f t="shared" si="2"/>
        <v>0</v>
      </c>
      <c r="I18" s="23">
        <f t="shared" si="3"/>
        <v>0</v>
      </c>
      <c r="J18" s="125">
        <f t="shared" si="0"/>
        <v>0</v>
      </c>
    </row>
    <row r="19" spans="1:10" x14ac:dyDescent="0.2">
      <c r="A19" s="107" t="s">
        <v>85</v>
      </c>
      <c r="B19" s="73">
        <v>1</v>
      </c>
      <c r="C19" s="122">
        <f>VLOOKUP($B$3,'Data for Bill Impacts'!$A$3:$Y$15,13,0)</f>
        <v>0.01</v>
      </c>
      <c r="D19" s="22">
        <f t="shared" si="6"/>
        <v>0.01</v>
      </c>
      <c r="E19" s="73">
        <f t="shared" si="4"/>
        <v>1</v>
      </c>
      <c r="F19" s="122">
        <f>VLOOKUP($B$3,'Data for Bill Impacts'!$A$3:$Y$15,22,0)</f>
        <v>0.01</v>
      </c>
      <c r="G19" s="22">
        <f t="shared" si="5"/>
        <v>0.01</v>
      </c>
      <c r="H19" s="22">
        <f t="shared" si="2"/>
        <v>0</v>
      </c>
      <c r="I19" s="23">
        <f t="shared" si="3"/>
        <v>0</v>
      </c>
      <c r="J19" s="125">
        <f t="shared" si="0"/>
        <v>3.0434398030379501E-7</v>
      </c>
    </row>
    <row r="20" spans="1:10" s="1" customFormat="1" x14ac:dyDescent="0.2">
      <c r="A20" s="107" t="s">
        <v>39</v>
      </c>
      <c r="B20" s="73">
        <f>IF($B$10="kWh",$B$4,$B$5)</f>
        <v>500</v>
      </c>
      <c r="C20" s="78">
        <f>VLOOKUP($B$3,'Data for Bill Impacts'!$A$3:$Y$15,10,0)</f>
        <v>10.236800000000001</v>
      </c>
      <c r="D20" s="22">
        <f>B20*C20</f>
        <v>5118.4000000000005</v>
      </c>
      <c r="E20" s="73">
        <f>B20</f>
        <v>500</v>
      </c>
      <c r="F20" s="78">
        <f>VLOOKUP($B$3,'Data for Bill Impacts'!$A$3:$Y$15,19,0)</f>
        <v>10.513299999999999</v>
      </c>
      <c r="G20" s="22">
        <f>E20*F20</f>
        <v>5256.65</v>
      </c>
      <c r="H20" s="22">
        <f>G20-D20</f>
        <v>138.24999999999909</v>
      </c>
      <c r="I20" s="23">
        <f>IF(ISERROR(H20/D20),0,(H20/D20))</f>
        <v>2.701039387308516E-2</v>
      </c>
      <c r="J20" s="125">
        <f t="shared" si="0"/>
        <v>0.15998297840639439</v>
      </c>
    </row>
    <row r="21" spans="1:10" x14ac:dyDescent="0.2">
      <c r="A21" s="107" t="s">
        <v>147</v>
      </c>
      <c r="B21" s="73">
        <f>B9</f>
        <v>183750</v>
      </c>
      <c r="C21" s="126">
        <f>VLOOKUP($B$3,'Data for Bill Impacts'!$A$3:$Y$15,20,0)</f>
        <v>1.9E-3</v>
      </c>
      <c r="D21" s="22">
        <f>B21*C21</f>
        <v>349.125</v>
      </c>
      <c r="E21" s="73">
        <f t="shared" si="4"/>
        <v>183750</v>
      </c>
      <c r="F21" s="126">
        <f>VLOOKUP($B$3,'Data for Bill Impacts'!$A$3:$Y$15,21,0)</f>
        <v>1.9E-3</v>
      </c>
      <c r="G21" s="22">
        <f>E21*F21</f>
        <v>349.125</v>
      </c>
      <c r="H21" s="22">
        <f t="shared" si="2"/>
        <v>0</v>
      </c>
      <c r="I21" s="23">
        <f t="shared" si="3"/>
        <v>0</v>
      </c>
      <c r="J21" s="125">
        <f t="shared" si="0"/>
        <v>1.0625409212356243E-2</v>
      </c>
    </row>
    <row r="22" spans="1:10" s="1" customFormat="1" x14ac:dyDescent="0.2">
      <c r="A22" s="107" t="s">
        <v>194</v>
      </c>
      <c r="B22" s="73">
        <f>IF($B$10="kWh",$B$4,$B$5)</f>
        <v>500</v>
      </c>
      <c r="C22" s="126">
        <f>VLOOKUP($B$3,'Data for Bill Impacts'!$A$3:$Y$15,14,0)</f>
        <v>6.4600000000000005E-2</v>
      </c>
      <c r="D22" s="22">
        <f>B22*C22</f>
        <v>32.300000000000004</v>
      </c>
      <c r="E22" s="73">
        <f t="shared" si="4"/>
        <v>500</v>
      </c>
      <c r="F22" s="126">
        <f>VLOOKUP($B$3,'Data for Bill Impacts'!$A$3:$Y$15,23,0)</f>
        <v>6.4600000000000005E-2</v>
      </c>
      <c r="G22" s="22">
        <f>E22*F22</f>
        <v>32.300000000000004</v>
      </c>
      <c r="H22" s="22">
        <f t="shared" si="2"/>
        <v>0</v>
      </c>
      <c r="I22" s="23">
        <f>IF(ISERROR(H22/D22),0,(H22/D22))</f>
        <v>0</v>
      </c>
      <c r="J22" s="125">
        <f t="shared" si="0"/>
        <v>9.8303105638125783E-4</v>
      </c>
    </row>
    <row r="23" spans="1:10" x14ac:dyDescent="0.2">
      <c r="A23" s="110" t="s">
        <v>97</v>
      </c>
      <c r="B23" s="74"/>
      <c r="C23" s="202"/>
      <c r="D23" s="35">
        <f>SUM(D16:D22)</f>
        <v>5604.9350000000004</v>
      </c>
      <c r="E23" s="73"/>
      <c r="F23" s="35"/>
      <c r="G23" s="35">
        <f>SUM(G16:G22)</f>
        <v>5744.7849999999999</v>
      </c>
      <c r="H23" s="35">
        <f t="shared" si="2"/>
        <v>139.84999999999945</v>
      </c>
      <c r="I23" s="36">
        <f t="shared" si="3"/>
        <v>2.4951226017786012E-2</v>
      </c>
      <c r="J23" s="111">
        <f t="shared" si="0"/>
        <v>0.17483907328895368</v>
      </c>
    </row>
    <row r="24" spans="1:10" x14ac:dyDescent="0.2">
      <c r="A24" s="107" t="s">
        <v>40</v>
      </c>
      <c r="B24" s="73">
        <f>B5</f>
        <v>500</v>
      </c>
      <c r="C24" s="126">
        <f>VLOOKUP($B$3,'Data for Bill Impacts'!$A$3:$Y$15,15,0)</f>
        <v>2.2310400000000001</v>
      </c>
      <c r="D24" s="22">
        <f>B24*C24</f>
        <v>1115.52</v>
      </c>
      <c r="E24" s="73">
        <f t="shared" si="4"/>
        <v>500</v>
      </c>
      <c r="F24" s="78">
        <f>VLOOKUP($B$3,'Data for Bill Impacts'!$A$3:$Y$15,24,0)</f>
        <v>2.1349</v>
      </c>
      <c r="G24" s="22">
        <f>E24*F24</f>
        <v>1067.45</v>
      </c>
      <c r="H24" s="22">
        <f t="shared" si="2"/>
        <v>-48.069999999999936</v>
      </c>
      <c r="I24" s="23">
        <f t="shared" si="3"/>
        <v>-4.3092010900745784E-2</v>
      </c>
      <c r="J24" s="125">
        <f t="shared" si="0"/>
        <v>3.2487198177528598E-2</v>
      </c>
    </row>
    <row r="25" spans="1:10" s="1" customFormat="1" x14ac:dyDescent="0.2">
      <c r="A25" s="107" t="s">
        <v>41</v>
      </c>
      <c r="B25" s="73">
        <f>B5</f>
        <v>500</v>
      </c>
      <c r="C25" s="126">
        <f>VLOOKUP($B$3,'Data for Bill Impacts'!$A$3:$Y$15,16,0)</f>
        <v>1.7046749999999999</v>
      </c>
      <c r="D25" s="22">
        <f>B25*C25</f>
        <v>852.33749999999998</v>
      </c>
      <c r="E25" s="73">
        <f t="shared" si="4"/>
        <v>500</v>
      </c>
      <c r="F25" s="126">
        <f>VLOOKUP($B$3,'Data for Bill Impacts'!$A$3:$Y$15,25,0)</f>
        <v>1.7284999999999999</v>
      </c>
      <c r="G25" s="22">
        <f>E25*F25</f>
        <v>864.25</v>
      </c>
      <c r="H25" s="22">
        <f t="shared" si="2"/>
        <v>11.912500000000023</v>
      </c>
      <c r="I25" s="23">
        <f t="shared" si="3"/>
        <v>1.3976271136726968E-2</v>
      </c>
      <c r="J25" s="125">
        <f t="shared" si="0"/>
        <v>2.6302928497755482E-2</v>
      </c>
    </row>
    <row r="26" spans="1:10" x14ac:dyDescent="0.2">
      <c r="A26" s="110" t="s">
        <v>76</v>
      </c>
      <c r="B26" s="74"/>
      <c r="C26" s="35"/>
      <c r="D26" s="35">
        <f>SUM(D24:D25)</f>
        <v>1967.8575000000001</v>
      </c>
      <c r="E26" s="73"/>
      <c r="F26" s="35"/>
      <c r="G26" s="35">
        <f>SUM(G24:G25)</f>
        <v>1931.7</v>
      </c>
      <c r="H26" s="35">
        <f t="shared" si="2"/>
        <v>-36.157500000000027</v>
      </c>
      <c r="I26" s="36">
        <f t="shared" si="3"/>
        <v>-1.8374043852260658E-2</v>
      </c>
      <c r="J26" s="111">
        <f t="shared" si="0"/>
        <v>5.8790126675284077E-2</v>
      </c>
    </row>
    <row r="27" spans="1:10" s="1" customFormat="1" x14ac:dyDescent="0.2">
      <c r="A27" s="110" t="s">
        <v>80</v>
      </c>
      <c r="B27" s="74"/>
      <c r="C27" s="35"/>
      <c r="D27" s="35">
        <f>D23+D26</f>
        <v>7572.7925000000005</v>
      </c>
      <c r="E27" s="73"/>
      <c r="F27" s="35"/>
      <c r="G27" s="35">
        <f>G23+G26</f>
        <v>7676.4849999999997</v>
      </c>
      <c r="H27" s="35">
        <f t="shared" si="2"/>
        <v>103.6924999999992</v>
      </c>
      <c r="I27" s="36">
        <f t="shared" si="3"/>
        <v>1.3692769212942147E-2</v>
      </c>
      <c r="J27" s="111">
        <f t="shared" si="0"/>
        <v>0.23362919996423775</v>
      </c>
    </row>
    <row r="28" spans="1:10" x14ac:dyDescent="0.2">
      <c r="A28" s="107" t="s">
        <v>42</v>
      </c>
      <c r="B28" s="73">
        <f>B9</f>
        <v>183750</v>
      </c>
      <c r="C28" s="34">
        <v>3.5999999999999999E-3</v>
      </c>
      <c r="D28" s="22">
        <f>B28*C28</f>
        <v>661.5</v>
      </c>
      <c r="E28" s="73">
        <f t="shared" si="4"/>
        <v>183750</v>
      </c>
      <c r="F28" s="34">
        <v>3.5999999999999999E-3</v>
      </c>
      <c r="G28" s="22">
        <f>E28*F28</f>
        <v>661.5</v>
      </c>
      <c r="H28" s="22">
        <f t="shared" si="2"/>
        <v>0</v>
      </c>
      <c r="I28" s="23">
        <f t="shared" si="3"/>
        <v>0</v>
      </c>
      <c r="J28" s="125">
        <f t="shared" si="0"/>
        <v>2.0132354297096037E-2</v>
      </c>
    </row>
    <row r="29" spans="1:10" x14ac:dyDescent="0.2">
      <c r="A29" s="107" t="s">
        <v>43</v>
      </c>
      <c r="B29" s="73">
        <f>B9</f>
        <v>183750</v>
      </c>
      <c r="C29" s="34">
        <v>2.0999999999999999E-3</v>
      </c>
      <c r="D29" s="22">
        <f>B29*C29</f>
        <v>385.875</v>
      </c>
      <c r="E29" s="73">
        <f t="shared" si="4"/>
        <v>183750</v>
      </c>
      <c r="F29" s="34">
        <v>2.0999999999999999E-3</v>
      </c>
      <c r="G29" s="22">
        <f>E29*F29</f>
        <v>385.875</v>
      </c>
      <c r="H29" s="22">
        <f>G29-D29</f>
        <v>0</v>
      </c>
      <c r="I29" s="23">
        <f t="shared" si="3"/>
        <v>0</v>
      </c>
      <c r="J29" s="125">
        <f t="shared" si="0"/>
        <v>1.1743873339972689E-2</v>
      </c>
    </row>
    <row r="30" spans="1:10" x14ac:dyDescent="0.2">
      <c r="A30" s="107" t="s">
        <v>100</v>
      </c>
      <c r="B30" s="73">
        <f>B9</f>
        <v>183750</v>
      </c>
      <c r="C30" s="34">
        <v>1.1000000000000001E-3</v>
      </c>
      <c r="D30" s="22">
        <f>B30*C30</f>
        <v>202.125</v>
      </c>
      <c r="E30" s="73">
        <f t="shared" si="4"/>
        <v>183750</v>
      </c>
      <c r="F30" s="34">
        <v>1.1000000000000001E-3</v>
      </c>
      <c r="G30" s="22">
        <f>E30*F30</f>
        <v>202.125</v>
      </c>
      <c r="H30" s="22">
        <f>G30-D30</f>
        <v>0</v>
      </c>
      <c r="I30" s="23">
        <f t="shared" ref="I30" si="7">IF(ISERROR(H30/D30),0,(H30/D30))</f>
        <v>0</v>
      </c>
      <c r="J30" s="125">
        <f t="shared" ref="J30" si="8">G30/$G$38</f>
        <v>6.1515527018904557E-3</v>
      </c>
    </row>
    <row r="31" spans="1:10" x14ac:dyDescent="0.2">
      <c r="A31" s="107" t="s">
        <v>44</v>
      </c>
      <c r="B31" s="73">
        <v>1</v>
      </c>
      <c r="C31" s="22">
        <v>0.25</v>
      </c>
      <c r="D31" s="22">
        <f>B31*C31</f>
        <v>0.25</v>
      </c>
      <c r="E31" s="73">
        <f t="shared" si="4"/>
        <v>1</v>
      </c>
      <c r="F31" s="22">
        <f>C31</f>
        <v>0.25</v>
      </c>
      <c r="G31" s="22">
        <f>E31*F31</f>
        <v>0.25</v>
      </c>
      <c r="H31" s="22">
        <f t="shared" si="2"/>
        <v>0</v>
      </c>
      <c r="I31" s="23">
        <f t="shared" si="3"/>
        <v>0</v>
      </c>
      <c r="J31" s="125">
        <f t="shared" ref="J31:J38" si="9">G31/$G$38</f>
        <v>7.6085995075948741E-6</v>
      </c>
    </row>
    <row r="32" spans="1:10" x14ac:dyDescent="0.2">
      <c r="A32" s="110" t="s">
        <v>45</v>
      </c>
      <c r="B32" s="74"/>
      <c r="C32" s="35"/>
      <c r="D32" s="35">
        <f>SUM(D28:D31)</f>
        <v>1249.75</v>
      </c>
      <c r="E32" s="73"/>
      <c r="F32" s="35"/>
      <c r="G32" s="35">
        <f>SUM(G28:G31)</f>
        <v>1249.75</v>
      </c>
      <c r="H32" s="35">
        <f t="shared" si="2"/>
        <v>0</v>
      </c>
      <c r="I32" s="36">
        <f t="shared" si="3"/>
        <v>0</v>
      </c>
      <c r="J32" s="111">
        <f t="shared" si="9"/>
        <v>3.803538893846678E-2</v>
      </c>
    </row>
    <row r="33" spans="1:10" ht="13.5" thickBot="1" x14ac:dyDescent="0.25">
      <c r="A33" s="112" t="s">
        <v>46</v>
      </c>
      <c r="B33" s="113">
        <f>B4</f>
        <v>175000</v>
      </c>
      <c r="C33" s="114">
        <v>7.0000000000000001E-3</v>
      </c>
      <c r="D33" s="115">
        <f>B33*C33</f>
        <v>1225</v>
      </c>
      <c r="E33" s="116">
        <f t="shared" ref="E33" si="10">B33</f>
        <v>175000</v>
      </c>
      <c r="F33" s="114">
        <f>C33</f>
        <v>7.0000000000000001E-3</v>
      </c>
      <c r="G33" s="115">
        <f>E33*F33</f>
        <v>1225</v>
      </c>
      <c r="H33" s="115">
        <f t="shared" si="2"/>
        <v>0</v>
      </c>
      <c r="I33" s="117">
        <f t="shared" si="3"/>
        <v>0</v>
      </c>
      <c r="J33" s="118">
        <f t="shared" si="9"/>
        <v>3.7282137587214888E-2</v>
      </c>
    </row>
    <row r="34" spans="1:10" x14ac:dyDescent="0.2">
      <c r="A34" s="37" t="s">
        <v>146</v>
      </c>
      <c r="B34" s="38"/>
      <c r="C34" s="39"/>
      <c r="D34" s="39">
        <f>SUM(D15,D23,D26,D32,D33)</f>
        <v>28973.792500000003</v>
      </c>
      <c r="E34" s="38"/>
      <c r="F34" s="39"/>
      <c r="G34" s="39">
        <f>SUM(G15,G23,G26,G32,G33)</f>
        <v>29077.485000000001</v>
      </c>
      <c r="H34" s="39">
        <f t="shared" si="2"/>
        <v>103.69249999999738</v>
      </c>
      <c r="I34" s="40">
        <f>IF(ISERROR(H34/D34),0,(H34/D34))</f>
        <v>3.5788376685584869E-3</v>
      </c>
      <c r="J34" s="41">
        <f t="shared" si="9"/>
        <v>0.88495575221238942</v>
      </c>
    </row>
    <row r="35" spans="1:10" x14ac:dyDescent="0.2">
      <c r="A35" s="46" t="s">
        <v>138</v>
      </c>
      <c r="B35" s="43"/>
      <c r="C35" s="26">
        <v>0.13</v>
      </c>
      <c r="D35" s="26">
        <f>D34*C35</f>
        <v>3766.5930250000006</v>
      </c>
      <c r="E35" s="26"/>
      <c r="F35" s="26">
        <f>C35</f>
        <v>0.13</v>
      </c>
      <c r="G35" s="26">
        <f>G34*F35</f>
        <v>3780.0730500000004</v>
      </c>
      <c r="H35" s="26">
        <f t="shared" si="2"/>
        <v>13.480024999999841</v>
      </c>
      <c r="I35" s="44">
        <f t="shared" ref="I35:I38" si="11">IF(ISERROR(H35/D35),0,(H35/D35))</f>
        <v>3.578837668558535E-3</v>
      </c>
      <c r="J35" s="45">
        <f t="shared" si="9"/>
        <v>0.11504424778761063</v>
      </c>
    </row>
    <row r="36" spans="1:10" x14ac:dyDescent="0.2">
      <c r="A36" s="46" t="s">
        <v>139</v>
      </c>
      <c r="B36" s="24"/>
      <c r="C36" s="25"/>
      <c r="D36" s="25">
        <f>SUM(D34:D35)</f>
        <v>32740.385525000005</v>
      </c>
      <c r="E36" s="25"/>
      <c r="F36" s="25"/>
      <c r="G36" s="25">
        <f>SUM(G34:G35)</f>
        <v>32857.55805</v>
      </c>
      <c r="H36" s="25">
        <f t="shared" si="2"/>
        <v>117.17252499999449</v>
      </c>
      <c r="I36" s="27">
        <f t="shared" si="11"/>
        <v>3.5788376685584088E-3</v>
      </c>
      <c r="J36" s="47">
        <f t="shared" si="9"/>
        <v>1</v>
      </c>
    </row>
    <row r="37" spans="1:10" x14ac:dyDescent="0.2">
      <c r="A37" s="46" t="s">
        <v>140</v>
      </c>
      <c r="B37" s="43"/>
      <c r="C37" s="26">
        <v>0</v>
      </c>
      <c r="D37" s="26">
        <f>D34*C37</f>
        <v>0</v>
      </c>
      <c r="E37" s="26"/>
      <c r="F37" s="26">
        <f>C37</f>
        <v>0</v>
      </c>
      <c r="G37" s="26">
        <f>G34*F37</f>
        <v>0</v>
      </c>
      <c r="H37" s="26">
        <f t="shared" si="2"/>
        <v>0</v>
      </c>
      <c r="I37" s="44">
        <f t="shared" si="11"/>
        <v>0</v>
      </c>
      <c r="J37" s="45">
        <f t="shared" si="9"/>
        <v>0</v>
      </c>
    </row>
    <row r="38" spans="1:10" ht="13.5" thickBot="1" x14ac:dyDescent="0.25">
      <c r="A38" s="46" t="s">
        <v>141</v>
      </c>
      <c r="B38" s="49"/>
      <c r="C38" s="50"/>
      <c r="D38" s="50">
        <f>SUM(D36:D37)</f>
        <v>32740.385525000005</v>
      </c>
      <c r="E38" s="50"/>
      <c r="F38" s="50"/>
      <c r="G38" s="50">
        <f>SUM(G36:G37)</f>
        <v>32857.55805</v>
      </c>
      <c r="H38" s="50">
        <f t="shared" si="2"/>
        <v>117.17252499999449</v>
      </c>
      <c r="I38" s="51">
        <f t="shared" si="11"/>
        <v>3.5788376685584088E-3</v>
      </c>
      <c r="J38" s="52">
        <f t="shared" si="9"/>
        <v>1</v>
      </c>
    </row>
    <row r="39" spans="1:10" x14ac:dyDescent="0.2">
      <c r="F39" s="69"/>
    </row>
    <row r="40" spans="1:10" x14ac:dyDescent="0.2">
      <c r="F40" s="69"/>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1" tint="0.499984740745262"/>
    <pageSetUpPr fitToPage="1"/>
  </sheetPr>
  <dimension ref="A1:J40"/>
  <sheetViews>
    <sheetView view="pageBreakPreview" topLeftCell="A7" zoomScaleNormal="100" zoomScaleSheetLayoutView="100" workbookViewId="0">
      <selection activeCell="C19" sqref="C19"/>
    </sheetView>
  </sheetViews>
  <sheetFormatPr defaultRowHeight="12.75" x14ac:dyDescent="0.2"/>
  <cols>
    <col min="1" max="1" width="64.710937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48" t="s">
        <v>109</v>
      </c>
      <c r="B1" s="349"/>
      <c r="C1" s="349"/>
      <c r="D1" s="349"/>
      <c r="E1" s="349"/>
      <c r="F1" s="349"/>
      <c r="G1" s="349"/>
      <c r="H1" s="349"/>
      <c r="I1" s="349"/>
      <c r="J1" s="350"/>
    </row>
    <row r="3" spans="1:10" x14ac:dyDescent="0.2">
      <c r="A3" s="13" t="s">
        <v>13</v>
      </c>
      <c r="B3" s="13" t="s">
        <v>5</v>
      </c>
    </row>
    <row r="4" spans="1:10" x14ac:dyDescent="0.2">
      <c r="A4" s="15" t="s">
        <v>62</v>
      </c>
      <c r="B4" s="79">
        <v>15000</v>
      </c>
    </row>
    <row r="5" spans="1:10" x14ac:dyDescent="0.2">
      <c r="A5" s="15" t="s">
        <v>16</v>
      </c>
      <c r="B5" s="79">
        <v>60</v>
      </c>
    </row>
    <row r="6" spans="1:10" x14ac:dyDescent="0.2">
      <c r="A6" s="15" t="s">
        <v>20</v>
      </c>
      <c r="B6" s="80">
        <f>VLOOKUP($B$3,'Data for Bill Impacts'!$A$3:$Y$15,2,0)</f>
        <v>1.0609999999999999</v>
      </c>
    </row>
    <row r="7" spans="1:10" x14ac:dyDescent="0.2">
      <c r="A7" s="81" t="s">
        <v>49</v>
      </c>
      <c r="B7" s="82">
        <f>B4/(B5*730)</f>
        <v>0.34246575342465752</v>
      </c>
    </row>
    <row r="8" spans="1:10" x14ac:dyDescent="0.2">
      <c r="A8" s="15" t="s">
        <v>15</v>
      </c>
      <c r="B8" s="79">
        <f>VLOOKUP($B$3,'Data for Bill Impacts'!$A$3:$Y$15,4,0)</f>
        <v>0</v>
      </c>
    </row>
    <row r="9" spans="1:10" x14ac:dyDescent="0.2">
      <c r="A9" s="15" t="s">
        <v>82</v>
      </c>
      <c r="B9" s="79">
        <f>B4*B6</f>
        <v>15915</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3" t="s">
        <v>50</v>
      </c>
    </row>
    <row r="13" spans="1:10" x14ac:dyDescent="0.2">
      <c r="A13" s="101" t="s">
        <v>31</v>
      </c>
      <c r="B13" s="102">
        <f>B9</f>
        <v>15915</v>
      </c>
      <c r="C13" s="103">
        <v>0.10299999999999999</v>
      </c>
      <c r="D13" s="104">
        <f>B13*C13</f>
        <v>1639.2449999999999</v>
      </c>
      <c r="E13" s="102">
        <f>B13</f>
        <v>15915</v>
      </c>
      <c r="F13" s="103">
        <f>C13</f>
        <v>0.10299999999999999</v>
      </c>
      <c r="G13" s="104">
        <f>E13*F13</f>
        <v>1639.2449999999999</v>
      </c>
      <c r="H13" s="104">
        <f>G13-D13</f>
        <v>0</v>
      </c>
      <c r="I13" s="105">
        <f>IF(ISERROR(H13/D13),0,(H13/D13))</f>
        <v>0</v>
      </c>
      <c r="J13" s="124">
        <f t="shared" ref="J13:J29" si="0">G13/$G$38</f>
        <v>0.44396537114792861</v>
      </c>
    </row>
    <row r="14" spans="1:10" x14ac:dyDescent="0.2">
      <c r="A14" s="107" t="s">
        <v>32</v>
      </c>
      <c r="B14" s="73">
        <v>0</v>
      </c>
      <c r="C14" s="21">
        <v>0.121</v>
      </c>
      <c r="D14" s="22">
        <f>B14*C14</f>
        <v>0</v>
      </c>
      <c r="E14" s="73">
        <f t="shared" ref="E14" si="1">B14</f>
        <v>0</v>
      </c>
      <c r="F14" s="21">
        <f>C14</f>
        <v>0.121</v>
      </c>
      <c r="G14" s="22">
        <f>E14*F14</f>
        <v>0</v>
      </c>
      <c r="H14" s="22">
        <f t="shared" ref="H14:H38" si="2">G14-D14</f>
        <v>0</v>
      </c>
      <c r="I14" s="23">
        <f t="shared" ref="I14:I33" si="3">IF(ISERROR(H14/D14),0,(H14/D14))</f>
        <v>0</v>
      </c>
      <c r="J14" s="125">
        <f t="shared" si="0"/>
        <v>0</v>
      </c>
    </row>
    <row r="15" spans="1:10" s="1" customFormat="1" x14ac:dyDescent="0.2">
      <c r="A15" s="46" t="s">
        <v>33</v>
      </c>
      <c r="B15" s="24"/>
      <c r="C15" s="25"/>
      <c r="D15" s="25">
        <f>SUM(D13:D14)</f>
        <v>1639.2449999999999</v>
      </c>
      <c r="E15" s="76"/>
      <c r="F15" s="25"/>
      <c r="G15" s="25">
        <f>SUM(G13:G14)</f>
        <v>1639.2449999999999</v>
      </c>
      <c r="H15" s="25">
        <f t="shared" si="2"/>
        <v>0</v>
      </c>
      <c r="I15" s="27">
        <f t="shared" si="3"/>
        <v>0</v>
      </c>
      <c r="J15" s="47">
        <f t="shared" si="0"/>
        <v>0.44396537114792861</v>
      </c>
    </row>
    <row r="16" spans="1:10" s="1" customFormat="1" x14ac:dyDescent="0.2">
      <c r="A16" s="107" t="s">
        <v>38</v>
      </c>
      <c r="B16" s="73">
        <v>1</v>
      </c>
      <c r="C16" s="78">
        <f>VLOOKUP($B$3,'Data for Bill Impacts'!$A$3:$Y$15,7,0)</f>
        <v>106.28</v>
      </c>
      <c r="D16" s="22">
        <f>B16*C16</f>
        <v>106.28</v>
      </c>
      <c r="E16" s="73">
        <f t="shared" ref="E16:E33" si="4">B16</f>
        <v>1</v>
      </c>
      <c r="F16" s="78">
        <f>VLOOKUP($B$3,'Data for Bill Impacts'!$A$3:$Y$15,17,0)</f>
        <v>107.62</v>
      </c>
      <c r="G16" s="22">
        <f>E16*F16</f>
        <v>107.62</v>
      </c>
      <c r="H16" s="22">
        <f t="shared" si="2"/>
        <v>1.3400000000000034</v>
      </c>
      <c r="I16" s="23">
        <f t="shared" si="3"/>
        <v>1.2608204742190472E-2</v>
      </c>
      <c r="J16" s="125">
        <f t="shared" si="0"/>
        <v>2.9147292346745044E-2</v>
      </c>
    </row>
    <row r="17" spans="1:10" hidden="1" x14ac:dyDescent="0.2">
      <c r="A17" s="107" t="s">
        <v>83</v>
      </c>
      <c r="B17" s="73">
        <v>1</v>
      </c>
      <c r="C17" s="78">
        <v>0</v>
      </c>
      <c r="D17" s="22">
        <f>B17*C17</f>
        <v>0</v>
      </c>
      <c r="E17" s="73">
        <f t="shared" si="4"/>
        <v>1</v>
      </c>
      <c r="F17" s="78">
        <v>0</v>
      </c>
      <c r="G17" s="22">
        <f t="shared" ref="G17:G19" si="5">E17*F17</f>
        <v>0</v>
      </c>
      <c r="H17" s="22">
        <f t="shared" si="2"/>
        <v>0</v>
      </c>
      <c r="I17" s="23">
        <f t="shared" si="3"/>
        <v>0</v>
      </c>
      <c r="J17" s="125">
        <f t="shared" si="0"/>
        <v>0</v>
      </c>
    </row>
    <row r="18" spans="1:10" hidden="1" x14ac:dyDescent="0.2">
      <c r="A18" s="107" t="s">
        <v>84</v>
      </c>
      <c r="B18" s="73">
        <v>1</v>
      </c>
      <c r="C18" s="78">
        <v>0</v>
      </c>
      <c r="D18" s="22">
        <f t="shared" ref="D18:D19" si="6">B18*C18</f>
        <v>0</v>
      </c>
      <c r="E18" s="73">
        <f t="shared" si="4"/>
        <v>1</v>
      </c>
      <c r="F18" s="78">
        <v>0</v>
      </c>
      <c r="G18" s="22">
        <f t="shared" si="5"/>
        <v>0</v>
      </c>
      <c r="H18" s="22">
        <f t="shared" ref="H18" si="7">G18-D18</f>
        <v>0</v>
      </c>
      <c r="I18" s="23">
        <f t="shared" ref="I18" si="8">IF(ISERROR(H18/D18),0,(H18/D18))</f>
        <v>0</v>
      </c>
      <c r="J18" s="125">
        <f t="shared" si="0"/>
        <v>0</v>
      </c>
    </row>
    <row r="19" spans="1:10" x14ac:dyDescent="0.2">
      <c r="A19" s="107" t="s">
        <v>85</v>
      </c>
      <c r="B19" s="73">
        <v>1</v>
      </c>
      <c r="C19" s="122">
        <f>VLOOKUP($B$3,'Data for Bill Impacts'!$A$3:$Y$15,13,0)</f>
        <v>-0.02</v>
      </c>
      <c r="D19" s="22">
        <f t="shared" si="6"/>
        <v>-0.02</v>
      </c>
      <c r="E19" s="73">
        <f t="shared" si="4"/>
        <v>1</v>
      </c>
      <c r="F19" s="122">
        <f>VLOOKUP($B$3,'Data for Bill Impacts'!$A$3:$Y$15,22,0)</f>
        <v>-0.02</v>
      </c>
      <c r="G19" s="22">
        <f t="shared" si="5"/>
        <v>-0.02</v>
      </c>
      <c r="H19" s="22">
        <f t="shared" ref="H19" si="9">G19-D19</f>
        <v>0</v>
      </c>
      <c r="I19" s="23">
        <f t="shared" ref="I19" si="10">IF(ISERROR(H19/D19),0,(H19/D19))</f>
        <v>0</v>
      </c>
      <c r="J19" s="125">
        <f t="shared" si="0"/>
        <v>-5.4167055095233305E-6</v>
      </c>
    </row>
    <row r="20" spans="1:10" x14ac:dyDescent="0.2">
      <c r="A20" s="107" t="s">
        <v>39</v>
      </c>
      <c r="B20" s="73">
        <f>IF($B$10="kWh",$B$4,$B$5)</f>
        <v>60</v>
      </c>
      <c r="C20" s="78">
        <f>VLOOKUP($B$3,'Data for Bill Impacts'!$A$3:$Y$15,10,0)</f>
        <v>17.8734</v>
      </c>
      <c r="D20" s="22">
        <f>B20*C20</f>
        <v>1072.404</v>
      </c>
      <c r="E20" s="73">
        <f t="shared" si="4"/>
        <v>60</v>
      </c>
      <c r="F20" s="78">
        <f>VLOOKUP($B$3,'Data for Bill Impacts'!$A$3:$Y$15,19,0)</f>
        <v>18.352900000000002</v>
      </c>
      <c r="G20" s="22">
        <f>E20*F20</f>
        <v>1101.1740000000002</v>
      </c>
      <c r="H20" s="22">
        <f t="shared" si="2"/>
        <v>28.770000000000209</v>
      </c>
      <c r="I20" s="23">
        <f t="shared" si="3"/>
        <v>2.6827576174650793E-2</v>
      </c>
      <c r="J20" s="125">
        <f t="shared" si="0"/>
        <v>0.29823676363719226</v>
      </c>
    </row>
    <row r="21" spans="1:10" s="1" customFormat="1" x14ac:dyDescent="0.2">
      <c r="A21" s="107" t="s">
        <v>194</v>
      </c>
      <c r="B21" s="73">
        <f>IF($B$10="kWh",$B$4,$B$5)</f>
        <v>60</v>
      </c>
      <c r="C21" s="126">
        <f>VLOOKUP($B$3,'Data for Bill Impacts'!$A$3:$Y$15,14,0)</f>
        <v>4.7E-2</v>
      </c>
      <c r="D21" s="22">
        <f>B21*C21</f>
        <v>2.82</v>
      </c>
      <c r="E21" s="73">
        <f>B21</f>
        <v>60</v>
      </c>
      <c r="F21" s="126">
        <f>VLOOKUP($B$3,'Data for Bill Impacts'!$A$3:$Y$15,23,0)</f>
        <v>4.7E-2</v>
      </c>
      <c r="G21" s="22">
        <f>E21*F21</f>
        <v>2.82</v>
      </c>
      <c r="H21" s="22">
        <f>G21-D21</f>
        <v>0</v>
      </c>
      <c r="I21" s="23">
        <f>IF(ISERROR(H21/D21),0,(H21/D21))</f>
        <v>0</v>
      </c>
      <c r="J21" s="125">
        <f t="shared" si="0"/>
        <v>7.6375547684278961E-4</v>
      </c>
    </row>
    <row r="22" spans="1:10" s="1" customFormat="1" x14ac:dyDescent="0.2">
      <c r="A22" s="107" t="s">
        <v>147</v>
      </c>
      <c r="B22" s="73">
        <f>B9</f>
        <v>15915</v>
      </c>
      <c r="C22" s="126">
        <f>VLOOKUP($B$3,'Data for Bill Impacts'!$A$3:$Y$15,20,0)</f>
        <v>1.9E-3</v>
      </c>
      <c r="D22" s="22">
        <f>B22*C22</f>
        <v>30.238499999999998</v>
      </c>
      <c r="E22" s="73">
        <f t="shared" si="4"/>
        <v>15915</v>
      </c>
      <c r="F22" s="126">
        <f>VLOOKUP($B$3,'Data for Bill Impacts'!$A$3:$Y$15,21,0)</f>
        <v>1.9E-3</v>
      </c>
      <c r="G22" s="22">
        <f>E22*F22</f>
        <v>30.238499999999998</v>
      </c>
      <c r="H22" s="22">
        <f t="shared" si="2"/>
        <v>0</v>
      </c>
      <c r="I22" s="23">
        <f>IF(ISERROR(H22/D22),0,(H22/D22))</f>
        <v>0</v>
      </c>
      <c r="J22" s="125">
        <f t="shared" si="0"/>
        <v>8.1896524774860615E-3</v>
      </c>
    </row>
    <row r="23" spans="1:10" x14ac:dyDescent="0.2">
      <c r="A23" s="110" t="s">
        <v>79</v>
      </c>
      <c r="B23" s="74"/>
      <c r="C23" s="35"/>
      <c r="D23" s="35">
        <f>SUM(D16:D22)</f>
        <v>1211.7224999999999</v>
      </c>
      <c r="E23" s="73"/>
      <c r="F23" s="35"/>
      <c r="G23" s="35">
        <f>SUM(G16:G22)</f>
        <v>1241.8325</v>
      </c>
      <c r="H23" s="35">
        <f t="shared" si="2"/>
        <v>30.110000000000127</v>
      </c>
      <c r="I23" s="36">
        <f t="shared" si="3"/>
        <v>2.4848923742853773E-2</v>
      </c>
      <c r="J23" s="111">
        <f t="shared" si="0"/>
        <v>0.33633204723275656</v>
      </c>
    </row>
    <row r="24" spans="1:10" x14ac:dyDescent="0.2">
      <c r="A24" s="107" t="s">
        <v>40</v>
      </c>
      <c r="B24" s="73">
        <f>B5</f>
        <v>60</v>
      </c>
      <c r="C24" s="126">
        <f>VLOOKUP($B$3,'Data for Bill Impacts'!$A$3:$Y$15,15,0)</f>
        <v>1.6718177000000001</v>
      </c>
      <c r="D24" s="22">
        <f>B24*C24</f>
        <v>100.30906200000001</v>
      </c>
      <c r="E24" s="73">
        <f t="shared" si="4"/>
        <v>60</v>
      </c>
      <c r="F24" s="78">
        <f>VLOOKUP($B$3,'Data for Bill Impacts'!$A$3:$Y$15,24,0)</f>
        <v>1.5908</v>
      </c>
      <c r="G24" s="22">
        <f>E24*F24</f>
        <v>95.447999999999993</v>
      </c>
      <c r="H24" s="22">
        <f t="shared" si="2"/>
        <v>-4.8610620000000182</v>
      </c>
      <c r="I24" s="23">
        <f t="shared" si="3"/>
        <v>-4.8460845940320102E-2</v>
      </c>
      <c r="J24" s="125">
        <f t="shared" si="0"/>
        <v>2.5850685373649141E-2</v>
      </c>
    </row>
    <row r="25" spans="1:10" s="1" customFormat="1" x14ac:dyDescent="0.2">
      <c r="A25" s="107" t="s">
        <v>41</v>
      </c>
      <c r="B25" s="73">
        <f>B5</f>
        <v>60</v>
      </c>
      <c r="C25" s="126">
        <f>VLOOKUP($B$3,'Data for Bill Impacts'!$A$3:$Y$15,16,0)</f>
        <v>1.2769135</v>
      </c>
      <c r="D25" s="22">
        <f>B25*C25</f>
        <v>76.614810000000006</v>
      </c>
      <c r="E25" s="73">
        <f t="shared" si="4"/>
        <v>60</v>
      </c>
      <c r="F25" s="126">
        <f>VLOOKUP($B$3,'Data for Bill Impacts'!$A$3:$Y$15,25,0)</f>
        <v>1.2918000000000001</v>
      </c>
      <c r="G25" s="22">
        <f>E25*F25</f>
        <v>77.50800000000001</v>
      </c>
      <c r="H25" s="22">
        <f t="shared" si="2"/>
        <v>0.89319000000000415</v>
      </c>
      <c r="I25" s="23">
        <f t="shared" si="3"/>
        <v>1.1658189846062452E-2</v>
      </c>
      <c r="J25" s="125">
        <f t="shared" si="0"/>
        <v>2.0991900531606718E-2</v>
      </c>
    </row>
    <row r="26" spans="1:10" x14ac:dyDescent="0.2">
      <c r="A26" s="110" t="s">
        <v>76</v>
      </c>
      <c r="B26" s="74"/>
      <c r="C26" s="35"/>
      <c r="D26" s="35">
        <f>SUM(D24:D25)</f>
        <v>176.92387200000002</v>
      </c>
      <c r="E26" s="73"/>
      <c r="F26" s="35"/>
      <c r="G26" s="35">
        <f>SUM(G24:G25)</f>
        <v>172.95600000000002</v>
      </c>
      <c r="H26" s="35">
        <f t="shared" si="2"/>
        <v>-3.9678719999999998</v>
      </c>
      <c r="I26" s="36">
        <f t="shared" si="3"/>
        <v>-2.2427001823699628E-2</v>
      </c>
      <c r="J26" s="111">
        <f t="shared" si="0"/>
        <v>4.6842585905255862E-2</v>
      </c>
    </row>
    <row r="27" spans="1:10" s="1" customFormat="1" x14ac:dyDescent="0.2">
      <c r="A27" s="110" t="s">
        <v>80</v>
      </c>
      <c r="B27" s="74"/>
      <c r="C27" s="35"/>
      <c r="D27" s="35">
        <f>D23+D26</f>
        <v>1388.6463719999999</v>
      </c>
      <c r="E27" s="73"/>
      <c r="F27" s="35"/>
      <c r="G27" s="35">
        <f>G23+G26</f>
        <v>1414.7885000000001</v>
      </c>
      <c r="H27" s="35">
        <f t="shared" si="2"/>
        <v>26.142128000000184</v>
      </c>
      <c r="I27" s="36">
        <f t="shared" si="3"/>
        <v>1.8825619342056787E-2</v>
      </c>
      <c r="J27" s="111">
        <f t="shared" si="0"/>
        <v>0.38317463313801248</v>
      </c>
    </row>
    <row r="28" spans="1:10" x14ac:dyDescent="0.2">
      <c r="A28" s="107" t="s">
        <v>42</v>
      </c>
      <c r="B28" s="73">
        <f>B9</f>
        <v>15915</v>
      </c>
      <c r="C28" s="34">
        <v>3.5999999999999999E-3</v>
      </c>
      <c r="D28" s="22">
        <f>B28*C28</f>
        <v>57.293999999999997</v>
      </c>
      <c r="E28" s="73">
        <f t="shared" si="4"/>
        <v>15915</v>
      </c>
      <c r="F28" s="34">
        <v>3.5999999999999999E-3</v>
      </c>
      <c r="G28" s="22">
        <f>E28*F28</f>
        <v>57.293999999999997</v>
      </c>
      <c r="H28" s="22">
        <f t="shared" si="2"/>
        <v>0</v>
      </c>
      <c r="I28" s="23">
        <f t="shared" si="3"/>
        <v>0</v>
      </c>
      <c r="J28" s="125">
        <f t="shared" si="0"/>
        <v>1.5517236273131485E-2</v>
      </c>
    </row>
    <row r="29" spans="1:10" x14ac:dyDescent="0.2">
      <c r="A29" s="107" t="s">
        <v>43</v>
      </c>
      <c r="B29" s="73">
        <f>B9</f>
        <v>15915</v>
      </c>
      <c r="C29" s="34">
        <v>2.0999999999999999E-3</v>
      </c>
      <c r="D29" s="22">
        <f>B29*C29</f>
        <v>33.421499999999995</v>
      </c>
      <c r="E29" s="73">
        <f t="shared" si="4"/>
        <v>15915</v>
      </c>
      <c r="F29" s="34">
        <v>2.0999999999999999E-3</v>
      </c>
      <c r="G29" s="22">
        <f>E29*F29</f>
        <v>33.421499999999995</v>
      </c>
      <c r="H29" s="22">
        <f>G29-D29</f>
        <v>0</v>
      </c>
      <c r="I29" s="23">
        <f t="shared" si="3"/>
        <v>0</v>
      </c>
      <c r="J29" s="125">
        <f t="shared" si="0"/>
        <v>9.0517211593266981E-3</v>
      </c>
    </row>
    <row r="30" spans="1:10" x14ac:dyDescent="0.2">
      <c r="A30" s="107" t="s">
        <v>100</v>
      </c>
      <c r="B30" s="73">
        <f>B9</f>
        <v>15915</v>
      </c>
      <c r="C30" s="34">
        <v>1.1000000000000001E-3</v>
      </c>
      <c r="D30" s="22">
        <f>B30*C30</f>
        <v>17.506500000000003</v>
      </c>
      <c r="E30" s="73">
        <f t="shared" si="4"/>
        <v>15915</v>
      </c>
      <c r="F30" s="34">
        <v>1.1000000000000001E-3</v>
      </c>
      <c r="G30" s="22">
        <f>E30*F30</f>
        <v>17.506500000000003</v>
      </c>
      <c r="H30" s="22">
        <f>G30-D30</f>
        <v>0</v>
      </c>
      <c r="I30" s="23">
        <f t="shared" ref="I30" si="11">IF(ISERROR(H30/D30),0,(H30/D30))</f>
        <v>0</v>
      </c>
      <c r="J30" s="125">
        <f t="shared" ref="J30" si="12">G30/$G$38</f>
        <v>4.7413777501235099E-3</v>
      </c>
    </row>
    <row r="31" spans="1:10" x14ac:dyDescent="0.2">
      <c r="A31" s="107" t="s">
        <v>44</v>
      </c>
      <c r="B31" s="73">
        <v>1</v>
      </c>
      <c r="C31" s="22">
        <v>0.25</v>
      </c>
      <c r="D31" s="22">
        <f>B31*C31</f>
        <v>0.25</v>
      </c>
      <c r="E31" s="73">
        <f t="shared" si="4"/>
        <v>1</v>
      </c>
      <c r="F31" s="22">
        <f>C31</f>
        <v>0.25</v>
      </c>
      <c r="G31" s="22">
        <f>E31*F31</f>
        <v>0.25</v>
      </c>
      <c r="H31" s="22">
        <f t="shared" si="2"/>
        <v>0</v>
      </c>
      <c r="I31" s="23">
        <f t="shared" si="3"/>
        <v>0</v>
      </c>
      <c r="J31" s="125">
        <f t="shared" ref="J31:J38" si="13">G31/$G$38</f>
        <v>6.7708818869041635E-5</v>
      </c>
    </row>
    <row r="32" spans="1:10" x14ac:dyDescent="0.2">
      <c r="A32" s="110" t="s">
        <v>45</v>
      </c>
      <c r="B32" s="74"/>
      <c r="C32" s="35"/>
      <c r="D32" s="35">
        <f>SUM(D28:D31)</f>
        <v>108.47199999999999</v>
      </c>
      <c r="E32" s="73"/>
      <c r="F32" s="35"/>
      <c r="G32" s="35">
        <f>SUM(G28:G31)</f>
        <v>108.47199999999999</v>
      </c>
      <c r="H32" s="35">
        <f t="shared" si="2"/>
        <v>0</v>
      </c>
      <c r="I32" s="36">
        <f t="shared" si="3"/>
        <v>0</v>
      </c>
      <c r="J32" s="111">
        <f t="shared" si="13"/>
        <v>2.9378044001450734E-2</v>
      </c>
    </row>
    <row r="33" spans="1:10" ht="13.5" thickBot="1" x14ac:dyDescent="0.25">
      <c r="A33" s="112" t="s">
        <v>46</v>
      </c>
      <c r="B33" s="113">
        <f>B4</f>
        <v>15000</v>
      </c>
      <c r="C33" s="114">
        <v>7.0000000000000001E-3</v>
      </c>
      <c r="D33" s="115">
        <f>B33*C33</f>
        <v>105</v>
      </c>
      <c r="E33" s="116">
        <f t="shared" si="4"/>
        <v>15000</v>
      </c>
      <c r="F33" s="114">
        <f>C33</f>
        <v>7.0000000000000001E-3</v>
      </c>
      <c r="G33" s="115">
        <f>E33*F33</f>
        <v>105</v>
      </c>
      <c r="H33" s="115">
        <f t="shared" si="2"/>
        <v>0</v>
      </c>
      <c r="I33" s="117">
        <f t="shared" si="3"/>
        <v>0</v>
      </c>
      <c r="J33" s="118">
        <f t="shared" si="13"/>
        <v>2.8437703924997487E-2</v>
      </c>
    </row>
    <row r="34" spans="1:10" x14ac:dyDescent="0.2">
      <c r="A34" s="37" t="s">
        <v>146</v>
      </c>
      <c r="B34" s="38"/>
      <c r="C34" s="39"/>
      <c r="D34" s="39">
        <f>SUM(D15,D23,D26,D32,D33)</f>
        <v>3241.3633719999998</v>
      </c>
      <c r="E34" s="38"/>
      <c r="F34" s="39"/>
      <c r="G34" s="39">
        <f>SUM(G15,G23,G26,G32,G33)</f>
        <v>3267.5055000000002</v>
      </c>
      <c r="H34" s="39">
        <f t="shared" si="2"/>
        <v>26.142128000000412</v>
      </c>
      <c r="I34" s="40">
        <f>IF(ISERROR(H34/D34),0,(H34/D34))</f>
        <v>8.0651642533586376E-3</v>
      </c>
      <c r="J34" s="41">
        <f t="shared" si="13"/>
        <v>0.88495575221238931</v>
      </c>
    </row>
    <row r="35" spans="1:10" x14ac:dyDescent="0.2">
      <c r="A35" s="46" t="s">
        <v>138</v>
      </c>
      <c r="B35" s="43"/>
      <c r="C35" s="26">
        <v>0.13</v>
      </c>
      <c r="D35" s="26">
        <f>D34*C35</f>
        <v>421.37723835999998</v>
      </c>
      <c r="E35" s="26"/>
      <c r="F35" s="26">
        <f>C35</f>
        <v>0.13</v>
      </c>
      <c r="G35" s="26">
        <f>G34*F35</f>
        <v>424.77571500000005</v>
      </c>
      <c r="H35" s="26">
        <f t="shared" si="2"/>
        <v>3.3984766400000694</v>
      </c>
      <c r="I35" s="44">
        <f t="shared" ref="I35:I38" si="14">IF(ISERROR(H35/D35),0,(H35/D35))</f>
        <v>8.065164253358674E-3</v>
      </c>
      <c r="J35" s="45">
        <f t="shared" si="13"/>
        <v>0.11504424778761062</v>
      </c>
    </row>
    <row r="36" spans="1:10" x14ac:dyDescent="0.2">
      <c r="A36" s="46" t="s">
        <v>139</v>
      </c>
      <c r="B36" s="24"/>
      <c r="C36" s="25"/>
      <c r="D36" s="25">
        <f>SUM(D34:D35)</f>
        <v>3662.7406103599997</v>
      </c>
      <c r="E36" s="25"/>
      <c r="F36" s="25"/>
      <c r="G36" s="25">
        <f>SUM(G34:G35)</f>
        <v>3692.2812150000004</v>
      </c>
      <c r="H36" s="25">
        <f t="shared" si="2"/>
        <v>29.540604640000765</v>
      </c>
      <c r="I36" s="27">
        <f t="shared" si="14"/>
        <v>8.0651642533587191E-3</v>
      </c>
      <c r="J36" s="47">
        <f t="shared" si="13"/>
        <v>1</v>
      </c>
    </row>
    <row r="37" spans="1:10" x14ac:dyDescent="0.2">
      <c r="A37" s="46" t="s">
        <v>140</v>
      </c>
      <c r="B37" s="43"/>
      <c r="C37" s="26">
        <v>0</v>
      </c>
      <c r="D37" s="26">
        <f>D34*C37</f>
        <v>0</v>
      </c>
      <c r="E37" s="26"/>
      <c r="F37" s="26">
        <f>C37</f>
        <v>0</v>
      </c>
      <c r="G37" s="26">
        <f>G34*F37</f>
        <v>0</v>
      </c>
      <c r="H37" s="26">
        <f t="shared" si="2"/>
        <v>0</v>
      </c>
      <c r="I37" s="44">
        <f t="shared" si="14"/>
        <v>0</v>
      </c>
      <c r="J37" s="45">
        <f t="shared" si="13"/>
        <v>0</v>
      </c>
    </row>
    <row r="38" spans="1:10" ht="13.5" thickBot="1" x14ac:dyDescent="0.25">
      <c r="A38" s="46" t="s">
        <v>141</v>
      </c>
      <c r="B38" s="49"/>
      <c r="C38" s="50"/>
      <c r="D38" s="50">
        <f>SUM(D36:D37)</f>
        <v>3662.7406103599997</v>
      </c>
      <c r="E38" s="50"/>
      <c r="F38" s="50"/>
      <c r="G38" s="50">
        <f>SUM(G36:G37)</f>
        <v>3692.2812150000004</v>
      </c>
      <c r="H38" s="50">
        <f t="shared" si="2"/>
        <v>29.540604640000765</v>
      </c>
      <c r="I38" s="51">
        <f t="shared" si="14"/>
        <v>8.0651642533587191E-3</v>
      </c>
      <c r="J38" s="52">
        <f t="shared" si="13"/>
        <v>1</v>
      </c>
    </row>
    <row r="39" spans="1:10" x14ac:dyDescent="0.2">
      <c r="F39" s="69"/>
    </row>
    <row r="40" spans="1:10" x14ac:dyDescent="0.2">
      <c r="F40" s="69"/>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tabColor theme="1" tint="0.499984740745262"/>
    <pageSetUpPr fitToPage="1"/>
  </sheetPr>
  <dimension ref="A1:J40"/>
  <sheetViews>
    <sheetView topLeftCell="A7" workbookViewId="0">
      <selection activeCell="C19" sqref="C19"/>
    </sheetView>
  </sheetViews>
  <sheetFormatPr defaultRowHeight="12.75" x14ac:dyDescent="0.2"/>
  <cols>
    <col min="1" max="1" width="64.710937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48" t="s">
        <v>112</v>
      </c>
      <c r="B1" s="349"/>
      <c r="C1" s="349"/>
      <c r="D1" s="349"/>
      <c r="E1" s="349"/>
      <c r="F1" s="349"/>
      <c r="G1" s="349"/>
      <c r="H1" s="349"/>
      <c r="I1" s="349"/>
      <c r="J1" s="350"/>
    </row>
    <row r="3" spans="1:10" x14ac:dyDescent="0.2">
      <c r="A3" s="13" t="s">
        <v>13</v>
      </c>
      <c r="B3" s="13" t="s">
        <v>5</v>
      </c>
    </row>
    <row r="4" spans="1:10" x14ac:dyDescent="0.2">
      <c r="A4" s="15" t="s">
        <v>62</v>
      </c>
      <c r="B4" s="79">
        <f>'Data for Bill Impacts_HONI Avg '!C12</f>
        <v>36104</v>
      </c>
    </row>
    <row r="5" spans="1:10" x14ac:dyDescent="0.2">
      <c r="A5" s="15" t="s">
        <v>16</v>
      </c>
      <c r="B5" s="79">
        <v>128</v>
      </c>
    </row>
    <row r="6" spans="1:10" x14ac:dyDescent="0.2">
      <c r="A6" s="15" t="s">
        <v>20</v>
      </c>
      <c r="B6" s="80">
        <f>VLOOKUP($B$3,'Data for Bill Impacts'!$A$3:$Y$15,2,0)</f>
        <v>1.0609999999999999</v>
      </c>
    </row>
    <row r="7" spans="1:10" x14ac:dyDescent="0.2">
      <c r="A7" s="81" t="s">
        <v>49</v>
      </c>
      <c r="B7" s="82">
        <f>B4/(B5*730)</f>
        <v>0.38638698630136986</v>
      </c>
    </row>
    <row r="8" spans="1:10" x14ac:dyDescent="0.2">
      <c r="A8" s="15" t="s">
        <v>15</v>
      </c>
      <c r="B8" s="79">
        <f>VLOOKUP($B$3,'Data for Bill Impacts'!$A$3:$Y$15,4,0)</f>
        <v>0</v>
      </c>
    </row>
    <row r="9" spans="1:10" x14ac:dyDescent="0.2">
      <c r="A9" s="15" t="s">
        <v>82</v>
      </c>
      <c r="B9" s="79">
        <f>B4*B6</f>
        <v>38306.343999999997</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3" t="s">
        <v>50</v>
      </c>
    </row>
    <row r="13" spans="1:10" x14ac:dyDescent="0.2">
      <c r="A13" s="101" t="s">
        <v>31</v>
      </c>
      <c r="B13" s="102">
        <f>B9</f>
        <v>38306.343999999997</v>
      </c>
      <c r="C13" s="103">
        <v>0.10299999999999999</v>
      </c>
      <c r="D13" s="104">
        <f>B13*C13</f>
        <v>3945.5534319999997</v>
      </c>
      <c r="E13" s="102">
        <f>B13</f>
        <v>38306.343999999997</v>
      </c>
      <c r="F13" s="103">
        <f>C13</f>
        <v>0.10299999999999999</v>
      </c>
      <c r="G13" s="104">
        <f>E13*F13</f>
        <v>3945.5534319999997</v>
      </c>
      <c r="H13" s="104">
        <f>G13-D13</f>
        <v>0</v>
      </c>
      <c r="I13" s="105">
        <f>IF(ISERROR(H13/D13),0,(H13/D13))</f>
        <v>0</v>
      </c>
      <c r="J13" s="124">
        <f t="shared" ref="J13:J38" si="0">G13/$G$38</f>
        <v>0.4741784959662167</v>
      </c>
    </row>
    <row r="14" spans="1:10" x14ac:dyDescent="0.2">
      <c r="A14" s="107" t="s">
        <v>32</v>
      </c>
      <c r="B14" s="73">
        <v>0</v>
      </c>
      <c r="C14" s="21">
        <v>0.121</v>
      </c>
      <c r="D14" s="22">
        <f>B14*C14</f>
        <v>0</v>
      </c>
      <c r="E14" s="73">
        <f t="shared" ref="E14" si="1">B14</f>
        <v>0</v>
      </c>
      <c r="F14" s="21">
        <f>C14</f>
        <v>0.121</v>
      </c>
      <c r="G14" s="22">
        <f>E14*F14</f>
        <v>0</v>
      </c>
      <c r="H14" s="22">
        <f t="shared" ref="H14:H38" si="2">G14-D14</f>
        <v>0</v>
      </c>
      <c r="I14" s="23">
        <f t="shared" ref="I14:I33" si="3">IF(ISERROR(H14/D14),0,(H14/D14))</f>
        <v>0</v>
      </c>
      <c r="J14" s="125">
        <f t="shared" si="0"/>
        <v>0</v>
      </c>
    </row>
    <row r="15" spans="1:10" s="1" customFormat="1" x14ac:dyDescent="0.2">
      <c r="A15" s="46" t="s">
        <v>33</v>
      </c>
      <c r="B15" s="24"/>
      <c r="C15" s="25"/>
      <c r="D15" s="25">
        <f>SUM(D13:D14)</f>
        <v>3945.5534319999997</v>
      </c>
      <c r="E15" s="76"/>
      <c r="F15" s="25"/>
      <c r="G15" s="25">
        <f>SUM(G13:G14)</f>
        <v>3945.5534319999997</v>
      </c>
      <c r="H15" s="25">
        <f t="shared" si="2"/>
        <v>0</v>
      </c>
      <c r="I15" s="27">
        <f t="shared" si="3"/>
        <v>0</v>
      </c>
      <c r="J15" s="47">
        <f t="shared" si="0"/>
        <v>0.4741784959662167</v>
      </c>
    </row>
    <row r="16" spans="1:10" s="1" customFormat="1" x14ac:dyDescent="0.2">
      <c r="A16" s="107" t="s">
        <v>38</v>
      </c>
      <c r="B16" s="73">
        <v>1</v>
      </c>
      <c r="C16" s="78">
        <f>VLOOKUP($B$3,'Data for Bill Impacts'!$A$3:$Y$15,7,0)</f>
        <v>106.28</v>
      </c>
      <c r="D16" s="22">
        <f>B16*C16</f>
        <v>106.28</v>
      </c>
      <c r="E16" s="73">
        <f t="shared" ref="E16:E33" si="4">B16</f>
        <v>1</v>
      </c>
      <c r="F16" s="78">
        <f>VLOOKUP($B$3,'Data for Bill Impacts'!$A$3:$Y$15,17,0)</f>
        <v>107.62</v>
      </c>
      <c r="G16" s="22">
        <f>E16*F16</f>
        <v>107.62</v>
      </c>
      <c r="H16" s="22">
        <f t="shared" si="2"/>
        <v>1.3400000000000034</v>
      </c>
      <c r="I16" s="23">
        <f t="shared" si="3"/>
        <v>1.2608204742190472E-2</v>
      </c>
      <c r="J16" s="125">
        <f t="shared" si="0"/>
        <v>1.2933823002370696E-2</v>
      </c>
    </row>
    <row r="17" spans="1:10" hidden="1" x14ac:dyDescent="0.2">
      <c r="A17" s="107" t="s">
        <v>83</v>
      </c>
      <c r="B17" s="73">
        <v>1</v>
      </c>
      <c r="C17" s="78">
        <v>0</v>
      </c>
      <c r="D17" s="22">
        <f>B17*C17</f>
        <v>0</v>
      </c>
      <c r="E17" s="73">
        <f t="shared" si="4"/>
        <v>1</v>
      </c>
      <c r="F17" s="78">
        <v>0</v>
      </c>
      <c r="G17" s="22">
        <f t="shared" ref="G17:G19" si="5">E17*F17</f>
        <v>0</v>
      </c>
      <c r="H17" s="22">
        <f t="shared" si="2"/>
        <v>0</v>
      </c>
      <c r="I17" s="23">
        <f t="shared" si="3"/>
        <v>0</v>
      </c>
      <c r="J17" s="125">
        <f t="shared" si="0"/>
        <v>0</v>
      </c>
    </row>
    <row r="18" spans="1:10" hidden="1" x14ac:dyDescent="0.2">
      <c r="A18" s="107" t="s">
        <v>84</v>
      </c>
      <c r="B18" s="73">
        <v>1</v>
      </c>
      <c r="C18" s="78">
        <v>0</v>
      </c>
      <c r="D18" s="22">
        <f t="shared" ref="D18:D19" si="6">B18*C18</f>
        <v>0</v>
      </c>
      <c r="E18" s="73">
        <f t="shared" si="4"/>
        <v>1</v>
      </c>
      <c r="F18" s="78">
        <v>0</v>
      </c>
      <c r="G18" s="22">
        <f t="shared" si="5"/>
        <v>0</v>
      </c>
      <c r="H18" s="22">
        <f t="shared" si="2"/>
        <v>0</v>
      </c>
      <c r="I18" s="23">
        <f t="shared" si="3"/>
        <v>0</v>
      </c>
      <c r="J18" s="125">
        <f t="shared" si="0"/>
        <v>0</v>
      </c>
    </row>
    <row r="19" spans="1:10" x14ac:dyDescent="0.2">
      <c r="A19" s="107" t="s">
        <v>85</v>
      </c>
      <c r="B19" s="73">
        <v>1</v>
      </c>
      <c r="C19" s="122">
        <f>VLOOKUP($B$3,'Data for Bill Impacts'!$A$3:$Y$15,13,0)</f>
        <v>-0.02</v>
      </c>
      <c r="D19" s="22">
        <f t="shared" si="6"/>
        <v>-0.02</v>
      </c>
      <c r="E19" s="73">
        <f t="shared" si="4"/>
        <v>1</v>
      </c>
      <c r="F19" s="122">
        <f>VLOOKUP($B$3,'Data for Bill Impacts'!$A$3:$Y$15,22,0)</f>
        <v>-0.02</v>
      </c>
      <c r="G19" s="22">
        <f t="shared" si="5"/>
        <v>-0.02</v>
      </c>
      <c r="H19" s="22">
        <f t="shared" si="2"/>
        <v>0</v>
      </c>
      <c r="I19" s="23">
        <f t="shared" si="3"/>
        <v>0</v>
      </c>
      <c r="J19" s="125">
        <f t="shared" si="0"/>
        <v>-2.4036095525684253E-6</v>
      </c>
    </row>
    <row r="20" spans="1:10" x14ac:dyDescent="0.2">
      <c r="A20" s="107" t="s">
        <v>39</v>
      </c>
      <c r="B20" s="73">
        <f>IF($B$10="kWh",$B$4,$B$5)</f>
        <v>128</v>
      </c>
      <c r="C20" s="78">
        <f>VLOOKUP($B$3,'Data for Bill Impacts'!$A$3:$Y$15,10,0)</f>
        <v>17.8734</v>
      </c>
      <c r="D20" s="22">
        <f>B20*C20</f>
        <v>2287.7952</v>
      </c>
      <c r="E20" s="73">
        <f t="shared" si="4"/>
        <v>128</v>
      </c>
      <c r="F20" s="78">
        <f>VLOOKUP($B$3,'Data for Bill Impacts'!$A$3:$Y$15,19,0)</f>
        <v>18.352900000000002</v>
      </c>
      <c r="G20" s="22">
        <f>E20*F20</f>
        <v>2349.1712000000002</v>
      </c>
      <c r="H20" s="22">
        <f t="shared" si="2"/>
        <v>61.376000000000204</v>
      </c>
      <c r="I20" s="23">
        <f t="shared" si="3"/>
        <v>2.6827576174650689E-2</v>
      </c>
      <c r="J20" s="125">
        <f t="shared" si="0"/>
        <v>0.28232451684693155</v>
      </c>
    </row>
    <row r="21" spans="1:10" s="1" customFormat="1" x14ac:dyDescent="0.2">
      <c r="A21" s="107" t="s">
        <v>194</v>
      </c>
      <c r="B21" s="73">
        <f>IF($B$10="kWh",$B$4,$B$5)</f>
        <v>128</v>
      </c>
      <c r="C21" s="126">
        <f>VLOOKUP($B$3,'Data for Bill Impacts'!$A$3:$Y$15,14,0)</f>
        <v>4.7E-2</v>
      </c>
      <c r="D21" s="22">
        <f>B21*C21</f>
        <v>6.016</v>
      </c>
      <c r="E21" s="73">
        <f>B21</f>
        <v>128</v>
      </c>
      <c r="F21" s="126">
        <f>VLOOKUP($B$3,'Data for Bill Impacts'!$A$3:$Y$15,23,0)</f>
        <v>4.7E-2</v>
      </c>
      <c r="G21" s="22">
        <f>E21*F21</f>
        <v>6.016</v>
      </c>
      <c r="H21" s="22">
        <f>G21-D21</f>
        <v>0</v>
      </c>
      <c r="I21" s="23">
        <f>IF(ISERROR(H21/D21),0,(H21/D21))</f>
        <v>0</v>
      </c>
      <c r="J21" s="125">
        <f t="shared" si="0"/>
        <v>7.230057534125823E-4</v>
      </c>
    </row>
    <row r="22" spans="1:10" s="1" customFormat="1" x14ac:dyDescent="0.2">
      <c r="A22" s="107" t="s">
        <v>147</v>
      </c>
      <c r="B22" s="73">
        <f>B9</f>
        <v>38306.343999999997</v>
      </c>
      <c r="C22" s="126">
        <f>VLOOKUP($B$3,'Data for Bill Impacts'!$A$3:$Y$15,20,0)</f>
        <v>1.9E-3</v>
      </c>
      <c r="D22" s="22">
        <f>B22*C22</f>
        <v>72.782053599999998</v>
      </c>
      <c r="E22" s="73">
        <f t="shared" si="4"/>
        <v>38306.343999999997</v>
      </c>
      <c r="F22" s="126">
        <f>VLOOKUP($B$3,'Data for Bill Impacts'!$A$3:$Y$15,21,0)</f>
        <v>1.9E-3</v>
      </c>
      <c r="G22" s="22">
        <f>E22*F22</f>
        <v>72.782053599999998</v>
      </c>
      <c r="H22" s="22">
        <f t="shared" si="2"/>
        <v>0</v>
      </c>
      <c r="I22" s="23">
        <f>IF(ISERROR(H22/D22),0,(H22/D22))</f>
        <v>0</v>
      </c>
      <c r="J22" s="125">
        <f t="shared" si="0"/>
        <v>8.7469819644253564E-3</v>
      </c>
    </row>
    <row r="23" spans="1:10" x14ac:dyDescent="0.2">
      <c r="A23" s="110" t="s">
        <v>97</v>
      </c>
      <c r="B23" s="74"/>
      <c r="C23" s="35"/>
      <c r="D23" s="35">
        <f>SUM(D16:D22)</f>
        <v>2472.8532536000002</v>
      </c>
      <c r="E23" s="73"/>
      <c r="F23" s="35"/>
      <c r="G23" s="35">
        <f>SUM(G16:G22)</f>
        <v>2535.5692536000001</v>
      </c>
      <c r="H23" s="35">
        <f t="shared" si="2"/>
        <v>62.715999999999894</v>
      </c>
      <c r="I23" s="36">
        <f t="shared" si="3"/>
        <v>2.5361796098776757E-2</v>
      </c>
      <c r="J23" s="111">
        <f t="shared" si="0"/>
        <v>0.30472592395758763</v>
      </c>
    </row>
    <row r="24" spans="1:10" x14ac:dyDescent="0.2">
      <c r="A24" s="107" t="s">
        <v>40</v>
      </c>
      <c r="B24" s="73">
        <f>B5</f>
        <v>128</v>
      </c>
      <c r="C24" s="126">
        <f>VLOOKUP($B$3,'Data for Bill Impacts'!$A$3:$Y$15,15,0)</f>
        <v>1.6718177000000001</v>
      </c>
      <c r="D24" s="22">
        <f>B24*C24</f>
        <v>213.99266560000001</v>
      </c>
      <c r="E24" s="73">
        <f t="shared" si="4"/>
        <v>128</v>
      </c>
      <c r="F24" s="78">
        <f>VLOOKUP($B$3,'Data for Bill Impacts'!$A$3:$Y$15,24,0)</f>
        <v>1.5908</v>
      </c>
      <c r="G24" s="22">
        <f>E24*F24</f>
        <v>203.6224</v>
      </c>
      <c r="H24" s="22">
        <f t="shared" si="2"/>
        <v>-10.37026560000001</v>
      </c>
      <c r="I24" s="23">
        <f t="shared" si="3"/>
        <v>-4.8460845940319977E-2</v>
      </c>
      <c r="J24" s="125">
        <f t="shared" si="0"/>
        <v>2.4471437287845444E-2</v>
      </c>
    </row>
    <row r="25" spans="1:10" s="1" customFormat="1" x14ac:dyDescent="0.2">
      <c r="A25" s="107" t="s">
        <v>41</v>
      </c>
      <c r="B25" s="73">
        <f>B5</f>
        <v>128</v>
      </c>
      <c r="C25" s="126">
        <f>VLOOKUP($B$3,'Data for Bill Impacts'!$A$3:$Y$15,16,0)</f>
        <v>1.2769135</v>
      </c>
      <c r="D25" s="22">
        <f>B25*C25</f>
        <v>163.444928</v>
      </c>
      <c r="E25" s="73">
        <f t="shared" si="4"/>
        <v>128</v>
      </c>
      <c r="F25" s="126">
        <f>VLOOKUP($B$3,'Data for Bill Impacts'!$A$3:$Y$15,25,0)</f>
        <v>1.2918000000000001</v>
      </c>
      <c r="G25" s="22">
        <f>E25*F25</f>
        <v>165.35040000000001</v>
      </c>
      <c r="H25" s="22">
        <f t="shared" si="2"/>
        <v>1.9054720000000032</v>
      </c>
      <c r="I25" s="23">
        <f t="shared" si="3"/>
        <v>1.1658189846062419E-2</v>
      </c>
      <c r="J25" s="125">
        <f t="shared" si="0"/>
        <v>1.9871890048050508E-2</v>
      </c>
    </row>
    <row r="26" spans="1:10" x14ac:dyDescent="0.2">
      <c r="A26" s="110" t="s">
        <v>76</v>
      </c>
      <c r="B26" s="74"/>
      <c r="C26" s="35"/>
      <c r="D26" s="35">
        <f>SUM(D24:D25)</f>
        <v>377.43759360000001</v>
      </c>
      <c r="E26" s="73"/>
      <c r="F26" s="35"/>
      <c r="G26" s="35">
        <f>SUM(G24:G25)</f>
        <v>368.97280000000001</v>
      </c>
      <c r="H26" s="35">
        <f t="shared" si="2"/>
        <v>-8.4647936000000072</v>
      </c>
      <c r="I26" s="36">
        <f t="shared" si="3"/>
        <v>-2.2427001823699649E-2</v>
      </c>
      <c r="J26" s="111">
        <f t="shared" si="0"/>
        <v>4.4343327335895952E-2</v>
      </c>
    </row>
    <row r="27" spans="1:10" s="1" customFormat="1" x14ac:dyDescent="0.2">
      <c r="A27" s="110" t="s">
        <v>80</v>
      </c>
      <c r="B27" s="74"/>
      <c r="C27" s="35"/>
      <c r="D27" s="35">
        <f>D23+D26</f>
        <v>2850.2908472000004</v>
      </c>
      <c r="E27" s="73"/>
      <c r="F27" s="35"/>
      <c r="G27" s="35">
        <f>G23+G26</f>
        <v>2904.5420536000001</v>
      </c>
      <c r="H27" s="35">
        <f t="shared" si="2"/>
        <v>54.251206399999774</v>
      </c>
      <c r="I27" s="36">
        <f t="shared" si="3"/>
        <v>1.9033568610478387E-2</v>
      </c>
      <c r="J27" s="111">
        <f t="shared" si="0"/>
        <v>0.34906925129348354</v>
      </c>
    </row>
    <row r="28" spans="1:10" x14ac:dyDescent="0.2">
      <c r="A28" s="107" t="s">
        <v>42</v>
      </c>
      <c r="B28" s="73">
        <f>B9</f>
        <v>38306.343999999997</v>
      </c>
      <c r="C28" s="34">
        <v>3.5999999999999999E-3</v>
      </c>
      <c r="D28" s="22">
        <f>B28*C28</f>
        <v>137.90283839999998</v>
      </c>
      <c r="E28" s="73">
        <f t="shared" si="4"/>
        <v>38306.343999999997</v>
      </c>
      <c r="F28" s="34">
        <v>3.5999999999999999E-3</v>
      </c>
      <c r="G28" s="22">
        <f>E28*F28</f>
        <v>137.90283839999998</v>
      </c>
      <c r="H28" s="22">
        <f t="shared" si="2"/>
        <v>0</v>
      </c>
      <c r="I28" s="23">
        <f t="shared" si="3"/>
        <v>0</v>
      </c>
      <c r="J28" s="125">
        <f t="shared" si="0"/>
        <v>1.6573228985226989E-2</v>
      </c>
    </row>
    <row r="29" spans="1:10" x14ac:dyDescent="0.2">
      <c r="A29" s="107" t="s">
        <v>43</v>
      </c>
      <c r="B29" s="73">
        <f>B9</f>
        <v>38306.343999999997</v>
      </c>
      <c r="C29" s="34">
        <v>2.0999999999999999E-3</v>
      </c>
      <c r="D29" s="22">
        <f>B29*C29</f>
        <v>80.443322399999985</v>
      </c>
      <c r="E29" s="73">
        <f t="shared" si="4"/>
        <v>38306.343999999997</v>
      </c>
      <c r="F29" s="34">
        <v>2.0999999999999999E-3</v>
      </c>
      <c r="G29" s="22">
        <f>E29*F29</f>
        <v>80.443322399999985</v>
      </c>
      <c r="H29" s="22">
        <f>G29-D29</f>
        <v>0</v>
      </c>
      <c r="I29" s="23">
        <f t="shared" si="3"/>
        <v>0</v>
      </c>
      <c r="J29" s="125">
        <f t="shared" si="0"/>
        <v>9.6677169080490767E-3</v>
      </c>
    </row>
    <row r="30" spans="1:10" x14ac:dyDescent="0.2">
      <c r="A30" s="107" t="s">
        <v>100</v>
      </c>
      <c r="B30" s="73">
        <f>B9</f>
        <v>38306.343999999997</v>
      </c>
      <c r="C30" s="34">
        <v>1.1000000000000001E-3</v>
      </c>
      <c r="D30" s="22">
        <f>B30*C30</f>
        <v>42.136978399999997</v>
      </c>
      <c r="E30" s="73">
        <f t="shared" si="4"/>
        <v>38306.343999999997</v>
      </c>
      <c r="F30" s="34">
        <v>1.1000000000000001E-3</v>
      </c>
      <c r="G30" s="22">
        <f>E30*F30</f>
        <v>42.136978399999997</v>
      </c>
      <c r="H30" s="22">
        <f>G30-D30</f>
        <v>0</v>
      </c>
      <c r="I30" s="23">
        <f t="shared" si="3"/>
        <v>0</v>
      </c>
      <c r="J30" s="125">
        <f t="shared" si="0"/>
        <v>5.0640421899304693E-3</v>
      </c>
    </row>
    <row r="31" spans="1:10" x14ac:dyDescent="0.2">
      <c r="A31" s="107" t="s">
        <v>44</v>
      </c>
      <c r="B31" s="73">
        <v>1</v>
      </c>
      <c r="C31" s="22">
        <v>0.25</v>
      </c>
      <c r="D31" s="22">
        <f>B31*C31</f>
        <v>0.25</v>
      </c>
      <c r="E31" s="73">
        <f t="shared" si="4"/>
        <v>1</v>
      </c>
      <c r="F31" s="22">
        <f>C31</f>
        <v>0.25</v>
      </c>
      <c r="G31" s="22">
        <f>E31*F31</f>
        <v>0.25</v>
      </c>
      <c r="H31" s="22">
        <f t="shared" si="2"/>
        <v>0</v>
      </c>
      <c r="I31" s="23">
        <f t="shared" si="3"/>
        <v>0</v>
      </c>
      <c r="J31" s="125">
        <f t="shared" si="0"/>
        <v>3.0045119407105315E-5</v>
      </c>
    </row>
    <row r="32" spans="1:10" x14ac:dyDescent="0.2">
      <c r="A32" s="110" t="s">
        <v>45</v>
      </c>
      <c r="B32" s="74"/>
      <c r="C32" s="35"/>
      <c r="D32" s="35">
        <f>SUM(D28:D31)</f>
        <v>260.73313919999993</v>
      </c>
      <c r="E32" s="73"/>
      <c r="F32" s="35"/>
      <c r="G32" s="35">
        <f>SUM(G28:G31)</f>
        <v>260.73313919999993</v>
      </c>
      <c r="H32" s="35">
        <f t="shared" si="2"/>
        <v>0</v>
      </c>
      <c r="I32" s="36">
        <f t="shared" si="3"/>
        <v>0</v>
      </c>
      <c r="J32" s="111">
        <f t="shared" si="0"/>
        <v>3.1335033202613639E-2</v>
      </c>
    </row>
    <row r="33" spans="1:10" ht="13.5" thickBot="1" x14ac:dyDescent="0.25">
      <c r="A33" s="112" t="s">
        <v>46</v>
      </c>
      <c r="B33" s="113">
        <f>B4</f>
        <v>36104</v>
      </c>
      <c r="C33" s="114">
        <v>7.0000000000000001E-3</v>
      </c>
      <c r="D33" s="115">
        <f>B33*C33</f>
        <v>252.72800000000001</v>
      </c>
      <c r="E33" s="116">
        <f t="shared" si="4"/>
        <v>36104</v>
      </c>
      <c r="F33" s="114">
        <f>C33</f>
        <v>7.0000000000000001E-3</v>
      </c>
      <c r="G33" s="115">
        <f>E33*F33</f>
        <v>252.72800000000001</v>
      </c>
      <c r="H33" s="115">
        <f t="shared" si="2"/>
        <v>0</v>
      </c>
      <c r="I33" s="117">
        <f t="shared" si="3"/>
        <v>0</v>
      </c>
      <c r="J33" s="118">
        <f t="shared" si="0"/>
        <v>3.037297175007565E-2</v>
      </c>
    </row>
    <row r="34" spans="1:10" x14ac:dyDescent="0.2">
      <c r="A34" s="37" t="s">
        <v>146</v>
      </c>
      <c r="B34" s="38"/>
      <c r="C34" s="39"/>
      <c r="D34" s="39">
        <f>SUM(D15,D23,D26,D32,D33)</f>
        <v>7309.3054183999993</v>
      </c>
      <c r="E34" s="38"/>
      <c r="F34" s="39"/>
      <c r="G34" s="39">
        <f>SUM(G15,G23,G26,G32,G33)</f>
        <v>7363.5566247999986</v>
      </c>
      <c r="H34" s="39">
        <f t="shared" si="2"/>
        <v>54.251206399999319</v>
      </c>
      <c r="I34" s="40">
        <f>IF(ISERROR(H34/D34),0,(H34/D34))</f>
        <v>7.4222109071308802E-3</v>
      </c>
      <c r="J34" s="41">
        <f t="shared" si="0"/>
        <v>0.88495575221238942</v>
      </c>
    </row>
    <row r="35" spans="1:10" x14ac:dyDescent="0.2">
      <c r="A35" s="46" t="s">
        <v>138</v>
      </c>
      <c r="B35" s="43"/>
      <c r="C35" s="26">
        <v>0.13</v>
      </c>
      <c r="D35" s="26">
        <f>D34*C35</f>
        <v>950.20970439199994</v>
      </c>
      <c r="E35" s="26"/>
      <c r="F35" s="26">
        <f>C35</f>
        <v>0.13</v>
      </c>
      <c r="G35" s="26">
        <f>G34*F35</f>
        <v>957.26236122399985</v>
      </c>
      <c r="H35" s="26">
        <f t="shared" si="2"/>
        <v>7.0526568319999114</v>
      </c>
      <c r="I35" s="44">
        <f t="shared" ref="I35:I38" si="7">IF(ISERROR(H35/D35),0,(H35/D35))</f>
        <v>7.4222109071308802E-3</v>
      </c>
      <c r="J35" s="45">
        <f t="shared" si="0"/>
        <v>0.11504424778761063</v>
      </c>
    </row>
    <row r="36" spans="1:10" x14ac:dyDescent="0.2">
      <c r="A36" s="46" t="s">
        <v>139</v>
      </c>
      <c r="B36" s="24"/>
      <c r="C36" s="25"/>
      <c r="D36" s="25">
        <f>SUM(D34:D35)</f>
        <v>8259.5151227919996</v>
      </c>
      <c r="E36" s="25"/>
      <c r="F36" s="25"/>
      <c r="G36" s="25">
        <f>SUM(G34:G35)</f>
        <v>8320.8189860239981</v>
      </c>
      <c r="H36" s="25">
        <f t="shared" si="2"/>
        <v>61.303863231998548</v>
      </c>
      <c r="I36" s="27">
        <f t="shared" si="7"/>
        <v>7.4222109071307978E-3</v>
      </c>
      <c r="J36" s="47">
        <f t="shared" si="0"/>
        <v>1</v>
      </c>
    </row>
    <row r="37" spans="1:10" x14ac:dyDescent="0.2">
      <c r="A37" s="46" t="s">
        <v>140</v>
      </c>
      <c r="B37" s="43"/>
      <c r="C37" s="26">
        <v>0</v>
      </c>
      <c r="D37" s="26">
        <f>D34*C37</f>
        <v>0</v>
      </c>
      <c r="E37" s="26"/>
      <c r="F37" s="26">
        <v>0</v>
      </c>
      <c r="G37" s="26">
        <f>G34*F37</f>
        <v>0</v>
      </c>
      <c r="H37" s="26">
        <f t="shared" si="2"/>
        <v>0</v>
      </c>
      <c r="I37" s="44">
        <f t="shared" si="7"/>
        <v>0</v>
      </c>
      <c r="J37" s="45">
        <f t="shared" si="0"/>
        <v>0</v>
      </c>
    </row>
    <row r="38" spans="1:10" ht="13.5" thickBot="1" x14ac:dyDescent="0.25">
      <c r="A38" s="48" t="s">
        <v>141</v>
      </c>
      <c r="B38" s="49"/>
      <c r="C38" s="50"/>
      <c r="D38" s="50">
        <f>SUM(D36:D37)</f>
        <v>8259.5151227919996</v>
      </c>
      <c r="E38" s="50"/>
      <c r="F38" s="50"/>
      <c r="G38" s="50">
        <f>SUM(G36:G37)</f>
        <v>8320.8189860239981</v>
      </c>
      <c r="H38" s="50">
        <f t="shared" si="2"/>
        <v>61.303863231998548</v>
      </c>
      <c r="I38" s="51">
        <f t="shared" si="7"/>
        <v>7.4222109071307978E-3</v>
      </c>
      <c r="J38" s="52">
        <f t="shared" si="0"/>
        <v>1</v>
      </c>
    </row>
    <row r="39" spans="1:10" x14ac:dyDescent="0.2">
      <c r="F39" s="69"/>
    </row>
    <row r="40" spans="1:10" x14ac:dyDescent="0.2">
      <c r="F40" s="69"/>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tabColor theme="1" tint="0.499984740745262"/>
    <pageSetUpPr fitToPage="1"/>
  </sheetPr>
  <dimension ref="A1:J40"/>
  <sheetViews>
    <sheetView view="pageBreakPreview" topLeftCell="A7" zoomScaleNormal="100" zoomScaleSheetLayoutView="100" workbookViewId="0">
      <selection activeCell="C19" sqref="C19"/>
    </sheetView>
  </sheetViews>
  <sheetFormatPr defaultRowHeight="12.75" x14ac:dyDescent="0.2"/>
  <cols>
    <col min="1" max="1" width="64.710937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48" t="s">
        <v>111</v>
      </c>
      <c r="B1" s="349"/>
      <c r="C1" s="349"/>
      <c r="D1" s="349"/>
      <c r="E1" s="349"/>
      <c r="F1" s="349"/>
      <c r="G1" s="349"/>
      <c r="H1" s="349"/>
      <c r="I1" s="349"/>
      <c r="J1" s="350"/>
    </row>
    <row r="3" spans="1:10" x14ac:dyDescent="0.2">
      <c r="A3" s="13" t="s">
        <v>13</v>
      </c>
      <c r="B3" s="13" t="s">
        <v>5</v>
      </c>
    </row>
    <row r="4" spans="1:10" x14ac:dyDescent="0.2">
      <c r="A4" s="15" t="s">
        <v>62</v>
      </c>
      <c r="B4" s="79">
        <v>175000</v>
      </c>
    </row>
    <row r="5" spans="1:10" x14ac:dyDescent="0.2">
      <c r="A5" s="15" t="s">
        <v>16</v>
      </c>
      <c r="B5" s="79">
        <v>500</v>
      </c>
    </row>
    <row r="6" spans="1:10" x14ac:dyDescent="0.2">
      <c r="A6" s="15" t="s">
        <v>20</v>
      </c>
      <c r="B6" s="80">
        <f>VLOOKUP($B$3,'Data for Bill Impacts'!$A$3:$Y$15,2,0)</f>
        <v>1.0609999999999999</v>
      </c>
    </row>
    <row r="7" spans="1:10" x14ac:dyDescent="0.2">
      <c r="A7" s="81" t="s">
        <v>49</v>
      </c>
      <c r="B7" s="82">
        <f>B4/(B5*730)</f>
        <v>0.47945205479452052</v>
      </c>
    </row>
    <row r="8" spans="1:10" x14ac:dyDescent="0.2">
      <c r="A8" s="15" t="s">
        <v>15</v>
      </c>
      <c r="B8" s="79">
        <f>VLOOKUP($B$3,'Data for Bill Impacts'!$A$3:$Y$15,4,0)</f>
        <v>0</v>
      </c>
    </row>
    <row r="9" spans="1:10" x14ac:dyDescent="0.2">
      <c r="A9" s="15" t="s">
        <v>82</v>
      </c>
      <c r="B9" s="79">
        <f>B4*B6</f>
        <v>185675</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3" t="s">
        <v>50</v>
      </c>
    </row>
    <row r="13" spans="1:10" x14ac:dyDescent="0.2">
      <c r="A13" s="101" t="s">
        <v>31</v>
      </c>
      <c r="B13" s="102">
        <f>B9</f>
        <v>185675</v>
      </c>
      <c r="C13" s="103">
        <v>0.10299999999999999</v>
      </c>
      <c r="D13" s="104">
        <f>B13*C13</f>
        <v>19124.524999999998</v>
      </c>
      <c r="E13" s="102">
        <f>B13</f>
        <v>185675</v>
      </c>
      <c r="F13" s="103">
        <f>C13</f>
        <v>0.10299999999999999</v>
      </c>
      <c r="G13" s="104">
        <f>E13*F13</f>
        <v>19124.524999999998</v>
      </c>
      <c r="H13" s="104">
        <f>G13-D13</f>
        <v>0</v>
      </c>
      <c r="I13" s="105">
        <f>IF(ISERROR(H13/D13),0,(H13/D13))</f>
        <v>0</v>
      </c>
      <c r="J13" s="124">
        <f t="shared" ref="J13:J29" si="0">G13/$G$38</f>
        <v>0.51734302440659063</v>
      </c>
    </row>
    <row r="14" spans="1:10" x14ac:dyDescent="0.2">
      <c r="A14" s="107" t="s">
        <v>32</v>
      </c>
      <c r="B14" s="73">
        <v>0</v>
      </c>
      <c r="C14" s="21">
        <v>0.121</v>
      </c>
      <c r="D14" s="22">
        <f>B14*C14</f>
        <v>0</v>
      </c>
      <c r="E14" s="73">
        <f t="shared" ref="E14" si="1">B14</f>
        <v>0</v>
      </c>
      <c r="F14" s="21">
        <f>C14</f>
        <v>0.121</v>
      </c>
      <c r="G14" s="22">
        <f>E14*F14</f>
        <v>0</v>
      </c>
      <c r="H14" s="22">
        <f t="shared" ref="H14:H38" si="2">G14-D14</f>
        <v>0</v>
      </c>
      <c r="I14" s="23">
        <f t="shared" ref="I14:I33" si="3">IF(ISERROR(H14/D14),0,(H14/D14))</f>
        <v>0</v>
      </c>
      <c r="J14" s="125">
        <f t="shared" si="0"/>
        <v>0</v>
      </c>
    </row>
    <row r="15" spans="1:10" s="1" customFormat="1" x14ac:dyDescent="0.2">
      <c r="A15" s="46" t="s">
        <v>33</v>
      </c>
      <c r="B15" s="24"/>
      <c r="C15" s="25"/>
      <c r="D15" s="25">
        <f>SUM(D13:D14)</f>
        <v>19124.524999999998</v>
      </c>
      <c r="E15" s="76"/>
      <c r="F15" s="25"/>
      <c r="G15" s="25">
        <f>SUM(G13:G14)</f>
        <v>19124.524999999998</v>
      </c>
      <c r="H15" s="25">
        <f t="shared" si="2"/>
        <v>0</v>
      </c>
      <c r="I15" s="27">
        <f t="shared" si="3"/>
        <v>0</v>
      </c>
      <c r="J15" s="47">
        <f t="shared" si="0"/>
        <v>0.51734302440659063</v>
      </c>
    </row>
    <row r="16" spans="1:10" s="1" customFormat="1" x14ac:dyDescent="0.2">
      <c r="A16" s="107" t="s">
        <v>38</v>
      </c>
      <c r="B16" s="73">
        <v>1</v>
      </c>
      <c r="C16" s="78">
        <f>VLOOKUP($B$3,'Data for Bill Impacts'!$A$3:$Y$15,7,0)</f>
        <v>106.28</v>
      </c>
      <c r="D16" s="22">
        <f>B16*C16</f>
        <v>106.28</v>
      </c>
      <c r="E16" s="73">
        <f t="shared" ref="E16:E31" si="4">B16</f>
        <v>1</v>
      </c>
      <c r="F16" s="78">
        <f>VLOOKUP($B$3,'Data for Bill Impacts'!$A$3:$Y$15,17,0)</f>
        <v>107.62</v>
      </c>
      <c r="G16" s="22">
        <f>E16*F16</f>
        <v>107.62</v>
      </c>
      <c r="H16" s="22">
        <f t="shared" si="2"/>
        <v>1.3400000000000034</v>
      </c>
      <c r="I16" s="23">
        <f t="shared" si="3"/>
        <v>1.2608204742190472E-2</v>
      </c>
      <c r="J16" s="125">
        <f t="shared" si="0"/>
        <v>2.9112595626106948E-3</v>
      </c>
    </row>
    <row r="17" spans="1:10" hidden="1" x14ac:dyDescent="0.2">
      <c r="A17" s="107" t="s">
        <v>83</v>
      </c>
      <c r="B17" s="73">
        <v>1</v>
      </c>
      <c r="C17" s="78">
        <v>0</v>
      </c>
      <c r="D17" s="22">
        <f>B17*C17</f>
        <v>0</v>
      </c>
      <c r="E17" s="73">
        <f t="shared" si="4"/>
        <v>1</v>
      </c>
      <c r="F17" s="78">
        <v>0</v>
      </c>
      <c r="G17" s="22">
        <f t="shared" ref="G17:G19" si="5">E17*F17</f>
        <v>0</v>
      </c>
      <c r="H17" s="22">
        <f t="shared" si="2"/>
        <v>0</v>
      </c>
      <c r="I17" s="23">
        <f t="shared" si="3"/>
        <v>0</v>
      </c>
      <c r="J17" s="125">
        <f t="shared" si="0"/>
        <v>0</v>
      </c>
    </row>
    <row r="18" spans="1:10" hidden="1" x14ac:dyDescent="0.2">
      <c r="A18" s="107" t="s">
        <v>84</v>
      </c>
      <c r="B18" s="73">
        <v>1</v>
      </c>
      <c r="C18" s="78">
        <v>0</v>
      </c>
      <c r="D18" s="22">
        <f t="shared" ref="D18:D19" si="6">B18*C18</f>
        <v>0</v>
      </c>
      <c r="E18" s="73">
        <f t="shared" si="4"/>
        <v>1</v>
      </c>
      <c r="F18" s="78">
        <v>0</v>
      </c>
      <c r="G18" s="22">
        <f t="shared" si="5"/>
        <v>0</v>
      </c>
      <c r="H18" s="22">
        <f t="shared" si="2"/>
        <v>0</v>
      </c>
      <c r="I18" s="23">
        <f t="shared" si="3"/>
        <v>0</v>
      </c>
      <c r="J18" s="125">
        <f t="shared" si="0"/>
        <v>0</v>
      </c>
    </row>
    <row r="19" spans="1:10" x14ac:dyDescent="0.2">
      <c r="A19" s="107" t="s">
        <v>85</v>
      </c>
      <c r="B19" s="73">
        <v>1</v>
      </c>
      <c r="C19" s="122">
        <f>VLOOKUP($B$3,'Data for Bill Impacts'!$A$3:$Y$15,13,0)</f>
        <v>-0.02</v>
      </c>
      <c r="D19" s="22">
        <f t="shared" si="6"/>
        <v>-0.02</v>
      </c>
      <c r="E19" s="73">
        <f t="shared" si="4"/>
        <v>1</v>
      </c>
      <c r="F19" s="122">
        <f>VLOOKUP($B$3,'Data for Bill Impacts'!$A$3:$Y$15,22,0)</f>
        <v>-0.02</v>
      </c>
      <c r="G19" s="22">
        <f t="shared" si="5"/>
        <v>-0.02</v>
      </c>
      <c r="H19" s="22">
        <f t="shared" si="2"/>
        <v>0</v>
      </c>
      <c r="I19" s="23">
        <f t="shared" si="3"/>
        <v>0</v>
      </c>
      <c r="J19" s="125">
        <f t="shared" si="0"/>
        <v>-5.4102575034578978E-7</v>
      </c>
    </row>
    <row r="20" spans="1:10" s="1" customFormat="1" x14ac:dyDescent="0.2">
      <c r="A20" s="107" t="s">
        <v>39</v>
      </c>
      <c r="B20" s="73">
        <f>IF($B$10="kWh",$B$4,$B$5)</f>
        <v>500</v>
      </c>
      <c r="C20" s="78">
        <f>VLOOKUP($B$3,'Data for Bill Impacts'!$A$3:$Y$15,10,0)</f>
        <v>17.8734</v>
      </c>
      <c r="D20" s="22">
        <f>B20*C20</f>
        <v>8936.7000000000007</v>
      </c>
      <c r="E20" s="73">
        <f>B20</f>
        <v>500</v>
      </c>
      <c r="F20" s="78">
        <f>VLOOKUP($B$3,'Data for Bill Impacts'!$A$3:$Y$15,19,0)</f>
        <v>18.352900000000002</v>
      </c>
      <c r="G20" s="22">
        <f>E20*F20</f>
        <v>9176.4500000000007</v>
      </c>
      <c r="H20" s="22">
        <f>G20-D20</f>
        <v>239.75</v>
      </c>
      <c r="I20" s="23">
        <f>IF(ISERROR(H20/D20),0,(H20/D20))</f>
        <v>2.6827576174650595E-2</v>
      </c>
      <c r="J20" s="125">
        <f t="shared" si="0"/>
        <v>0.24823478733803112</v>
      </c>
    </row>
    <row r="21" spans="1:10" s="1" customFormat="1" x14ac:dyDescent="0.2">
      <c r="A21" s="107" t="s">
        <v>194</v>
      </c>
      <c r="B21" s="73">
        <f>IF($B$10="kWh",$B$4,$B$5)</f>
        <v>500</v>
      </c>
      <c r="C21" s="126">
        <f>VLOOKUP($B$3,'Data for Bill Impacts'!$A$3:$Y$15,14,0)</f>
        <v>4.7E-2</v>
      </c>
      <c r="D21" s="22">
        <f>B21*C21</f>
        <v>23.5</v>
      </c>
      <c r="E21" s="73">
        <f>B21</f>
        <v>500</v>
      </c>
      <c r="F21" s="126">
        <f>VLOOKUP($B$3,'Data for Bill Impacts'!$A$3:$Y$15,23,0)</f>
        <v>4.7E-2</v>
      </c>
      <c r="G21" s="22">
        <f>E21*F21</f>
        <v>23.5</v>
      </c>
      <c r="H21" s="22">
        <f>G21-D21</f>
        <v>0</v>
      </c>
      <c r="I21" s="23">
        <f>IF(ISERROR(H21/D21),0,(H21/D21))</f>
        <v>0</v>
      </c>
      <c r="J21" s="125">
        <f t="shared" si="0"/>
        <v>6.3570525665630295E-4</v>
      </c>
    </row>
    <row r="22" spans="1:10" x14ac:dyDescent="0.2">
      <c r="A22" s="107" t="s">
        <v>147</v>
      </c>
      <c r="B22" s="73">
        <f>B9</f>
        <v>185675</v>
      </c>
      <c r="C22" s="126">
        <f>VLOOKUP($B$3,'Data for Bill Impacts'!$A$3:$Y$15,20,0)</f>
        <v>1.9E-3</v>
      </c>
      <c r="D22" s="22">
        <f>B22*C22</f>
        <v>352.78250000000003</v>
      </c>
      <c r="E22" s="73">
        <f t="shared" si="4"/>
        <v>185675</v>
      </c>
      <c r="F22" s="126">
        <f>VLOOKUP($B$3,'Data for Bill Impacts'!$A$3:$Y$15,21,0)</f>
        <v>1.9E-3</v>
      </c>
      <c r="G22" s="22">
        <f>E22*F22</f>
        <v>352.78250000000003</v>
      </c>
      <c r="H22" s="22">
        <f t="shared" si="2"/>
        <v>0</v>
      </c>
      <c r="I22" s="23">
        <f t="shared" si="3"/>
        <v>0</v>
      </c>
      <c r="J22" s="125">
        <f t="shared" si="0"/>
        <v>9.5432208385681783E-3</v>
      </c>
    </row>
    <row r="23" spans="1:10" x14ac:dyDescent="0.2">
      <c r="A23" s="110" t="s">
        <v>79</v>
      </c>
      <c r="B23" s="74"/>
      <c r="C23" s="202"/>
      <c r="D23" s="35">
        <f>SUM(D16:D22)</f>
        <v>9419.2425000000003</v>
      </c>
      <c r="E23" s="73"/>
      <c r="F23" s="35"/>
      <c r="G23" s="35">
        <f>SUM(G16:G22)</f>
        <v>9660.3325000000004</v>
      </c>
      <c r="H23" s="35">
        <f t="shared" si="2"/>
        <v>241.09000000000015</v>
      </c>
      <c r="I23" s="36">
        <f t="shared" si="3"/>
        <v>2.5595476493996214E-2</v>
      </c>
      <c r="J23" s="111">
        <f t="shared" si="0"/>
        <v>0.26132443197011596</v>
      </c>
    </row>
    <row r="24" spans="1:10" x14ac:dyDescent="0.2">
      <c r="A24" s="107" t="s">
        <v>40</v>
      </c>
      <c r="B24" s="73">
        <f>B5</f>
        <v>500</v>
      </c>
      <c r="C24" s="126">
        <f>VLOOKUP($B$3,'Data for Bill Impacts'!$A$3:$Y$15,15,0)</f>
        <v>1.6718177000000001</v>
      </c>
      <c r="D24" s="22">
        <f>B24*C24</f>
        <v>835.90885000000003</v>
      </c>
      <c r="E24" s="73">
        <f t="shared" si="4"/>
        <v>500</v>
      </c>
      <c r="F24" s="78">
        <f>VLOOKUP($B$3,'Data for Bill Impacts'!$A$3:$Y$15,24,0)</f>
        <v>1.5908</v>
      </c>
      <c r="G24" s="22">
        <f>E24*F24</f>
        <v>795.4</v>
      </c>
      <c r="H24" s="22">
        <f t="shared" si="2"/>
        <v>-40.508850000000052</v>
      </c>
      <c r="I24" s="23">
        <f t="shared" si="3"/>
        <v>-4.8460845940319991E-2</v>
      </c>
      <c r="J24" s="125">
        <f t="shared" si="0"/>
        <v>2.1516594091252058E-2</v>
      </c>
    </row>
    <row r="25" spans="1:10" s="1" customFormat="1" x14ac:dyDescent="0.2">
      <c r="A25" s="107" t="s">
        <v>41</v>
      </c>
      <c r="B25" s="73">
        <f>B5</f>
        <v>500</v>
      </c>
      <c r="C25" s="126">
        <f>VLOOKUP($B$3,'Data for Bill Impacts'!$A$3:$Y$15,16,0)</f>
        <v>1.2769135</v>
      </c>
      <c r="D25" s="22">
        <f>B25*C25</f>
        <v>638.45675000000006</v>
      </c>
      <c r="E25" s="73">
        <f t="shared" si="4"/>
        <v>500</v>
      </c>
      <c r="F25" s="126">
        <f>VLOOKUP($B$3,'Data for Bill Impacts'!$A$3:$Y$15,25,0)</f>
        <v>1.2918000000000001</v>
      </c>
      <c r="G25" s="22">
        <f>E25*F25</f>
        <v>645.9</v>
      </c>
      <c r="H25" s="22">
        <f t="shared" si="2"/>
        <v>7.4432499999999209</v>
      </c>
      <c r="I25" s="23">
        <f t="shared" si="3"/>
        <v>1.1658189846062275E-2</v>
      </c>
      <c r="J25" s="125">
        <f t="shared" si="0"/>
        <v>1.7472426607417279E-2</v>
      </c>
    </row>
    <row r="26" spans="1:10" x14ac:dyDescent="0.2">
      <c r="A26" s="110" t="s">
        <v>76</v>
      </c>
      <c r="B26" s="74"/>
      <c r="C26" s="35"/>
      <c r="D26" s="35">
        <f>SUM(D24:D25)</f>
        <v>1474.3656000000001</v>
      </c>
      <c r="E26" s="73"/>
      <c r="F26" s="35"/>
      <c r="G26" s="35">
        <f>SUM(G24:G25)</f>
        <v>1441.3</v>
      </c>
      <c r="H26" s="35">
        <f t="shared" si="2"/>
        <v>-33.065600000000131</v>
      </c>
      <c r="I26" s="36">
        <f t="shared" si="3"/>
        <v>-2.2427001823699718E-2</v>
      </c>
      <c r="J26" s="111">
        <f t="shared" si="0"/>
        <v>3.8989020698669337E-2</v>
      </c>
    </row>
    <row r="27" spans="1:10" s="1" customFormat="1" x14ac:dyDescent="0.2">
      <c r="A27" s="110" t="s">
        <v>80</v>
      </c>
      <c r="B27" s="74"/>
      <c r="C27" s="35"/>
      <c r="D27" s="35">
        <f>D23+D26</f>
        <v>10893.608100000001</v>
      </c>
      <c r="E27" s="73"/>
      <c r="F27" s="35"/>
      <c r="G27" s="35">
        <f>G23+G26</f>
        <v>11101.6325</v>
      </c>
      <c r="H27" s="35">
        <f t="shared" si="2"/>
        <v>208.02439999999842</v>
      </c>
      <c r="I27" s="36">
        <f t="shared" si="3"/>
        <v>1.909600548233403E-2</v>
      </c>
      <c r="J27" s="111">
        <f t="shared" si="0"/>
        <v>0.30031345266878529</v>
      </c>
    </row>
    <row r="28" spans="1:10" x14ac:dyDescent="0.2">
      <c r="A28" s="107" t="s">
        <v>42</v>
      </c>
      <c r="B28" s="73">
        <f>B9</f>
        <v>185675</v>
      </c>
      <c r="C28" s="34">
        <v>3.5999999999999999E-3</v>
      </c>
      <c r="D28" s="22">
        <f>B28*C28</f>
        <v>668.43</v>
      </c>
      <c r="E28" s="73">
        <f t="shared" si="4"/>
        <v>185675</v>
      </c>
      <c r="F28" s="34">
        <v>3.5999999999999999E-3</v>
      </c>
      <c r="G28" s="22">
        <f>E28*F28</f>
        <v>668.43</v>
      </c>
      <c r="H28" s="22">
        <f t="shared" si="2"/>
        <v>0</v>
      </c>
      <c r="I28" s="23">
        <f t="shared" si="3"/>
        <v>0</v>
      </c>
      <c r="J28" s="125">
        <f t="shared" si="0"/>
        <v>1.8081892115181811E-2</v>
      </c>
    </row>
    <row r="29" spans="1:10" x14ac:dyDescent="0.2">
      <c r="A29" s="107" t="s">
        <v>43</v>
      </c>
      <c r="B29" s="73">
        <f>B9</f>
        <v>185675</v>
      </c>
      <c r="C29" s="34">
        <v>2.0999999999999999E-3</v>
      </c>
      <c r="D29" s="22">
        <f>B29*C29</f>
        <v>389.91749999999996</v>
      </c>
      <c r="E29" s="73">
        <f t="shared" si="4"/>
        <v>185675</v>
      </c>
      <c r="F29" s="34">
        <v>2.0999999999999999E-3</v>
      </c>
      <c r="G29" s="22">
        <f>E29*F29</f>
        <v>389.91749999999996</v>
      </c>
      <c r="H29" s="22">
        <f>G29-D29</f>
        <v>0</v>
      </c>
      <c r="I29" s="23">
        <f t="shared" si="3"/>
        <v>0</v>
      </c>
      <c r="J29" s="125">
        <f t="shared" si="0"/>
        <v>1.0547770400522722E-2</v>
      </c>
    </row>
    <row r="30" spans="1:10" x14ac:dyDescent="0.2">
      <c r="A30" s="107" t="s">
        <v>100</v>
      </c>
      <c r="B30" s="73">
        <f>B9</f>
        <v>185675</v>
      </c>
      <c r="C30" s="34">
        <v>1.1000000000000001E-3</v>
      </c>
      <c r="D30" s="22">
        <f>B30*C30</f>
        <v>204.24250000000001</v>
      </c>
      <c r="E30" s="73">
        <f t="shared" si="4"/>
        <v>185675</v>
      </c>
      <c r="F30" s="34">
        <v>1.1000000000000001E-3</v>
      </c>
      <c r="G30" s="22">
        <f>E30*F30</f>
        <v>204.24250000000001</v>
      </c>
      <c r="H30" s="22">
        <f>G30-D30</f>
        <v>0</v>
      </c>
      <c r="I30" s="23">
        <f t="shared" ref="I30" si="7">IF(ISERROR(H30/D30),0,(H30/D30))</f>
        <v>0</v>
      </c>
      <c r="J30" s="125">
        <f t="shared" ref="J30" si="8">G30/$G$38</f>
        <v>5.5250225907499985E-3</v>
      </c>
    </row>
    <row r="31" spans="1:10" x14ac:dyDescent="0.2">
      <c r="A31" s="107" t="s">
        <v>44</v>
      </c>
      <c r="B31" s="73">
        <v>1</v>
      </c>
      <c r="C31" s="22">
        <v>0.25</v>
      </c>
      <c r="D31" s="22">
        <f>B31*C31</f>
        <v>0.25</v>
      </c>
      <c r="E31" s="73">
        <f t="shared" si="4"/>
        <v>1</v>
      </c>
      <c r="F31" s="22">
        <f>C31</f>
        <v>0.25</v>
      </c>
      <c r="G31" s="22">
        <f>E31*F31</f>
        <v>0.25</v>
      </c>
      <c r="H31" s="22">
        <f t="shared" si="2"/>
        <v>0</v>
      </c>
      <c r="I31" s="23">
        <f t="shared" si="3"/>
        <v>0</v>
      </c>
      <c r="J31" s="125">
        <f>G31/$G$38</f>
        <v>6.7628218793223716E-6</v>
      </c>
    </row>
    <row r="32" spans="1:10" x14ac:dyDescent="0.2">
      <c r="A32" s="110" t="s">
        <v>45</v>
      </c>
      <c r="B32" s="74"/>
      <c r="C32" s="35"/>
      <c r="D32" s="35">
        <f>SUM(D28:D31)</f>
        <v>1262.8399999999999</v>
      </c>
      <c r="E32" s="73"/>
      <c r="F32" s="35"/>
      <c r="G32" s="35">
        <f>SUM(G28:G31)</f>
        <v>1262.8399999999999</v>
      </c>
      <c r="H32" s="35">
        <f t="shared" si="2"/>
        <v>0</v>
      </c>
      <c r="I32" s="36">
        <f t="shared" si="3"/>
        <v>0</v>
      </c>
      <c r="J32" s="111">
        <f>G32/$G$38</f>
        <v>3.4161447928333852E-2</v>
      </c>
    </row>
    <row r="33" spans="1:10" ht="13.5" thickBot="1" x14ac:dyDescent="0.25">
      <c r="A33" s="112" t="s">
        <v>46</v>
      </c>
      <c r="B33" s="113">
        <f>B4</f>
        <v>175000</v>
      </c>
      <c r="C33" s="114">
        <v>7.0000000000000001E-3</v>
      </c>
      <c r="D33" s="115">
        <f>B33*C33</f>
        <v>1225</v>
      </c>
      <c r="E33" s="116">
        <f t="shared" ref="E33" si="9">B33</f>
        <v>175000</v>
      </c>
      <c r="F33" s="114">
        <f>C33</f>
        <v>7.0000000000000001E-3</v>
      </c>
      <c r="G33" s="115">
        <f>E33*F33</f>
        <v>1225</v>
      </c>
      <c r="H33" s="115">
        <f t="shared" si="2"/>
        <v>0</v>
      </c>
      <c r="I33" s="117">
        <f t="shared" si="3"/>
        <v>0</v>
      </c>
      <c r="J33" s="118">
        <f t="shared" ref="J33:J38" si="10">G33/$G$38</f>
        <v>3.3137827208679624E-2</v>
      </c>
    </row>
    <row r="34" spans="1:10" x14ac:dyDescent="0.2">
      <c r="A34" s="37" t="s">
        <v>146</v>
      </c>
      <c r="B34" s="38"/>
      <c r="C34" s="39"/>
      <c r="D34" s="39">
        <f>SUM(D15,D23,D26,D32,D33)</f>
        <v>32505.973099999999</v>
      </c>
      <c r="E34" s="38"/>
      <c r="F34" s="39"/>
      <c r="G34" s="39">
        <f>SUM(G15,G23,G26,G32,G33)</f>
        <v>32713.997499999998</v>
      </c>
      <c r="H34" s="39">
        <f t="shared" si="2"/>
        <v>208.02439999999842</v>
      </c>
      <c r="I34" s="40">
        <f>IF(ISERROR(H34/D34),0,(H34/D34))</f>
        <v>6.3995746061821001E-3</v>
      </c>
      <c r="J34" s="41">
        <f t="shared" si="10"/>
        <v>0.88495575221238942</v>
      </c>
    </row>
    <row r="35" spans="1:10" x14ac:dyDescent="0.2">
      <c r="A35" s="46" t="s">
        <v>138</v>
      </c>
      <c r="B35" s="43"/>
      <c r="C35" s="26">
        <v>0.13</v>
      </c>
      <c r="D35" s="26">
        <f>D34*C35</f>
        <v>4225.776503</v>
      </c>
      <c r="E35" s="26"/>
      <c r="F35" s="26">
        <f>C35</f>
        <v>0.13</v>
      </c>
      <c r="G35" s="26">
        <f>G34*F35</f>
        <v>4252.8196749999997</v>
      </c>
      <c r="H35" s="26">
        <f t="shared" si="2"/>
        <v>27.043171999999686</v>
      </c>
      <c r="I35" s="44">
        <f t="shared" ref="I35:I38" si="11">IF(ISERROR(H35/D35),0,(H35/D35))</f>
        <v>6.399574606182074E-3</v>
      </c>
      <c r="J35" s="45">
        <f t="shared" si="10"/>
        <v>0.11504424778761062</v>
      </c>
    </row>
    <row r="36" spans="1:10" x14ac:dyDescent="0.2">
      <c r="A36" s="46" t="s">
        <v>139</v>
      </c>
      <c r="B36" s="24"/>
      <c r="C36" s="25"/>
      <c r="D36" s="25">
        <f>SUM(D34:D35)</f>
        <v>36731.749602999997</v>
      </c>
      <c r="E36" s="25"/>
      <c r="F36" s="25"/>
      <c r="G36" s="25">
        <f>SUM(G34:G35)</f>
        <v>36966.817174999996</v>
      </c>
      <c r="H36" s="25">
        <f t="shared" si="2"/>
        <v>235.06757199999993</v>
      </c>
      <c r="I36" s="27">
        <f t="shared" si="11"/>
        <v>6.3995746061821469E-3</v>
      </c>
      <c r="J36" s="47">
        <f t="shared" si="10"/>
        <v>1</v>
      </c>
    </row>
    <row r="37" spans="1:10" x14ac:dyDescent="0.2">
      <c r="A37" s="46" t="s">
        <v>140</v>
      </c>
      <c r="B37" s="43"/>
      <c r="C37" s="26">
        <v>0</v>
      </c>
      <c r="D37" s="26">
        <f>D34*C37</f>
        <v>0</v>
      </c>
      <c r="E37" s="26"/>
      <c r="F37" s="26">
        <f>C37</f>
        <v>0</v>
      </c>
      <c r="G37" s="26">
        <f>G34*F37</f>
        <v>0</v>
      </c>
      <c r="H37" s="26">
        <f t="shared" si="2"/>
        <v>0</v>
      </c>
      <c r="I37" s="44">
        <f t="shared" si="11"/>
        <v>0</v>
      </c>
      <c r="J37" s="45">
        <f t="shared" si="10"/>
        <v>0</v>
      </c>
    </row>
    <row r="38" spans="1:10" ht="13.5" thickBot="1" x14ac:dyDescent="0.25">
      <c r="A38" s="46" t="s">
        <v>141</v>
      </c>
      <c r="B38" s="49"/>
      <c r="C38" s="50"/>
      <c r="D38" s="50">
        <f>SUM(D36:D37)</f>
        <v>36731.749602999997</v>
      </c>
      <c r="E38" s="50"/>
      <c r="F38" s="50"/>
      <c r="G38" s="50">
        <f>SUM(G36:G37)</f>
        <v>36966.817174999996</v>
      </c>
      <c r="H38" s="50">
        <f t="shared" si="2"/>
        <v>235.06757199999993</v>
      </c>
      <c r="I38" s="51">
        <f t="shared" si="11"/>
        <v>6.3995746061821469E-3</v>
      </c>
      <c r="J38" s="52">
        <f t="shared" si="10"/>
        <v>1</v>
      </c>
    </row>
    <row r="39" spans="1:10" x14ac:dyDescent="0.2">
      <c r="F39" s="69"/>
    </row>
    <row r="40" spans="1:10" x14ac:dyDescent="0.2">
      <c r="F40" s="69"/>
    </row>
  </sheetData>
  <mergeCells count="1">
    <mergeCell ref="A1:J1"/>
  </mergeCells>
  <dataValidations disablePrompts="1"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Impacts'!$A$12:$A$15</xm:f>
          </x14:formula1>
          <xm:sqref>B3</xm:sqref>
        </x14:dataValidation>
      </x14:dataValidation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tabColor theme="1" tint="0.499984740745262"/>
    <pageSetUpPr fitToPage="1"/>
  </sheetPr>
  <dimension ref="A1:J40"/>
  <sheetViews>
    <sheetView view="pageBreakPreview" topLeftCell="A10" zoomScaleNormal="100" zoomScaleSheetLayoutView="100" workbookViewId="0">
      <selection activeCell="C19" sqref="C19"/>
    </sheetView>
  </sheetViews>
  <sheetFormatPr defaultRowHeight="12.75" x14ac:dyDescent="0.2"/>
  <cols>
    <col min="1" max="1" width="64.710937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48" t="s">
        <v>109</v>
      </c>
      <c r="B1" s="349"/>
      <c r="C1" s="349"/>
      <c r="D1" s="349"/>
      <c r="E1" s="349"/>
      <c r="F1" s="349"/>
      <c r="G1" s="349"/>
      <c r="H1" s="349"/>
      <c r="I1" s="349"/>
      <c r="J1" s="350"/>
    </row>
    <row r="3" spans="1:10" x14ac:dyDescent="0.2">
      <c r="A3" s="13" t="s">
        <v>13</v>
      </c>
      <c r="B3" s="13" t="s">
        <v>10</v>
      </c>
    </row>
    <row r="4" spans="1:10" x14ac:dyDescent="0.2">
      <c r="A4" s="15" t="s">
        <v>62</v>
      </c>
      <c r="B4" s="79">
        <v>300</v>
      </c>
    </row>
    <row r="5" spans="1:10" x14ac:dyDescent="0.2">
      <c r="A5" s="15" t="s">
        <v>16</v>
      </c>
      <c r="B5" s="79">
        <v>10</v>
      </c>
    </row>
    <row r="6" spans="1:10" x14ac:dyDescent="0.2">
      <c r="A6" s="15" t="s">
        <v>20</v>
      </c>
      <c r="B6" s="80">
        <f>VLOOKUP($B$3,'Data for Bill Impacts'!$A$3:$Y$15,2,0)</f>
        <v>1.0609999999999999</v>
      </c>
    </row>
    <row r="7" spans="1:10" x14ac:dyDescent="0.2">
      <c r="A7" s="81" t="s">
        <v>49</v>
      </c>
      <c r="B7" s="82">
        <f>B4/(B5*730)</f>
        <v>4.1095890410958902E-2</v>
      </c>
    </row>
    <row r="8" spans="1:10" x14ac:dyDescent="0.2">
      <c r="A8" s="15" t="s">
        <v>15</v>
      </c>
      <c r="B8" s="79">
        <f>VLOOKUP($B$3,'Data for Bill Impacts'!$A$3:$Y$15,4,0)</f>
        <v>0</v>
      </c>
    </row>
    <row r="9" spans="1:10" x14ac:dyDescent="0.2">
      <c r="A9" s="15" t="s">
        <v>82</v>
      </c>
      <c r="B9" s="79">
        <f>B4*B6</f>
        <v>318.29999999999995</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3" t="s">
        <v>50</v>
      </c>
    </row>
    <row r="13" spans="1:10" x14ac:dyDescent="0.2">
      <c r="A13" s="101" t="s">
        <v>31</v>
      </c>
      <c r="B13" s="102">
        <f>B9</f>
        <v>318.29999999999995</v>
      </c>
      <c r="C13" s="103">
        <v>0.10299999999999999</v>
      </c>
      <c r="D13" s="104">
        <f>B13*C13</f>
        <v>32.784899999999993</v>
      </c>
      <c r="E13" s="102">
        <f>B13</f>
        <v>318.29999999999995</v>
      </c>
      <c r="F13" s="103">
        <f>C13</f>
        <v>0.10299999999999999</v>
      </c>
      <c r="G13" s="104">
        <f>E13*F13</f>
        <v>32.784899999999993</v>
      </c>
      <c r="H13" s="104">
        <f>G13-D13</f>
        <v>0</v>
      </c>
      <c r="I13" s="105">
        <f>IF(ISERROR(H13/D13),0,(H13/D13))</f>
        <v>0</v>
      </c>
      <c r="J13" s="124">
        <f t="shared" ref="J13:J29" si="0">G13/$G$38</f>
        <v>8.0785594825088194E-2</v>
      </c>
    </row>
    <row r="14" spans="1:10" x14ac:dyDescent="0.2">
      <c r="A14" s="107" t="s">
        <v>32</v>
      </c>
      <c r="B14" s="73">
        <v>0</v>
      </c>
      <c r="C14" s="21">
        <v>0.121</v>
      </c>
      <c r="D14" s="22">
        <f>B14*C14</f>
        <v>0</v>
      </c>
      <c r="E14" s="73">
        <f t="shared" ref="E14" si="1">B14</f>
        <v>0</v>
      </c>
      <c r="F14" s="21">
        <f>C14</f>
        <v>0.121</v>
      </c>
      <c r="G14" s="22">
        <f>E14*F14</f>
        <v>0</v>
      </c>
      <c r="H14" s="22">
        <f t="shared" ref="H14:H38" si="2">G14-D14</f>
        <v>0</v>
      </c>
      <c r="I14" s="23">
        <f t="shared" ref="I14:I33" si="3">IF(ISERROR(H14/D14),0,(H14/D14))</f>
        <v>0</v>
      </c>
      <c r="J14" s="125">
        <f t="shared" si="0"/>
        <v>0</v>
      </c>
    </row>
    <row r="15" spans="1:10" s="1" customFormat="1" x14ac:dyDescent="0.2">
      <c r="A15" s="46" t="s">
        <v>33</v>
      </c>
      <c r="B15" s="24"/>
      <c r="C15" s="25"/>
      <c r="D15" s="25">
        <f>SUM(D13:D14)</f>
        <v>32.784899999999993</v>
      </c>
      <c r="E15" s="76"/>
      <c r="F15" s="25"/>
      <c r="G15" s="25">
        <f>SUM(G13:G14)</f>
        <v>32.784899999999993</v>
      </c>
      <c r="H15" s="25">
        <f t="shared" si="2"/>
        <v>0</v>
      </c>
      <c r="I15" s="27">
        <f t="shared" si="3"/>
        <v>0</v>
      </c>
      <c r="J15" s="47">
        <f t="shared" si="0"/>
        <v>8.0785594825088194E-2</v>
      </c>
    </row>
    <row r="16" spans="1:10" s="1" customFormat="1" x14ac:dyDescent="0.2">
      <c r="A16" s="107" t="s">
        <v>38</v>
      </c>
      <c r="B16" s="73">
        <v>1</v>
      </c>
      <c r="C16" s="78">
        <f>VLOOKUP($B$3,'Data for Bill Impacts'!$A$3:$Y$15,7,0)</f>
        <v>198.03</v>
      </c>
      <c r="D16" s="22">
        <f>B16*C16</f>
        <v>198.03</v>
      </c>
      <c r="E16" s="73">
        <f t="shared" ref="E16:E33" si="4">B16</f>
        <v>1</v>
      </c>
      <c r="F16" s="78">
        <f>VLOOKUP($B$3,'Data for Bill Impacts'!$A$3:$Y$15,17,0)</f>
        <v>198.03</v>
      </c>
      <c r="G16" s="22">
        <f>E16*F16</f>
        <v>198.03</v>
      </c>
      <c r="H16" s="22">
        <f t="shared" si="2"/>
        <v>0</v>
      </c>
      <c r="I16" s="23">
        <f t="shared" si="3"/>
        <v>0</v>
      </c>
      <c r="J16" s="125">
        <f t="shared" si="0"/>
        <v>0.48796767241053712</v>
      </c>
    </row>
    <row r="17" spans="1:10" hidden="1" x14ac:dyDescent="0.2">
      <c r="A17" s="107" t="s">
        <v>83</v>
      </c>
      <c r="B17" s="73">
        <v>1</v>
      </c>
      <c r="C17" s="78">
        <v>0</v>
      </c>
      <c r="D17" s="22">
        <f>B17*C17</f>
        <v>0</v>
      </c>
      <c r="E17" s="73">
        <f t="shared" si="4"/>
        <v>1</v>
      </c>
      <c r="F17" s="78">
        <v>0</v>
      </c>
      <c r="G17" s="22">
        <f t="shared" ref="G17:G19" si="5">E17*F17</f>
        <v>0</v>
      </c>
      <c r="H17" s="22">
        <f t="shared" si="2"/>
        <v>0</v>
      </c>
      <c r="I17" s="23">
        <f t="shared" si="3"/>
        <v>0</v>
      </c>
      <c r="J17" s="125">
        <f t="shared" si="0"/>
        <v>0</v>
      </c>
    </row>
    <row r="18" spans="1:10" hidden="1" x14ac:dyDescent="0.2">
      <c r="A18" s="107" t="s">
        <v>84</v>
      </c>
      <c r="B18" s="73">
        <v>1</v>
      </c>
      <c r="C18" s="78">
        <v>0</v>
      </c>
      <c r="D18" s="22">
        <f t="shared" ref="D18:D19" si="6">B18*C18</f>
        <v>0</v>
      </c>
      <c r="E18" s="73">
        <f t="shared" si="4"/>
        <v>1</v>
      </c>
      <c r="F18" s="78">
        <v>0</v>
      </c>
      <c r="G18" s="22">
        <f t="shared" si="5"/>
        <v>0</v>
      </c>
      <c r="H18" s="22">
        <f t="shared" si="2"/>
        <v>0</v>
      </c>
      <c r="I18" s="23">
        <f t="shared" si="3"/>
        <v>0</v>
      </c>
      <c r="J18" s="125">
        <f t="shared" si="0"/>
        <v>0</v>
      </c>
    </row>
    <row r="19" spans="1:10" x14ac:dyDescent="0.2">
      <c r="A19" s="107" t="s">
        <v>85</v>
      </c>
      <c r="B19" s="73">
        <v>1</v>
      </c>
      <c r="C19" s="122">
        <f>VLOOKUP($B$3,'Data for Bill Impacts'!$A$3:$Y$15,13,0)</f>
        <v>0.01</v>
      </c>
      <c r="D19" s="22">
        <f t="shared" si="6"/>
        <v>0.01</v>
      </c>
      <c r="E19" s="73">
        <f t="shared" si="4"/>
        <v>1</v>
      </c>
      <c r="F19" s="122">
        <f>VLOOKUP($B$3,'Data for Bill Impacts'!$A$3:$Y$15,22,0)</f>
        <v>0.01</v>
      </c>
      <c r="G19" s="22">
        <f t="shared" si="5"/>
        <v>0.01</v>
      </c>
      <c r="H19" s="22">
        <f t="shared" si="2"/>
        <v>0</v>
      </c>
      <c r="I19" s="23">
        <f t="shared" si="3"/>
        <v>0</v>
      </c>
      <c r="J19" s="125">
        <f t="shared" si="0"/>
        <v>2.4641098440162458E-5</v>
      </c>
    </row>
    <row r="20" spans="1:10" x14ac:dyDescent="0.2">
      <c r="A20" s="107" t="s">
        <v>39</v>
      </c>
      <c r="B20" s="73">
        <f>IF($B$10="kWh",$B$4,$B$5)</f>
        <v>10</v>
      </c>
      <c r="C20" s="78">
        <f>VLOOKUP($B$3,'Data for Bill Impacts'!$A$3:$Y$15,10,0)</f>
        <v>10.379</v>
      </c>
      <c r="D20" s="22">
        <f>B20*C20</f>
        <v>103.78999999999999</v>
      </c>
      <c r="E20" s="73">
        <f t="shared" si="4"/>
        <v>10</v>
      </c>
      <c r="F20" s="78">
        <f>VLOOKUP($B$3,'Data for Bill Impacts'!$A$3:$Y$15,19,0)</f>
        <v>11.1084</v>
      </c>
      <c r="G20" s="22">
        <f>E20*F20</f>
        <v>111.084</v>
      </c>
      <c r="H20" s="22">
        <f t="shared" si="2"/>
        <v>7.2940000000000111</v>
      </c>
      <c r="I20" s="23">
        <f t="shared" si="3"/>
        <v>7.0276519895943843E-2</v>
      </c>
      <c r="J20" s="125">
        <f t="shared" si="0"/>
        <v>0.27372317791270062</v>
      </c>
    </row>
    <row r="21" spans="1:10" s="1" customFormat="1" x14ac:dyDescent="0.2">
      <c r="A21" s="107" t="s">
        <v>194</v>
      </c>
      <c r="B21" s="73">
        <f>IF($B$10="kWh",$B$4,$B$5)</f>
        <v>10</v>
      </c>
      <c r="C21" s="126">
        <f>VLOOKUP($B$3,'Data for Bill Impacts'!$A$3:$Y$15,14,0)</f>
        <v>1.72E-2</v>
      </c>
      <c r="D21" s="22">
        <f>B21*C21</f>
        <v>0.17199999999999999</v>
      </c>
      <c r="E21" s="73">
        <f>B21</f>
        <v>10</v>
      </c>
      <c r="F21" s="126">
        <f>VLOOKUP($B$3,'Data for Bill Impacts'!$A$3:$Y$15,23,0)</f>
        <v>1.72E-2</v>
      </c>
      <c r="G21" s="22">
        <f>E21*F21</f>
        <v>0.17199999999999999</v>
      </c>
      <c r="H21" s="22">
        <f>G21-D21</f>
        <v>0</v>
      </c>
      <c r="I21" s="23">
        <f>IF(ISERROR(H21/D21),0,(H21/D21))</f>
        <v>0</v>
      </c>
      <c r="J21" s="125">
        <f t="shared" si="0"/>
        <v>4.2382689317079425E-4</v>
      </c>
    </row>
    <row r="22" spans="1:10" s="1" customFormat="1" x14ac:dyDescent="0.2">
      <c r="A22" s="107" t="s">
        <v>147</v>
      </c>
      <c r="B22" s="73">
        <f>B9</f>
        <v>318.29999999999995</v>
      </c>
      <c r="C22" s="126">
        <f>VLOOKUP($B$3,'Data for Bill Impacts'!$A$3:$Y$15,20,0)</f>
        <v>1.9E-3</v>
      </c>
      <c r="D22" s="22">
        <f>B22*C22</f>
        <v>0.60476999999999992</v>
      </c>
      <c r="E22" s="73">
        <f t="shared" si="4"/>
        <v>318.29999999999995</v>
      </c>
      <c r="F22" s="126">
        <f>VLOOKUP($B$3,'Data for Bill Impacts'!$A$3:$Y$15,21,0)</f>
        <v>1.9E-3</v>
      </c>
      <c r="G22" s="22">
        <f>E22*F22</f>
        <v>0.60476999999999992</v>
      </c>
      <c r="H22" s="22">
        <f t="shared" si="2"/>
        <v>0</v>
      </c>
      <c r="I22" s="23">
        <f>IF(ISERROR(H22/D22),0,(H22/D22))</f>
        <v>0</v>
      </c>
      <c r="J22" s="125">
        <f t="shared" si="0"/>
        <v>1.4902197103657047E-3</v>
      </c>
    </row>
    <row r="23" spans="1:10" x14ac:dyDescent="0.2">
      <c r="A23" s="110" t="s">
        <v>97</v>
      </c>
      <c r="B23" s="74"/>
      <c r="C23" s="35"/>
      <c r="D23" s="35">
        <f>SUM(D16:D22)</f>
        <v>302.60676999999998</v>
      </c>
      <c r="E23" s="73"/>
      <c r="F23" s="35"/>
      <c r="G23" s="35">
        <f>SUM(G16:G22)</f>
        <v>309.90077000000002</v>
      </c>
      <c r="H23" s="35">
        <f t="shared" si="2"/>
        <v>7.2940000000000396</v>
      </c>
      <c r="I23" s="36">
        <f t="shared" si="3"/>
        <v>2.4103889017420329E-2</v>
      </c>
      <c r="J23" s="111">
        <f t="shared" si="0"/>
        <v>0.76362953802521449</v>
      </c>
    </row>
    <row r="24" spans="1:10" x14ac:dyDescent="0.2">
      <c r="A24" s="107" t="s">
        <v>40</v>
      </c>
      <c r="B24" s="73">
        <f>B5</f>
        <v>10</v>
      </c>
      <c r="C24" s="126">
        <f>VLOOKUP($B$3,'Data for Bill Impacts'!$A$3:$Y$15,15,0)</f>
        <v>0.63108279999999994</v>
      </c>
      <c r="D24" s="22">
        <f>B24*C24</f>
        <v>6.310827999999999</v>
      </c>
      <c r="E24" s="73">
        <f t="shared" si="4"/>
        <v>10</v>
      </c>
      <c r="F24" s="78">
        <f>VLOOKUP($B$3,'Data for Bill Impacts'!$A$3:$Y$15,24,0)</f>
        <v>0.63949999999999996</v>
      </c>
      <c r="G24" s="22">
        <f>E24*F24</f>
        <v>6.3949999999999996</v>
      </c>
      <c r="H24" s="22">
        <f t="shared" si="2"/>
        <v>8.417200000000058E-2</v>
      </c>
      <c r="I24" s="23">
        <f t="shared" si="3"/>
        <v>1.3337710994500341E-2</v>
      </c>
      <c r="J24" s="125">
        <f t="shared" si="0"/>
        <v>1.5757982452483891E-2</v>
      </c>
    </row>
    <row r="25" spans="1:10" s="1" customFormat="1" x14ac:dyDescent="0.2">
      <c r="A25" s="107" t="s">
        <v>41</v>
      </c>
      <c r="B25" s="73">
        <f>B5</f>
        <v>10</v>
      </c>
      <c r="C25" s="126">
        <f>VLOOKUP($B$3,'Data for Bill Impacts'!$A$3:$Y$15,16,0)</f>
        <v>0.54747599999999996</v>
      </c>
      <c r="D25" s="22">
        <f>B25*C25</f>
        <v>5.4747599999999998</v>
      </c>
      <c r="E25" s="73">
        <f t="shared" si="4"/>
        <v>10</v>
      </c>
      <c r="F25" s="126">
        <f>VLOOKUP($B$3,'Data for Bill Impacts'!$A$3:$Y$15,25,0)</f>
        <v>0.55430000000000001</v>
      </c>
      <c r="G25" s="22">
        <f>E25*F25</f>
        <v>5.5430000000000001</v>
      </c>
      <c r="H25" s="22">
        <f t="shared" si="2"/>
        <v>6.82400000000003E-2</v>
      </c>
      <c r="I25" s="23">
        <f t="shared" si="3"/>
        <v>1.246447332851126E-2</v>
      </c>
      <c r="J25" s="125">
        <f t="shared" si="0"/>
        <v>1.3658560865382051E-2</v>
      </c>
    </row>
    <row r="26" spans="1:10" x14ac:dyDescent="0.2">
      <c r="A26" s="110" t="s">
        <v>76</v>
      </c>
      <c r="B26" s="74"/>
      <c r="C26" s="35"/>
      <c r="D26" s="35">
        <f>SUM(D24:D25)</f>
        <v>11.785587999999999</v>
      </c>
      <c r="E26" s="73"/>
      <c r="F26" s="35"/>
      <c r="G26" s="35">
        <f>SUM(G24:G25)</f>
        <v>11.937999999999999</v>
      </c>
      <c r="H26" s="35">
        <f t="shared" si="2"/>
        <v>0.15241199999999999</v>
      </c>
      <c r="I26" s="36">
        <f t="shared" si="3"/>
        <v>1.2932065841772172E-2</v>
      </c>
      <c r="J26" s="111">
        <f t="shared" si="0"/>
        <v>2.9416543317865938E-2</v>
      </c>
    </row>
    <row r="27" spans="1:10" s="1" customFormat="1" x14ac:dyDescent="0.2">
      <c r="A27" s="110" t="s">
        <v>80</v>
      </c>
      <c r="B27" s="74"/>
      <c r="C27" s="35"/>
      <c r="D27" s="35">
        <f>D23+D26</f>
        <v>314.392358</v>
      </c>
      <c r="E27" s="73"/>
      <c r="F27" s="35"/>
      <c r="G27" s="35">
        <f>G23+G26</f>
        <v>321.83877000000001</v>
      </c>
      <c r="H27" s="35">
        <f t="shared" si="2"/>
        <v>7.4464120000000094</v>
      </c>
      <c r="I27" s="36">
        <f t="shared" si="3"/>
        <v>2.3685092243877028E-2</v>
      </c>
      <c r="J27" s="111">
        <f t="shared" si="0"/>
        <v>0.79304608134308041</v>
      </c>
    </row>
    <row r="28" spans="1:10" x14ac:dyDescent="0.2">
      <c r="A28" s="107" t="s">
        <v>42</v>
      </c>
      <c r="B28" s="73">
        <f>B9</f>
        <v>318.29999999999995</v>
      </c>
      <c r="C28" s="34">
        <v>3.5999999999999999E-3</v>
      </c>
      <c r="D28" s="22">
        <f>B28*C28</f>
        <v>1.1458799999999998</v>
      </c>
      <c r="E28" s="73">
        <f t="shared" si="4"/>
        <v>318.29999999999995</v>
      </c>
      <c r="F28" s="34">
        <v>3.5999999999999999E-3</v>
      </c>
      <c r="G28" s="22">
        <f>E28*F28</f>
        <v>1.1458799999999998</v>
      </c>
      <c r="H28" s="22">
        <f t="shared" si="2"/>
        <v>0</v>
      </c>
      <c r="I28" s="23">
        <f t="shared" si="3"/>
        <v>0</v>
      </c>
      <c r="J28" s="125">
        <f t="shared" si="0"/>
        <v>2.8235741880613353E-3</v>
      </c>
    </row>
    <row r="29" spans="1:10" x14ac:dyDescent="0.2">
      <c r="A29" s="107" t="s">
        <v>43</v>
      </c>
      <c r="B29" s="73">
        <f>B9</f>
        <v>318.29999999999995</v>
      </c>
      <c r="C29" s="34">
        <v>2.0999999999999999E-3</v>
      </c>
      <c r="D29" s="22">
        <f>B29*C29</f>
        <v>0.66842999999999986</v>
      </c>
      <c r="E29" s="73">
        <f t="shared" si="4"/>
        <v>318.29999999999995</v>
      </c>
      <c r="F29" s="34">
        <v>2.0999999999999999E-3</v>
      </c>
      <c r="G29" s="22">
        <f>E29*F29</f>
        <v>0.66842999999999986</v>
      </c>
      <c r="H29" s="22">
        <f>G29-D29</f>
        <v>0</v>
      </c>
      <c r="I29" s="23">
        <f t="shared" si="3"/>
        <v>0</v>
      </c>
      <c r="J29" s="125">
        <f t="shared" si="0"/>
        <v>1.6470849430357789E-3</v>
      </c>
    </row>
    <row r="30" spans="1:10" x14ac:dyDescent="0.2">
      <c r="A30" s="107" t="s">
        <v>100</v>
      </c>
      <c r="B30" s="73">
        <f>B9</f>
        <v>318.29999999999995</v>
      </c>
      <c r="C30" s="34">
        <v>1.1000000000000001E-3</v>
      </c>
      <c r="D30" s="22">
        <f>B30*C30</f>
        <v>0.35013</v>
      </c>
      <c r="E30" s="73">
        <f t="shared" si="4"/>
        <v>318.29999999999995</v>
      </c>
      <c r="F30" s="34">
        <v>1.1000000000000001E-3</v>
      </c>
      <c r="G30" s="22">
        <f>E30*F30</f>
        <v>0.35013</v>
      </c>
      <c r="H30" s="22">
        <f>G30-D30</f>
        <v>0</v>
      </c>
      <c r="I30" s="23">
        <f t="shared" ref="I30" si="7">IF(ISERROR(H30/D30),0,(H30/D30))</f>
        <v>0</v>
      </c>
      <c r="J30" s="125">
        <f t="shared" ref="J30" si="8">G30/$G$38</f>
        <v>8.6275877968540807E-4</v>
      </c>
    </row>
    <row r="31" spans="1:10" x14ac:dyDescent="0.2">
      <c r="A31" s="107" t="s">
        <v>44</v>
      </c>
      <c r="B31" s="73">
        <v>1</v>
      </c>
      <c r="C31" s="22">
        <v>0.25</v>
      </c>
      <c r="D31" s="22">
        <f>B31*C31</f>
        <v>0.25</v>
      </c>
      <c r="E31" s="73">
        <f t="shared" si="4"/>
        <v>1</v>
      </c>
      <c r="F31" s="22">
        <f>C31</f>
        <v>0.25</v>
      </c>
      <c r="G31" s="22">
        <f>E31*F31</f>
        <v>0.25</v>
      </c>
      <c r="H31" s="22">
        <f t="shared" si="2"/>
        <v>0</v>
      </c>
      <c r="I31" s="23">
        <f t="shared" si="3"/>
        <v>0</v>
      </c>
      <c r="J31" s="125">
        <f t="shared" ref="J31:J38" si="9">G31/$G$38</f>
        <v>6.1602746100406142E-4</v>
      </c>
    </row>
    <row r="32" spans="1:10" x14ac:dyDescent="0.2">
      <c r="A32" s="110" t="s">
        <v>45</v>
      </c>
      <c r="B32" s="74"/>
      <c r="C32" s="35"/>
      <c r="D32" s="35">
        <f>SUM(D28:D31)</f>
        <v>2.4144399999999995</v>
      </c>
      <c r="E32" s="73"/>
      <c r="F32" s="35"/>
      <c r="G32" s="35">
        <f>SUM(G28:G31)</f>
        <v>2.4144399999999995</v>
      </c>
      <c r="H32" s="35">
        <f t="shared" si="2"/>
        <v>0</v>
      </c>
      <c r="I32" s="36">
        <f t="shared" si="3"/>
        <v>0</v>
      </c>
      <c r="J32" s="111">
        <f t="shared" si="9"/>
        <v>5.9494453717865827E-3</v>
      </c>
    </row>
    <row r="33" spans="1:10" ht="13.5" thickBot="1" x14ac:dyDescent="0.25">
      <c r="A33" s="112" t="s">
        <v>46</v>
      </c>
      <c r="B33" s="113">
        <f>B4</f>
        <v>300</v>
      </c>
      <c r="C33" s="114">
        <v>7.0000000000000001E-3</v>
      </c>
      <c r="D33" s="115">
        <f>B33*C33</f>
        <v>2.1</v>
      </c>
      <c r="E33" s="116">
        <f t="shared" si="4"/>
        <v>300</v>
      </c>
      <c r="F33" s="114">
        <f>C33</f>
        <v>7.0000000000000001E-3</v>
      </c>
      <c r="G33" s="115">
        <f>E33*F33</f>
        <v>2.1</v>
      </c>
      <c r="H33" s="115">
        <f t="shared" si="2"/>
        <v>0</v>
      </c>
      <c r="I33" s="117">
        <f t="shared" si="3"/>
        <v>0</v>
      </c>
      <c r="J33" s="118">
        <f t="shared" si="9"/>
        <v>5.1746306724341166E-3</v>
      </c>
    </row>
    <row r="34" spans="1:10" x14ac:dyDescent="0.2">
      <c r="A34" s="37" t="s">
        <v>146</v>
      </c>
      <c r="B34" s="38"/>
      <c r="C34" s="39"/>
      <c r="D34" s="39">
        <f>SUM(D15,D23,D26,D32,D33)</f>
        <v>351.69169800000003</v>
      </c>
      <c r="E34" s="38"/>
      <c r="F34" s="39"/>
      <c r="G34" s="39">
        <f>SUM(G15,G23,G26,G32,G33)</f>
        <v>359.13811000000004</v>
      </c>
      <c r="H34" s="39">
        <f t="shared" si="2"/>
        <v>7.4464120000000094</v>
      </c>
      <c r="I34" s="40">
        <f>IF(ISERROR(H34/D34),0,(H34/D34))</f>
        <v>2.1173124194703078E-2</v>
      </c>
      <c r="J34" s="41">
        <f t="shared" si="9"/>
        <v>0.88495575221238942</v>
      </c>
    </row>
    <row r="35" spans="1:10" x14ac:dyDescent="0.2">
      <c r="A35" s="46" t="s">
        <v>138</v>
      </c>
      <c r="B35" s="43"/>
      <c r="C35" s="26">
        <v>0.13</v>
      </c>
      <c r="D35" s="26">
        <f>D34*C35</f>
        <v>45.719920740000006</v>
      </c>
      <c r="E35" s="26"/>
      <c r="F35" s="26">
        <f>C35</f>
        <v>0.13</v>
      </c>
      <c r="G35" s="26">
        <f>G34*F35</f>
        <v>46.687954300000008</v>
      </c>
      <c r="H35" s="26">
        <f t="shared" si="2"/>
        <v>0.96803356000000207</v>
      </c>
      <c r="I35" s="44">
        <f t="shared" ref="I35:I38" si="10">IF(ISERROR(H35/D35),0,(H35/D35))</f>
        <v>2.1173124194703099E-2</v>
      </c>
      <c r="J35" s="45">
        <f t="shared" si="9"/>
        <v>0.11504424778761063</v>
      </c>
    </row>
    <row r="36" spans="1:10" x14ac:dyDescent="0.2">
      <c r="A36" s="46" t="s">
        <v>139</v>
      </c>
      <c r="B36" s="24"/>
      <c r="C36" s="25"/>
      <c r="D36" s="25">
        <f>SUM(D34:D35)</f>
        <v>397.41161874000005</v>
      </c>
      <c r="E36" s="25"/>
      <c r="F36" s="25"/>
      <c r="G36" s="25">
        <f>SUM(G34:G35)</f>
        <v>405.82606430000004</v>
      </c>
      <c r="H36" s="25">
        <f t="shared" si="2"/>
        <v>8.4144455599999901</v>
      </c>
      <c r="I36" s="27">
        <f t="shared" si="10"/>
        <v>2.1173124194703026E-2</v>
      </c>
      <c r="J36" s="47">
        <f t="shared" si="9"/>
        <v>1</v>
      </c>
    </row>
    <row r="37" spans="1:10" x14ac:dyDescent="0.2">
      <c r="A37" s="46" t="s">
        <v>140</v>
      </c>
      <c r="B37" s="43"/>
      <c r="C37" s="26">
        <v>0</v>
      </c>
      <c r="D37" s="26">
        <f>D34*C37</f>
        <v>0</v>
      </c>
      <c r="E37" s="26"/>
      <c r="F37" s="26">
        <v>0</v>
      </c>
      <c r="G37" s="26">
        <f>G34*F37</f>
        <v>0</v>
      </c>
      <c r="H37" s="26">
        <f t="shared" si="2"/>
        <v>0</v>
      </c>
      <c r="I37" s="44">
        <f t="shared" si="10"/>
        <v>0</v>
      </c>
      <c r="J37" s="45">
        <f t="shared" si="9"/>
        <v>0</v>
      </c>
    </row>
    <row r="38" spans="1:10" ht="13.5" thickBot="1" x14ac:dyDescent="0.25">
      <c r="A38" s="46" t="s">
        <v>141</v>
      </c>
      <c r="B38" s="49"/>
      <c r="C38" s="50"/>
      <c r="D38" s="50">
        <f>SUM(D36:D37)</f>
        <v>397.41161874000005</v>
      </c>
      <c r="E38" s="50"/>
      <c r="F38" s="50"/>
      <c r="G38" s="50">
        <f>SUM(G36:G37)</f>
        <v>405.82606430000004</v>
      </c>
      <c r="H38" s="50">
        <f t="shared" si="2"/>
        <v>8.4144455599999901</v>
      </c>
      <c r="I38" s="51">
        <f t="shared" si="10"/>
        <v>2.1173124194703026E-2</v>
      </c>
      <c r="J38" s="52">
        <f t="shared" si="9"/>
        <v>1</v>
      </c>
    </row>
    <row r="39" spans="1:10" x14ac:dyDescent="0.2">
      <c r="F39" s="69"/>
    </row>
    <row r="40" spans="1:10" x14ac:dyDescent="0.2">
      <c r="F40" s="69"/>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3">
    <tabColor theme="1" tint="0.499984740745262"/>
    <pageSetUpPr fitToPage="1"/>
  </sheetPr>
  <dimension ref="A1:J43"/>
  <sheetViews>
    <sheetView topLeftCell="A10" workbookViewId="0">
      <selection activeCell="C19" sqref="C19"/>
    </sheetView>
  </sheetViews>
  <sheetFormatPr defaultRowHeight="12.75" x14ac:dyDescent="0.2"/>
  <cols>
    <col min="1" max="1" width="64.710937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48" t="s">
        <v>112</v>
      </c>
      <c r="B1" s="349"/>
      <c r="C1" s="349"/>
      <c r="D1" s="349"/>
      <c r="E1" s="349"/>
      <c r="F1" s="349"/>
      <c r="G1" s="349"/>
      <c r="H1" s="349"/>
      <c r="I1" s="349"/>
      <c r="J1" s="350"/>
    </row>
    <row r="3" spans="1:10" x14ac:dyDescent="0.2">
      <c r="A3" s="13" t="s">
        <v>13</v>
      </c>
      <c r="B3" s="13" t="s">
        <v>10</v>
      </c>
    </row>
    <row r="4" spans="1:10" x14ac:dyDescent="0.2">
      <c r="A4" s="15" t="s">
        <v>62</v>
      </c>
      <c r="B4" s="79">
        <f>'Data for Bill Impacts_HONI Avg '!C14</f>
        <v>1328</v>
      </c>
    </row>
    <row r="5" spans="1:10" x14ac:dyDescent="0.2">
      <c r="A5" s="15" t="s">
        <v>16</v>
      </c>
      <c r="B5" s="79">
        <v>12</v>
      </c>
    </row>
    <row r="6" spans="1:10" x14ac:dyDescent="0.2">
      <c r="A6" s="15" t="s">
        <v>20</v>
      </c>
      <c r="B6" s="80">
        <f>VLOOKUP($B$3,'Data for Bill Impacts'!$A$3:$Y$15,2,0)</f>
        <v>1.0609999999999999</v>
      </c>
    </row>
    <row r="7" spans="1:10" x14ac:dyDescent="0.2">
      <c r="A7" s="81" t="s">
        <v>49</v>
      </c>
      <c r="B7" s="82">
        <f>B4/(B5*730)</f>
        <v>0.15159817351598173</v>
      </c>
    </row>
    <row r="8" spans="1:10" x14ac:dyDescent="0.2">
      <c r="A8" s="15" t="s">
        <v>15</v>
      </c>
      <c r="B8" s="79">
        <f>VLOOKUP($B$3,'Data for Bill Impacts'!$A$3:$Y$15,4,0)</f>
        <v>0</v>
      </c>
    </row>
    <row r="9" spans="1:10" x14ac:dyDescent="0.2">
      <c r="A9" s="15" t="s">
        <v>82</v>
      </c>
      <c r="B9" s="79">
        <f>B4*B6</f>
        <v>1409.0079999999998</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3" t="s">
        <v>50</v>
      </c>
    </row>
    <row r="13" spans="1:10" x14ac:dyDescent="0.2">
      <c r="A13" s="101" t="s">
        <v>31</v>
      </c>
      <c r="B13" s="102">
        <f>B9</f>
        <v>1409.0079999999998</v>
      </c>
      <c r="C13" s="103">
        <v>0.10299999999999999</v>
      </c>
      <c r="D13" s="104">
        <f>B13*C13</f>
        <v>145.12782399999998</v>
      </c>
      <c r="E13" s="102">
        <f>B13</f>
        <v>1409.0079999999998</v>
      </c>
      <c r="F13" s="103">
        <f>C13</f>
        <v>0.10299999999999999</v>
      </c>
      <c r="G13" s="104">
        <f>E13*F13</f>
        <v>145.12782399999998</v>
      </c>
      <c r="H13" s="104">
        <f>G13-D13</f>
        <v>0</v>
      </c>
      <c r="I13" s="105">
        <f>IF(ISERROR(H13/D13),0,(H13/D13))</f>
        <v>0</v>
      </c>
      <c r="J13" s="124">
        <f t="shared" ref="J13:J38" si="0">G13/$G$38</f>
        <v>0.25044939939693145</v>
      </c>
    </row>
    <row r="14" spans="1:10" x14ac:dyDescent="0.2">
      <c r="A14" s="107" t="s">
        <v>32</v>
      </c>
      <c r="B14" s="73">
        <v>0</v>
      </c>
      <c r="C14" s="21">
        <v>0.121</v>
      </c>
      <c r="D14" s="22">
        <f>B14*C14</f>
        <v>0</v>
      </c>
      <c r="E14" s="73">
        <f t="shared" ref="E14" si="1">B14</f>
        <v>0</v>
      </c>
      <c r="F14" s="21">
        <f>C14</f>
        <v>0.121</v>
      </c>
      <c r="G14" s="22">
        <f>E14*F14</f>
        <v>0</v>
      </c>
      <c r="H14" s="22">
        <f t="shared" ref="H14:H38" si="2">G14-D14</f>
        <v>0</v>
      </c>
      <c r="I14" s="23">
        <f t="shared" ref="I14:I33" si="3">IF(ISERROR(H14/D14),0,(H14/D14))</f>
        <v>0</v>
      </c>
      <c r="J14" s="125">
        <f t="shared" si="0"/>
        <v>0</v>
      </c>
    </row>
    <row r="15" spans="1:10" s="1" customFormat="1" x14ac:dyDescent="0.2">
      <c r="A15" s="46" t="s">
        <v>33</v>
      </c>
      <c r="B15" s="24"/>
      <c r="C15" s="25"/>
      <c r="D15" s="25">
        <f>SUM(D13:D14)</f>
        <v>145.12782399999998</v>
      </c>
      <c r="E15" s="76"/>
      <c r="F15" s="25"/>
      <c r="G15" s="25">
        <f>SUM(G13:G14)</f>
        <v>145.12782399999998</v>
      </c>
      <c r="H15" s="25">
        <f t="shared" si="2"/>
        <v>0</v>
      </c>
      <c r="I15" s="27">
        <f t="shared" si="3"/>
        <v>0</v>
      </c>
      <c r="J15" s="47">
        <f t="shared" si="0"/>
        <v>0.25044939939693145</v>
      </c>
    </row>
    <row r="16" spans="1:10" s="1" customFormat="1" x14ac:dyDescent="0.2">
      <c r="A16" s="107" t="s">
        <v>38</v>
      </c>
      <c r="B16" s="73">
        <v>1</v>
      </c>
      <c r="C16" s="78">
        <f>VLOOKUP($B$3,'Data for Bill Impacts'!$A$3:$Y$15,7,0)</f>
        <v>198.03</v>
      </c>
      <c r="D16" s="22">
        <f>B16*C16</f>
        <v>198.03</v>
      </c>
      <c r="E16" s="73">
        <f t="shared" ref="E16:E33" si="4">B16</f>
        <v>1</v>
      </c>
      <c r="F16" s="22">
        <f>VLOOKUP($B$3,'Data for Bill Impacts'!$A$3:$Y$15,17,0)</f>
        <v>198.03</v>
      </c>
      <c r="G16" s="22">
        <f>E16*F16</f>
        <v>198.03</v>
      </c>
      <c r="H16" s="22">
        <f t="shared" si="2"/>
        <v>0</v>
      </c>
      <c r="I16" s="23">
        <f t="shared" si="3"/>
        <v>0</v>
      </c>
      <c r="J16" s="125">
        <f t="shared" si="0"/>
        <v>0.34174352784738465</v>
      </c>
    </row>
    <row r="17" spans="1:10" hidden="1" x14ac:dyDescent="0.2">
      <c r="A17" s="107" t="s">
        <v>83</v>
      </c>
      <c r="B17" s="73">
        <v>1</v>
      </c>
      <c r="C17" s="78">
        <v>0</v>
      </c>
      <c r="D17" s="22">
        <f>B17*C17</f>
        <v>0</v>
      </c>
      <c r="E17" s="73">
        <f t="shared" si="4"/>
        <v>1</v>
      </c>
      <c r="F17" s="78">
        <v>0</v>
      </c>
      <c r="G17" s="22">
        <f t="shared" ref="G17:G19" si="5">E17*F17</f>
        <v>0</v>
      </c>
      <c r="H17" s="22">
        <f t="shared" si="2"/>
        <v>0</v>
      </c>
      <c r="I17" s="23">
        <f t="shared" si="3"/>
        <v>0</v>
      </c>
      <c r="J17" s="125">
        <f t="shared" si="0"/>
        <v>0</v>
      </c>
    </row>
    <row r="18" spans="1:10" hidden="1" x14ac:dyDescent="0.2">
      <c r="A18" s="107" t="s">
        <v>98</v>
      </c>
      <c r="B18" s="73">
        <v>1</v>
      </c>
      <c r="C18" s="78">
        <v>0</v>
      </c>
      <c r="D18" s="22">
        <f t="shared" ref="D18:D19" si="6">B18*C18</f>
        <v>0</v>
      </c>
      <c r="E18" s="73">
        <f t="shared" si="4"/>
        <v>1</v>
      </c>
      <c r="F18" s="78">
        <v>0</v>
      </c>
      <c r="G18" s="22">
        <f t="shared" si="5"/>
        <v>0</v>
      </c>
      <c r="H18" s="22">
        <f t="shared" si="2"/>
        <v>0</v>
      </c>
      <c r="I18" s="23">
        <f t="shared" si="3"/>
        <v>0</v>
      </c>
      <c r="J18" s="125">
        <f t="shared" si="0"/>
        <v>0</v>
      </c>
    </row>
    <row r="19" spans="1:10" x14ac:dyDescent="0.2">
      <c r="A19" s="107" t="s">
        <v>85</v>
      </c>
      <c r="B19" s="73">
        <v>1</v>
      </c>
      <c r="C19" s="122">
        <f>VLOOKUP($B$3,'Data for Bill Impacts'!$A$3:$Y$15,13,0)</f>
        <v>0.01</v>
      </c>
      <c r="D19" s="22">
        <f t="shared" si="6"/>
        <v>0.01</v>
      </c>
      <c r="E19" s="73">
        <f t="shared" si="4"/>
        <v>1</v>
      </c>
      <c r="F19" s="122">
        <f>VLOOKUP($B$3,'Data for Bill Impacts'!$A$3:$Y$15,22,0)</f>
        <v>0.01</v>
      </c>
      <c r="G19" s="22">
        <f t="shared" si="5"/>
        <v>0.01</v>
      </c>
      <c r="H19" s="22">
        <f t="shared" si="2"/>
        <v>0</v>
      </c>
      <c r="I19" s="23">
        <f t="shared" si="3"/>
        <v>0</v>
      </c>
      <c r="J19" s="125">
        <f t="shared" si="0"/>
        <v>1.7257159412583178E-5</v>
      </c>
    </row>
    <row r="20" spans="1:10" x14ac:dyDescent="0.2">
      <c r="A20" s="107" t="s">
        <v>39</v>
      </c>
      <c r="B20" s="73">
        <f>IF($B$10="kWh",$B$4,$B$5)</f>
        <v>12</v>
      </c>
      <c r="C20" s="78">
        <f>VLOOKUP($B$3,'Data for Bill Impacts'!$A$3:$Y$15,10,0)</f>
        <v>10.379</v>
      </c>
      <c r="D20" s="22">
        <f>B20*C20</f>
        <v>124.548</v>
      </c>
      <c r="E20" s="73">
        <f t="shared" si="4"/>
        <v>12</v>
      </c>
      <c r="F20" s="78">
        <f>VLOOKUP($B$3,'Data for Bill Impacts'!$A$3:$Y$15,19,0)</f>
        <v>11.1084</v>
      </c>
      <c r="G20" s="22">
        <f>E20*F20</f>
        <v>133.30079999999998</v>
      </c>
      <c r="H20" s="22">
        <f t="shared" si="2"/>
        <v>8.7527999999999793</v>
      </c>
      <c r="I20" s="23">
        <f t="shared" si="3"/>
        <v>7.0276519895943565E-2</v>
      </c>
      <c r="J20" s="125">
        <f t="shared" si="0"/>
        <v>0.23003931554248672</v>
      </c>
    </row>
    <row r="21" spans="1:10" s="1" customFormat="1" x14ac:dyDescent="0.2">
      <c r="A21" s="107" t="s">
        <v>194</v>
      </c>
      <c r="B21" s="73">
        <f>IF($B$10="kWh",$B$4,$B$5)</f>
        <v>12</v>
      </c>
      <c r="C21" s="126">
        <f>VLOOKUP($B$3,'Data for Bill Impacts'!$A$3:$Y$15,14,0)</f>
        <v>1.72E-2</v>
      </c>
      <c r="D21" s="22">
        <f>B21*C21</f>
        <v>0.2064</v>
      </c>
      <c r="E21" s="73">
        <f>B21</f>
        <v>12</v>
      </c>
      <c r="F21" s="126">
        <f>VLOOKUP($B$3,'Data for Bill Impacts'!$A$3:$Y$15,23,0)</f>
        <v>1.72E-2</v>
      </c>
      <c r="G21" s="22">
        <f>E21*F21</f>
        <v>0.2064</v>
      </c>
      <c r="H21" s="22">
        <f>G21-D21</f>
        <v>0</v>
      </c>
      <c r="I21" s="23">
        <f>IF(ISERROR(H21/D21),0,(H21/D21))</f>
        <v>0</v>
      </c>
      <c r="J21" s="125">
        <f t="shared" si="0"/>
        <v>3.561877702757168E-4</v>
      </c>
    </row>
    <row r="22" spans="1:10" s="1" customFormat="1" x14ac:dyDescent="0.2">
      <c r="A22" s="107" t="s">
        <v>147</v>
      </c>
      <c r="B22" s="73">
        <f>B9</f>
        <v>1409.0079999999998</v>
      </c>
      <c r="C22" s="126">
        <f>VLOOKUP($B$3,'Data for Bill Impacts'!$A$3:$Y$15,20,0)</f>
        <v>1.9E-3</v>
      </c>
      <c r="D22" s="22">
        <f>B22*C22</f>
        <v>2.6771151999999998</v>
      </c>
      <c r="E22" s="73">
        <f t="shared" si="4"/>
        <v>1409.0079999999998</v>
      </c>
      <c r="F22" s="126">
        <f>VLOOKUP($B$3,'Data for Bill Impacts'!$A$3:$Y$15,21,0)</f>
        <v>1.9E-3</v>
      </c>
      <c r="G22" s="22">
        <f>E22*F22</f>
        <v>2.6771151999999998</v>
      </c>
      <c r="H22" s="22">
        <f t="shared" si="2"/>
        <v>0</v>
      </c>
      <c r="I22" s="23">
        <f>IF(ISERROR(H22/D22),0,(H22/D22))</f>
        <v>0</v>
      </c>
      <c r="J22" s="125">
        <f t="shared" si="0"/>
        <v>4.6199403772249495E-3</v>
      </c>
    </row>
    <row r="23" spans="1:10" x14ac:dyDescent="0.2">
      <c r="A23" s="110" t="s">
        <v>79</v>
      </c>
      <c r="B23" s="74"/>
      <c r="C23" s="35"/>
      <c r="D23" s="35">
        <f>SUM(D16:D22)</f>
        <v>325.47151519999994</v>
      </c>
      <c r="E23" s="73"/>
      <c r="F23" s="35"/>
      <c r="G23" s="35">
        <f>SUM(G16:G22)</f>
        <v>334.22431519999992</v>
      </c>
      <c r="H23" s="35">
        <f t="shared" si="2"/>
        <v>8.7527999999999793</v>
      </c>
      <c r="I23" s="36">
        <f t="shared" si="3"/>
        <v>2.689267598309316E-2</v>
      </c>
      <c r="J23" s="111">
        <f t="shared" si="0"/>
        <v>0.57677622869678458</v>
      </c>
    </row>
    <row r="24" spans="1:10" x14ac:dyDescent="0.2">
      <c r="A24" s="107" t="s">
        <v>40</v>
      </c>
      <c r="B24" s="73">
        <f>B5</f>
        <v>12</v>
      </c>
      <c r="C24" s="126">
        <f>VLOOKUP($B$3,'Data for Bill Impacts'!$A$3:$Y$15,15,0)</f>
        <v>0.63108279999999994</v>
      </c>
      <c r="D24" s="22">
        <f>B24*C24</f>
        <v>7.5729935999999993</v>
      </c>
      <c r="E24" s="73">
        <f t="shared" si="4"/>
        <v>12</v>
      </c>
      <c r="F24" s="78">
        <f>VLOOKUP($B$3,'Data for Bill Impacts'!$A$3:$Y$15,24,0)</f>
        <v>0.63949999999999996</v>
      </c>
      <c r="G24" s="22">
        <f>E24*F24</f>
        <v>7.6739999999999995</v>
      </c>
      <c r="H24" s="22">
        <f t="shared" si="2"/>
        <v>0.10100640000000016</v>
      </c>
      <c r="I24" s="23">
        <f t="shared" si="3"/>
        <v>1.3337710994500269E-2</v>
      </c>
      <c r="J24" s="125">
        <f t="shared" si="0"/>
        <v>1.3243144133216329E-2</v>
      </c>
    </row>
    <row r="25" spans="1:10" s="1" customFormat="1" x14ac:dyDescent="0.2">
      <c r="A25" s="107" t="s">
        <v>41</v>
      </c>
      <c r="B25" s="73">
        <f>B5</f>
        <v>12</v>
      </c>
      <c r="C25" s="126">
        <f>VLOOKUP($B$3,'Data for Bill Impacts'!$A$3:$Y$15,16,0)</f>
        <v>0.54747599999999996</v>
      </c>
      <c r="D25" s="22">
        <f>B25*C25</f>
        <v>6.5697119999999991</v>
      </c>
      <c r="E25" s="73">
        <f t="shared" si="4"/>
        <v>12</v>
      </c>
      <c r="F25" s="126">
        <f>VLOOKUP($B$3,'Data for Bill Impacts'!$A$3:$Y$15,25,0)</f>
        <v>0.55430000000000001</v>
      </c>
      <c r="G25" s="22">
        <f>E25*F25</f>
        <v>6.6516000000000002</v>
      </c>
      <c r="H25" s="22">
        <f t="shared" si="2"/>
        <v>8.1888000000001071E-2</v>
      </c>
      <c r="I25" s="23">
        <f t="shared" si="3"/>
        <v>1.2464473328511369E-2</v>
      </c>
      <c r="J25" s="125">
        <f t="shared" si="0"/>
        <v>1.1478772154873827E-2</v>
      </c>
    </row>
    <row r="26" spans="1:10" x14ac:dyDescent="0.2">
      <c r="A26" s="110" t="s">
        <v>76</v>
      </c>
      <c r="B26" s="74"/>
      <c r="C26" s="35"/>
      <c r="D26" s="35">
        <f>SUM(D24:D25)</f>
        <v>14.142705599999999</v>
      </c>
      <c r="E26" s="73"/>
      <c r="F26" s="35"/>
      <c r="G26" s="35">
        <f>SUM(G24:G25)</f>
        <v>14.3256</v>
      </c>
      <c r="H26" s="35">
        <f t="shared" si="2"/>
        <v>0.18289440000000035</v>
      </c>
      <c r="I26" s="36">
        <f t="shared" si="3"/>
        <v>1.2932065841772197E-2</v>
      </c>
      <c r="J26" s="111">
        <f t="shared" si="0"/>
        <v>2.4721916288090156E-2</v>
      </c>
    </row>
    <row r="27" spans="1:10" s="1" customFormat="1" x14ac:dyDescent="0.2">
      <c r="A27" s="110" t="s">
        <v>80</v>
      </c>
      <c r="B27" s="74"/>
      <c r="C27" s="35"/>
      <c r="D27" s="35">
        <f>D23+D26</f>
        <v>339.61422079999994</v>
      </c>
      <c r="E27" s="73"/>
      <c r="F27" s="35"/>
      <c r="G27" s="35">
        <f>G23+G26</f>
        <v>348.54991519999993</v>
      </c>
      <c r="H27" s="35">
        <f t="shared" si="2"/>
        <v>8.9356943999999885</v>
      </c>
      <c r="I27" s="36">
        <f t="shared" si="3"/>
        <v>2.6311308104092178E-2</v>
      </c>
      <c r="J27" s="111">
        <f t="shared" si="0"/>
        <v>0.60149814498487475</v>
      </c>
    </row>
    <row r="28" spans="1:10" x14ac:dyDescent="0.2">
      <c r="A28" s="107" t="s">
        <v>42</v>
      </c>
      <c r="B28" s="73">
        <f>B9</f>
        <v>1409.0079999999998</v>
      </c>
      <c r="C28" s="34">
        <v>3.5999999999999999E-3</v>
      </c>
      <c r="D28" s="22">
        <f>B28*C28</f>
        <v>5.0724287999999991</v>
      </c>
      <c r="E28" s="73">
        <f t="shared" si="4"/>
        <v>1409.0079999999998</v>
      </c>
      <c r="F28" s="34">
        <v>3.5999999999999999E-3</v>
      </c>
      <c r="G28" s="22">
        <f>E28*F28</f>
        <v>5.0724287999999991</v>
      </c>
      <c r="H28" s="22">
        <f t="shared" si="2"/>
        <v>0</v>
      </c>
      <c r="I28" s="23">
        <f t="shared" si="3"/>
        <v>0</v>
      </c>
      <c r="J28" s="125">
        <f t="shared" si="0"/>
        <v>8.7535712410577969E-3</v>
      </c>
    </row>
    <row r="29" spans="1:10" x14ac:dyDescent="0.2">
      <c r="A29" s="107" t="s">
        <v>43</v>
      </c>
      <c r="B29" s="73">
        <f>B9</f>
        <v>1409.0079999999998</v>
      </c>
      <c r="C29" s="34">
        <v>2.0999999999999999E-3</v>
      </c>
      <c r="D29" s="22">
        <f>B29*C29</f>
        <v>2.9589167999999995</v>
      </c>
      <c r="E29" s="73">
        <f t="shared" si="4"/>
        <v>1409.0079999999998</v>
      </c>
      <c r="F29" s="34">
        <v>2.0999999999999999E-3</v>
      </c>
      <c r="G29" s="22">
        <f>E29*F29</f>
        <v>2.9589167999999995</v>
      </c>
      <c r="H29" s="22">
        <f>G29-D29</f>
        <v>0</v>
      </c>
      <c r="I29" s="23">
        <f t="shared" si="3"/>
        <v>0</v>
      </c>
      <c r="J29" s="125">
        <f t="shared" si="0"/>
        <v>5.1062498906170482E-3</v>
      </c>
    </row>
    <row r="30" spans="1:10" x14ac:dyDescent="0.2">
      <c r="A30" s="107" t="s">
        <v>100</v>
      </c>
      <c r="B30" s="73">
        <f>B9</f>
        <v>1409.0079999999998</v>
      </c>
      <c r="C30" s="34">
        <v>1.1000000000000001E-3</v>
      </c>
      <c r="D30" s="22">
        <f>B30*C30</f>
        <v>1.5499087999999999</v>
      </c>
      <c r="E30" s="73">
        <f t="shared" si="4"/>
        <v>1409.0079999999998</v>
      </c>
      <c r="F30" s="34">
        <v>1.1000000000000001E-3</v>
      </c>
      <c r="G30" s="22">
        <f>E30*F30</f>
        <v>1.5499087999999999</v>
      </c>
      <c r="H30" s="22">
        <f>G30-D30</f>
        <v>0</v>
      </c>
      <c r="I30" s="23">
        <f t="shared" si="3"/>
        <v>0</v>
      </c>
      <c r="J30" s="125">
        <f t="shared" si="0"/>
        <v>2.6747023236565496E-3</v>
      </c>
    </row>
    <row r="31" spans="1:10" x14ac:dyDescent="0.2">
      <c r="A31" s="107" t="s">
        <v>44</v>
      </c>
      <c r="B31" s="73">
        <v>1</v>
      </c>
      <c r="C31" s="22">
        <v>0.25</v>
      </c>
      <c r="D31" s="22">
        <f>B31*C31</f>
        <v>0.25</v>
      </c>
      <c r="E31" s="73">
        <f t="shared" si="4"/>
        <v>1</v>
      </c>
      <c r="F31" s="22">
        <f>C31</f>
        <v>0.25</v>
      </c>
      <c r="G31" s="22">
        <f>E31*F31</f>
        <v>0.25</v>
      </c>
      <c r="H31" s="22">
        <f t="shared" si="2"/>
        <v>0</v>
      </c>
      <c r="I31" s="23">
        <f t="shared" si="3"/>
        <v>0</v>
      </c>
      <c r="J31" s="125">
        <f t="shared" si="0"/>
        <v>4.3142898531457942E-4</v>
      </c>
    </row>
    <row r="32" spans="1:10" x14ac:dyDescent="0.2">
      <c r="A32" s="110" t="s">
        <v>45</v>
      </c>
      <c r="B32" s="74"/>
      <c r="C32" s="35"/>
      <c r="D32" s="35">
        <f>SUM(D28:D31)</f>
        <v>9.8312543999999988</v>
      </c>
      <c r="E32" s="73"/>
      <c r="F32" s="35"/>
      <c r="G32" s="35">
        <f>SUM(G28:G31)</f>
        <v>9.8312543999999988</v>
      </c>
      <c r="H32" s="35">
        <f t="shared" si="2"/>
        <v>0</v>
      </c>
      <c r="I32" s="36">
        <f t="shared" si="3"/>
        <v>0</v>
      </c>
      <c r="J32" s="111">
        <f t="shared" si="0"/>
        <v>1.6965952440645974E-2</v>
      </c>
    </row>
    <row r="33" spans="1:10" ht="13.5" thickBot="1" x14ac:dyDescent="0.25">
      <c r="A33" s="112" t="s">
        <v>46</v>
      </c>
      <c r="B33" s="113">
        <f>B4</f>
        <v>1328</v>
      </c>
      <c r="C33" s="114">
        <v>7.0000000000000001E-3</v>
      </c>
      <c r="D33" s="115">
        <f>B33*C33</f>
        <v>9.2959999999999994</v>
      </c>
      <c r="E33" s="116">
        <f t="shared" si="4"/>
        <v>1328</v>
      </c>
      <c r="F33" s="114">
        <f>C33</f>
        <v>7.0000000000000001E-3</v>
      </c>
      <c r="G33" s="115">
        <f>E33*F33</f>
        <v>9.2959999999999994</v>
      </c>
      <c r="H33" s="115">
        <f t="shared" si="2"/>
        <v>0</v>
      </c>
      <c r="I33" s="117">
        <f t="shared" si="3"/>
        <v>0</v>
      </c>
      <c r="J33" s="118">
        <f t="shared" si="0"/>
        <v>1.604225538993732E-2</v>
      </c>
    </row>
    <row r="34" spans="1:10" x14ac:dyDescent="0.2">
      <c r="A34" s="37" t="s">
        <v>146</v>
      </c>
      <c r="B34" s="38"/>
      <c r="C34" s="39"/>
      <c r="D34" s="39">
        <f>SUM(D15,D23,D26,D32,D33)</f>
        <v>503.86929919999989</v>
      </c>
      <c r="E34" s="38"/>
      <c r="F34" s="39"/>
      <c r="G34" s="39">
        <f>SUM(G15,G23,G26,G32,G33)</f>
        <v>512.80499359999988</v>
      </c>
      <c r="H34" s="39">
        <f t="shared" si="2"/>
        <v>8.9356943999999885</v>
      </c>
      <c r="I34" s="40">
        <f>IF(ISERROR(H34/D34),0,(H34/D34))</f>
        <v>1.7734151324931509E-2</v>
      </c>
      <c r="J34" s="41">
        <f t="shared" si="0"/>
        <v>0.88495575221238942</v>
      </c>
    </row>
    <row r="35" spans="1:10" x14ac:dyDescent="0.2">
      <c r="A35" s="46" t="s">
        <v>138</v>
      </c>
      <c r="B35" s="43"/>
      <c r="C35" s="26">
        <v>0.13</v>
      </c>
      <c r="D35" s="26">
        <f>D34*C35</f>
        <v>65.503008895999983</v>
      </c>
      <c r="E35" s="26"/>
      <c r="F35" s="26">
        <f>C35</f>
        <v>0.13</v>
      </c>
      <c r="G35" s="26">
        <f>G34*F35</f>
        <v>66.664649167999983</v>
      </c>
      <c r="H35" s="26">
        <f t="shared" si="2"/>
        <v>1.1616402719999996</v>
      </c>
      <c r="I35" s="44">
        <f t="shared" ref="I35:I38" si="7">IF(ISERROR(H35/D35),0,(H35/D35))</f>
        <v>1.7734151324931526E-2</v>
      </c>
      <c r="J35" s="45">
        <f t="shared" si="0"/>
        <v>0.11504424778761062</v>
      </c>
    </row>
    <row r="36" spans="1:10" x14ac:dyDescent="0.2">
      <c r="A36" s="46" t="s">
        <v>139</v>
      </c>
      <c r="B36" s="24"/>
      <c r="C36" s="25"/>
      <c r="D36" s="25">
        <f>SUM(D34:D35)</f>
        <v>569.37230809599987</v>
      </c>
      <c r="E36" s="25"/>
      <c r="F36" s="25"/>
      <c r="G36" s="25">
        <f>SUM(G34:G35)</f>
        <v>579.46964276799986</v>
      </c>
      <c r="H36" s="25">
        <f t="shared" si="2"/>
        <v>10.097334671999988</v>
      </c>
      <c r="I36" s="27">
        <f t="shared" si="7"/>
        <v>1.7734151324931509E-2</v>
      </c>
      <c r="J36" s="47">
        <f t="shared" si="0"/>
        <v>1</v>
      </c>
    </row>
    <row r="37" spans="1:10" x14ac:dyDescent="0.2">
      <c r="A37" s="46" t="s">
        <v>140</v>
      </c>
      <c r="B37" s="43"/>
      <c r="C37" s="26">
        <v>0</v>
      </c>
      <c r="D37" s="26">
        <f>D34*C37</f>
        <v>0</v>
      </c>
      <c r="E37" s="26"/>
      <c r="F37" s="26">
        <f>C37</f>
        <v>0</v>
      </c>
      <c r="G37" s="26">
        <f>G34*F37</f>
        <v>0</v>
      </c>
      <c r="H37" s="26">
        <f t="shared" si="2"/>
        <v>0</v>
      </c>
      <c r="I37" s="44">
        <f t="shared" si="7"/>
        <v>0</v>
      </c>
      <c r="J37" s="45">
        <f t="shared" si="0"/>
        <v>0</v>
      </c>
    </row>
    <row r="38" spans="1:10" ht="13.5" thickBot="1" x14ac:dyDescent="0.25">
      <c r="A38" s="46" t="s">
        <v>141</v>
      </c>
      <c r="B38" s="49"/>
      <c r="C38" s="50"/>
      <c r="D38" s="50">
        <f>SUM(D36:D37)</f>
        <v>569.37230809599987</v>
      </c>
      <c r="E38" s="50"/>
      <c r="F38" s="50"/>
      <c r="G38" s="50">
        <f>SUM(G36:G37)</f>
        <v>579.46964276799986</v>
      </c>
      <c r="H38" s="50">
        <f t="shared" si="2"/>
        <v>10.097334671999988</v>
      </c>
      <c r="I38" s="51">
        <f t="shared" si="7"/>
        <v>1.7734151324931509E-2</v>
      </c>
      <c r="J38" s="52">
        <f t="shared" si="0"/>
        <v>1</v>
      </c>
    </row>
    <row r="39" spans="1:10" x14ac:dyDescent="0.2">
      <c r="F39" s="69"/>
      <c r="G39" s="130"/>
    </row>
    <row r="40" spans="1:10" x14ac:dyDescent="0.2">
      <c r="F40" s="133"/>
    </row>
    <row r="41" spans="1:10" x14ac:dyDescent="0.2">
      <c r="F41" s="131"/>
    </row>
    <row r="42" spans="1:10" x14ac:dyDescent="0.2">
      <c r="F42" s="132"/>
      <c r="G42" s="130"/>
      <c r="H42" s="130"/>
    </row>
    <row r="43" spans="1:10" x14ac:dyDescent="0.2">
      <c r="F43" s="131"/>
      <c r="G43" s="130"/>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0.3" footer="0.3"/>
  <pageSetup paperSize="17" orientation="landscape" r:id="rId1"/>
  <headerFooter>
    <oddHeader>&amp;RFiled: 2017-03-31
EB-2017-0049
Exhibit H1-4-1
Attachment 4
Page &amp;P of &amp;N</oddHead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tabColor theme="1" tint="0.499984740745262"/>
    <pageSetUpPr fitToPage="1"/>
  </sheetPr>
  <dimension ref="A1:J40"/>
  <sheetViews>
    <sheetView view="pageBreakPreview" topLeftCell="A7" zoomScaleNormal="100" zoomScaleSheetLayoutView="100" workbookViewId="0">
      <selection activeCell="C19" sqref="C19"/>
    </sheetView>
  </sheetViews>
  <sheetFormatPr defaultRowHeight="12.75" x14ac:dyDescent="0.2"/>
  <cols>
    <col min="1" max="1" width="64.710937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48" t="s">
        <v>111</v>
      </c>
      <c r="B1" s="349"/>
      <c r="C1" s="349"/>
      <c r="D1" s="349"/>
      <c r="E1" s="349"/>
      <c r="F1" s="349"/>
      <c r="G1" s="349"/>
      <c r="H1" s="349"/>
      <c r="I1" s="349"/>
      <c r="J1" s="350"/>
    </row>
    <row r="3" spans="1:10" x14ac:dyDescent="0.2">
      <c r="A3" s="13" t="s">
        <v>13</v>
      </c>
      <c r="B3" s="13" t="s">
        <v>10</v>
      </c>
    </row>
    <row r="4" spans="1:10" x14ac:dyDescent="0.2">
      <c r="A4" s="15" t="s">
        <v>62</v>
      </c>
      <c r="B4" s="79">
        <v>5000</v>
      </c>
    </row>
    <row r="5" spans="1:10" x14ac:dyDescent="0.2">
      <c r="A5" s="15" t="s">
        <v>16</v>
      </c>
      <c r="B5" s="79">
        <v>100</v>
      </c>
    </row>
    <row r="6" spans="1:10" x14ac:dyDescent="0.2">
      <c r="A6" s="15" t="s">
        <v>20</v>
      </c>
      <c r="B6" s="80">
        <f>VLOOKUP($B$3,'Data for Bill Impacts'!$A$3:$Y$15,2,0)</f>
        <v>1.0609999999999999</v>
      </c>
    </row>
    <row r="7" spans="1:10" x14ac:dyDescent="0.2">
      <c r="A7" s="81" t="s">
        <v>49</v>
      </c>
      <c r="B7" s="82">
        <f>B4/(B5*730)</f>
        <v>6.8493150684931503E-2</v>
      </c>
    </row>
    <row r="8" spans="1:10" x14ac:dyDescent="0.2">
      <c r="A8" s="15" t="s">
        <v>15</v>
      </c>
      <c r="B8" s="79">
        <f>VLOOKUP($B$3,'Data for Bill Impacts'!$A$3:$Y$15,4,0)</f>
        <v>0</v>
      </c>
    </row>
    <row r="9" spans="1:10" x14ac:dyDescent="0.2">
      <c r="A9" s="15" t="s">
        <v>82</v>
      </c>
      <c r="B9" s="79">
        <f>B4*B6</f>
        <v>5305</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3" t="s">
        <v>50</v>
      </c>
    </row>
    <row r="13" spans="1:10" x14ac:dyDescent="0.2">
      <c r="A13" s="101" t="s">
        <v>31</v>
      </c>
      <c r="B13" s="102">
        <f>B9</f>
        <v>5305</v>
      </c>
      <c r="C13" s="103">
        <v>0.10299999999999999</v>
      </c>
      <c r="D13" s="104">
        <f>B13*C13</f>
        <v>546.41499999999996</v>
      </c>
      <c r="E13" s="102">
        <f>B13</f>
        <v>5305</v>
      </c>
      <c r="F13" s="103">
        <f>C13</f>
        <v>0.10299999999999999</v>
      </c>
      <c r="G13" s="104">
        <f>E13*F13</f>
        <v>546.41499999999996</v>
      </c>
      <c r="H13" s="104">
        <f>G13-D13</f>
        <v>0</v>
      </c>
      <c r="I13" s="105">
        <f>IF(ISERROR(H13/D13),0,(H13/D13))</f>
        <v>0</v>
      </c>
      <c r="J13" s="124">
        <f t="shared" ref="J13:J29" si="0">G13/$G$38</f>
        <v>0.23498563991816143</v>
      </c>
    </row>
    <row r="14" spans="1:10" x14ac:dyDescent="0.2">
      <c r="A14" s="107" t="s">
        <v>32</v>
      </c>
      <c r="B14" s="73">
        <v>0</v>
      </c>
      <c r="C14" s="21">
        <v>0.121</v>
      </c>
      <c r="D14" s="22">
        <f>B14*C14</f>
        <v>0</v>
      </c>
      <c r="E14" s="73">
        <f t="shared" ref="E14" si="1">B14</f>
        <v>0</v>
      </c>
      <c r="F14" s="21">
        <f>C14</f>
        <v>0.121</v>
      </c>
      <c r="G14" s="22">
        <f>E14*F14</f>
        <v>0</v>
      </c>
      <c r="H14" s="22">
        <f t="shared" ref="H14:H38" si="2">G14-D14</f>
        <v>0</v>
      </c>
      <c r="I14" s="23">
        <f t="shared" ref="I14:I33" si="3">IF(ISERROR(H14/D14),0,(H14/D14))</f>
        <v>0</v>
      </c>
      <c r="J14" s="125">
        <f t="shared" si="0"/>
        <v>0</v>
      </c>
    </row>
    <row r="15" spans="1:10" s="1" customFormat="1" x14ac:dyDescent="0.2">
      <c r="A15" s="46" t="s">
        <v>33</v>
      </c>
      <c r="B15" s="24"/>
      <c r="C15" s="25"/>
      <c r="D15" s="25">
        <f>SUM(D13:D14)</f>
        <v>546.41499999999996</v>
      </c>
      <c r="E15" s="76"/>
      <c r="F15" s="25"/>
      <c r="G15" s="25">
        <f>SUM(G13:G14)</f>
        <v>546.41499999999996</v>
      </c>
      <c r="H15" s="25">
        <f t="shared" si="2"/>
        <v>0</v>
      </c>
      <c r="I15" s="27">
        <f t="shared" si="3"/>
        <v>0</v>
      </c>
      <c r="J15" s="47">
        <f t="shared" si="0"/>
        <v>0.23498563991816143</v>
      </c>
    </row>
    <row r="16" spans="1:10" s="1" customFormat="1" x14ac:dyDescent="0.2">
      <c r="A16" s="107" t="s">
        <v>38</v>
      </c>
      <c r="B16" s="73">
        <v>1</v>
      </c>
      <c r="C16" s="78">
        <f>VLOOKUP($B$3,'Data for Bill Impacts'!$A$3:$Y$15,7,0)</f>
        <v>198.03</v>
      </c>
      <c r="D16" s="22">
        <f>B16*C16</f>
        <v>198.03</v>
      </c>
      <c r="E16" s="73">
        <f t="shared" ref="E16:E33" si="4">B16</f>
        <v>1</v>
      </c>
      <c r="F16" s="78">
        <f>VLOOKUP($B$3,'Data for Bill Impacts'!$A$3:$Y$15,17,0)</f>
        <v>198.03</v>
      </c>
      <c r="G16" s="22">
        <f>E16*F16</f>
        <v>198.03</v>
      </c>
      <c r="H16" s="22">
        <f t="shared" si="2"/>
        <v>0</v>
      </c>
      <c r="I16" s="23">
        <f t="shared" si="3"/>
        <v>0</v>
      </c>
      <c r="J16" s="125">
        <f t="shared" si="0"/>
        <v>8.5162754084337933E-2</v>
      </c>
    </row>
    <row r="17" spans="1:10" hidden="1" x14ac:dyDescent="0.2">
      <c r="A17" s="107" t="s">
        <v>83</v>
      </c>
      <c r="B17" s="73">
        <v>1</v>
      </c>
      <c r="C17" s="78">
        <v>0</v>
      </c>
      <c r="D17" s="22">
        <f>B17*C17</f>
        <v>0</v>
      </c>
      <c r="E17" s="73">
        <f t="shared" si="4"/>
        <v>1</v>
      </c>
      <c r="F17" s="78">
        <v>0</v>
      </c>
      <c r="G17" s="22">
        <f t="shared" ref="G17:G19" si="5">E17*F17</f>
        <v>0</v>
      </c>
      <c r="H17" s="22">
        <f t="shared" si="2"/>
        <v>0</v>
      </c>
      <c r="I17" s="23">
        <f t="shared" si="3"/>
        <v>0</v>
      </c>
      <c r="J17" s="125">
        <f t="shared" si="0"/>
        <v>0</v>
      </c>
    </row>
    <row r="18" spans="1:10" hidden="1" x14ac:dyDescent="0.2">
      <c r="A18" s="107" t="s">
        <v>84</v>
      </c>
      <c r="B18" s="73">
        <v>1</v>
      </c>
      <c r="C18" s="78">
        <v>0</v>
      </c>
      <c r="D18" s="22">
        <f t="shared" ref="D18:D19" si="6">B18*C18</f>
        <v>0</v>
      </c>
      <c r="E18" s="73">
        <f t="shared" si="4"/>
        <v>1</v>
      </c>
      <c r="F18" s="78">
        <v>0</v>
      </c>
      <c r="G18" s="22">
        <f t="shared" si="5"/>
        <v>0</v>
      </c>
      <c r="H18" s="22">
        <f t="shared" si="2"/>
        <v>0</v>
      </c>
      <c r="I18" s="23">
        <f t="shared" si="3"/>
        <v>0</v>
      </c>
      <c r="J18" s="125">
        <f t="shared" si="0"/>
        <v>0</v>
      </c>
    </row>
    <row r="19" spans="1:10" x14ac:dyDescent="0.2">
      <c r="A19" s="107" t="s">
        <v>85</v>
      </c>
      <c r="B19" s="73">
        <v>1</v>
      </c>
      <c r="C19" s="122">
        <f>VLOOKUP($B$3,'Data for Bill Impacts'!$A$3:$Y$15,13,0)</f>
        <v>0.01</v>
      </c>
      <c r="D19" s="22">
        <f t="shared" si="6"/>
        <v>0.01</v>
      </c>
      <c r="E19" s="73">
        <f t="shared" si="4"/>
        <v>1</v>
      </c>
      <c r="F19" s="122">
        <f>VLOOKUP($B$3,'Data for Bill Impacts'!$A$3:$Y$15,22,0)</f>
        <v>0.01</v>
      </c>
      <c r="G19" s="22">
        <f t="shared" si="5"/>
        <v>0.01</v>
      </c>
      <c r="H19" s="22">
        <f t="shared" si="2"/>
        <v>0</v>
      </c>
      <c r="I19" s="23">
        <f t="shared" si="3"/>
        <v>0</v>
      </c>
      <c r="J19" s="125">
        <f t="shared" si="0"/>
        <v>4.3004976056323756E-6</v>
      </c>
    </row>
    <row r="20" spans="1:10" x14ac:dyDescent="0.2">
      <c r="A20" s="107" t="s">
        <v>39</v>
      </c>
      <c r="B20" s="73">
        <f>IF($B$10="kWh",$B$4,$B$5)</f>
        <v>100</v>
      </c>
      <c r="C20" s="78">
        <f>VLOOKUP($B$3,'Data for Bill Impacts'!$A$3:$Y$15,10,0)</f>
        <v>10.379</v>
      </c>
      <c r="D20" s="22">
        <f>B20*C20</f>
        <v>1037.8999999999999</v>
      </c>
      <c r="E20" s="73">
        <f t="shared" si="4"/>
        <v>100</v>
      </c>
      <c r="F20" s="78">
        <f>VLOOKUP($B$3,'Data for Bill Impacts'!$A$3:$Y$15,19,0)</f>
        <v>11.1084</v>
      </c>
      <c r="G20" s="22">
        <f>E20*F20</f>
        <v>1110.8399999999999</v>
      </c>
      <c r="H20" s="22">
        <f t="shared" si="2"/>
        <v>72.940000000000055</v>
      </c>
      <c r="I20" s="23">
        <f t="shared" si="3"/>
        <v>7.0276519895943801E-2</v>
      </c>
      <c r="J20" s="125">
        <f t="shared" si="0"/>
        <v>0.47771647602406681</v>
      </c>
    </row>
    <row r="21" spans="1:10" s="1" customFormat="1" x14ac:dyDescent="0.2">
      <c r="A21" s="107" t="s">
        <v>194</v>
      </c>
      <c r="B21" s="73">
        <f>IF($B$10="kWh",$B$4,$B$5)</f>
        <v>100</v>
      </c>
      <c r="C21" s="126">
        <f>VLOOKUP($B$3,'Data for Bill Impacts'!$A$3:$Y$15,14,0)</f>
        <v>1.72E-2</v>
      </c>
      <c r="D21" s="22">
        <f>B21*C21</f>
        <v>1.72</v>
      </c>
      <c r="E21" s="73">
        <f>B21</f>
        <v>100</v>
      </c>
      <c r="F21" s="126">
        <f>VLOOKUP($B$3,'Data for Bill Impacts'!$A$3:$Y$15,23,0)</f>
        <v>1.72E-2</v>
      </c>
      <c r="G21" s="22">
        <f>E21*F21</f>
        <v>1.72</v>
      </c>
      <c r="H21" s="22">
        <f>G21-D21</f>
        <v>0</v>
      </c>
      <c r="I21" s="23">
        <f>IF(ISERROR(H21/D21),0,(H21/D21))</f>
        <v>0</v>
      </c>
      <c r="J21" s="125">
        <f t="shared" si="0"/>
        <v>7.3968558816876859E-4</v>
      </c>
    </row>
    <row r="22" spans="1:10" s="1" customFormat="1" x14ac:dyDescent="0.2">
      <c r="A22" s="107" t="s">
        <v>147</v>
      </c>
      <c r="B22" s="73">
        <f>B9</f>
        <v>5305</v>
      </c>
      <c r="C22" s="126">
        <f>VLOOKUP($B$3,'Data for Bill Impacts'!$A$3:$Y$15,20,0)</f>
        <v>1.9E-3</v>
      </c>
      <c r="D22" s="22">
        <f>B22*C22</f>
        <v>10.079499999999999</v>
      </c>
      <c r="E22" s="73">
        <f t="shared" si="4"/>
        <v>5305</v>
      </c>
      <c r="F22" s="126">
        <f>VLOOKUP($B$3,'Data for Bill Impacts'!$A$3:$Y$15,21,0)</f>
        <v>1.9E-3</v>
      </c>
      <c r="G22" s="22">
        <f>E22*F22</f>
        <v>10.079499999999999</v>
      </c>
      <c r="H22" s="22">
        <f t="shared" si="2"/>
        <v>0</v>
      </c>
      <c r="I22" s="23">
        <f>IF(ISERROR(H22/D22),0,(H22/D22))</f>
        <v>0</v>
      </c>
      <c r="J22" s="125">
        <f t="shared" si="0"/>
        <v>4.3346865615971524E-3</v>
      </c>
    </row>
    <row r="23" spans="1:10" x14ac:dyDescent="0.2">
      <c r="A23" s="110" t="s">
        <v>97</v>
      </c>
      <c r="B23" s="74"/>
      <c r="C23" s="35"/>
      <c r="D23" s="35">
        <f>SUM(D16:D22)</f>
        <v>1247.7394999999999</v>
      </c>
      <c r="E23" s="73"/>
      <c r="F23" s="35"/>
      <c r="G23" s="35">
        <f>SUM(G16:G22)</f>
        <v>1320.6795</v>
      </c>
      <c r="H23" s="35">
        <f t="shared" si="2"/>
        <v>72.940000000000055</v>
      </c>
      <c r="I23" s="36">
        <f t="shared" si="3"/>
        <v>5.8457714931682503E-2</v>
      </c>
      <c r="J23" s="111">
        <f t="shared" si="0"/>
        <v>0.56795790275577629</v>
      </c>
    </row>
    <row r="24" spans="1:10" x14ac:dyDescent="0.2">
      <c r="A24" s="107" t="s">
        <v>40</v>
      </c>
      <c r="B24" s="73">
        <f>B5</f>
        <v>100</v>
      </c>
      <c r="C24" s="126">
        <f>VLOOKUP($B$3,'Data for Bill Impacts'!$A$3:$Y$15,15,0)</f>
        <v>0.63108279999999994</v>
      </c>
      <c r="D24" s="22">
        <f>B24*C24</f>
        <v>63.108279999999993</v>
      </c>
      <c r="E24" s="73">
        <f t="shared" si="4"/>
        <v>100</v>
      </c>
      <c r="F24" s="78">
        <f>VLOOKUP($B$3,'Data for Bill Impacts'!$A$3:$Y$15,24,0)</f>
        <v>0.63949999999999996</v>
      </c>
      <c r="G24" s="22">
        <f>E24*F24</f>
        <v>63.949999999999996</v>
      </c>
      <c r="H24" s="22">
        <f t="shared" si="2"/>
        <v>0.84172000000000224</v>
      </c>
      <c r="I24" s="23">
        <f t="shared" si="3"/>
        <v>1.3337710994500283E-2</v>
      </c>
      <c r="J24" s="125">
        <f t="shared" si="0"/>
        <v>2.7501682188019041E-2</v>
      </c>
    </row>
    <row r="25" spans="1:10" s="1" customFormat="1" x14ac:dyDescent="0.2">
      <c r="A25" s="107" t="s">
        <v>41</v>
      </c>
      <c r="B25" s="73">
        <f>B5</f>
        <v>100</v>
      </c>
      <c r="C25" s="126">
        <f>VLOOKUP($B$3,'Data for Bill Impacts'!$A$3:$Y$15,16,0)</f>
        <v>0.54747599999999996</v>
      </c>
      <c r="D25" s="22">
        <f>B25*C25</f>
        <v>54.747599999999998</v>
      </c>
      <c r="E25" s="73">
        <f t="shared" si="4"/>
        <v>100</v>
      </c>
      <c r="F25" s="126">
        <f>VLOOKUP($B$3,'Data for Bill Impacts'!$A$3:$Y$15,25,0)</f>
        <v>0.55430000000000001</v>
      </c>
      <c r="G25" s="22">
        <f>E25*F25</f>
        <v>55.43</v>
      </c>
      <c r="H25" s="22">
        <f t="shared" si="2"/>
        <v>0.68240000000000123</v>
      </c>
      <c r="I25" s="23">
        <f t="shared" si="3"/>
        <v>1.2464473328511227E-2</v>
      </c>
      <c r="J25" s="125">
        <f t="shared" si="0"/>
        <v>2.3837658228020257E-2</v>
      </c>
    </row>
    <row r="26" spans="1:10" x14ac:dyDescent="0.2">
      <c r="A26" s="110" t="s">
        <v>76</v>
      </c>
      <c r="B26" s="74"/>
      <c r="C26" s="35"/>
      <c r="D26" s="35">
        <f>SUM(D24:D25)</f>
        <v>117.85587999999998</v>
      </c>
      <c r="E26" s="73"/>
      <c r="F26" s="35"/>
      <c r="G26" s="35">
        <f>SUM(G24:G25)</f>
        <v>119.38</v>
      </c>
      <c r="H26" s="35">
        <f t="shared" si="2"/>
        <v>1.5241200000000106</v>
      </c>
      <c r="I26" s="36">
        <f t="shared" si="3"/>
        <v>1.2932065841772263E-2</v>
      </c>
      <c r="J26" s="111">
        <f t="shared" si="0"/>
        <v>5.1339340416039297E-2</v>
      </c>
    </row>
    <row r="27" spans="1:10" s="1" customFormat="1" x14ac:dyDescent="0.2">
      <c r="A27" s="110" t="s">
        <v>80</v>
      </c>
      <c r="B27" s="74"/>
      <c r="C27" s="35"/>
      <c r="D27" s="35">
        <f>D23+D26</f>
        <v>1365.59538</v>
      </c>
      <c r="E27" s="73"/>
      <c r="F27" s="35"/>
      <c r="G27" s="35">
        <f>G23+G26</f>
        <v>1440.0594999999998</v>
      </c>
      <c r="H27" s="35">
        <f t="shared" si="2"/>
        <v>74.464119999999866</v>
      </c>
      <c r="I27" s="36">
        <f t="shared" si="3"/>
        <v>5.4528684770447797E-2</v>
      </c>
      <c r="J27" s="111">
        <f t="shared" si="0"/>
        <v>0.61929724317181556</v>
      </c>
    </row>
    <row r="28" spans="1:10" x14ac:dyDescent="0.2">
      <c r="A28" s="107" t="s">
        <v>42</v>
      </c>
      <c r="B28" s="73">
        <f>B9</f>
        <v>5305</v>
      </c>
      <c r="C28" s="34">
        <v>3.5999999999999999E-3</v>
      </c>
      <c r="D28" s="22">
        <f>B28*C28</f>
        <v>19.097999999999999</v>
      </c>
      <c r="E28" s="73">
        <f t="shared" si="4"/>
        <v>5305</v>
      </c>
      <c r="F28" s="34">
        <v>3.5999999999999999E-3</v>
      </c>
      <c r="G28" s="22">
        <f>E28*F28</f>
        <v>19.097999999999999</v>
      </c>
      <c r="H28" s="22">
        <f t="shared" si="2"/>
        <v>0</v>
      </c>
      <c r="I28" s="23">
        <f t="shared" si="3"/>
        <v>0</v>
      </c>
      <c r="J28" s="125">
        <f t="shared" si="0"/>
        <v>8.213090327236711E-3</v>
      </c>
    </row>
    <row r="29" spans="1:10" x14ac:dyDescent="0.2">
      <c r="A29" s="107" t="s">
        <v>43</v>
      </c>
      <c r="B29" s="73">
        <f>B9</f>
        <v>5305</v>
      </c>
      <c r="C29" s="34">
        <v>2.0999999999999999E-3</v>
      </c>
      <c r="D29" s="22">
        <f>B29*C29</f>
        <v>11.140499999999999</v>
      </c>
      <c r="E29" s="73">
        <f t="shared" si="4"/>
        <v>5305</v>
      </c>
      <c r="F29" s="34">
        <v>2.0999999999999999E-3</v>
      </c>
      <c r="G29" s="22">
        <f>E29*F29</f>
        <v>11.140499999999999</v>
      </c>
      <c r="H29" s="22">
        <f>G29-D29</f>
        <v>0</v>
      </c>
      <c r="I29" s="23">
        <f t="shared" si="3"/>
        <v>0</v>
      </c>
      <c r="J29" s="125">
        <f t="shared" si="0"/>
        <v>4.7909693575547479E-3</v>
      </c>
    </row>
    <row r="30" spans="1:10" x14ac:dyDescent="0.2">
      <c r="A30" s="107" t="s">
        <v>100</v>
      </c>
      <c r="B30" s="73">
        <f>B9</f>
        <v>5305</v>
      </c>
      <c r="C30" s="34">
        <v>1.1000000000000001E-3</v>
      </c>
      <c r="D30" s="22">
        <f>B30*C30</f>
        <v>5.8355000000000006</v>
      </c>
      <c r="E30" s="73">
        <f t="shared" si="4"/>
        <v>5305</v>
      </c>
      <c r="F30" s="34">
        <v>1.1000000000000001E-3</v>
      </c>
      <c r="G30" s="22">
        <f>E30*F30</f>
        <v>5.8355000000000006</v>
      </c>
      <c r="H30" s="22">
        <f>G30-D30</f>
        <v>0</v>
      </c>
      <c r="I30" s="23">
        <f t="shared" ref="I30" si="7">IF(ISERROR(H30/D30),0,(H30/D30))</f>
        <v>0</v>
      </c>
      <c r="J30" s="125">
        <f t="shared" ref="J30" si="8">G30/$G$38</f>
        <v>2.5095553777667728E-3</v>
      </c>
    </row>
    <row r="31" spans="1:10" x14ac:dyDescent="0.2">
      <c r="A31" s="107" t="s">
        <v>44</v>
      </c>
      <c r="B31" s="73">
        <v>1</v>
      </c>
      <c r="C31" s="22">
        <v>0.25</v>
      </c>
      <c r="D31" s="22">
        <f>B31*C31</f>
        <v>0.25</v>
      </c>
      <c r="E31" s="73">
        <f t="shared" si="4"/>
        <v>1</v>
      </c>
      <c r="F31" s="22">
        <f>C31</f>
        <v>0.25</v>
      </c>
      <c r="G31" s="22">
        <f>E31*F31</f>
        <v>0.25</v>
      </c>
      <c r="H31" s="22">
        <f t="shared" si="2"/>
        <v>0</v>
      </c>
      <c r="I31" s="23">
        <f t="shared" si="3"/>
        <v>0</v>
      </c>
      <c r="J31" s="125">
        <f t="shared" ref="J31:J38" si="9">G31/$G$38</f>
        <v>1.0751244014080939E-4</v>
      </c>
    </row>
    <row r="32" spans="1:10" x14ac:dyDescent="0.2">
      <c r="A32" s="110" t="s">
        <v>45</v>
      </c>
      <c r="B32" s="74"/>
      <c r="C32" s="35"/>
      <c r="D32" s="35">
        <f>SUM(D28:D31)</f>
        <v>36.323999999999998</v>
      </c>
      <c r="E32" s="73"/>
      <c r="F32" s="35"/>
      <c r="G32" s="35">
        <f>SUM(G28:G31)</f>
        <v>36.323999999999998</v>
      </c>
      <c r="H32" s="35">
        <f t="shared" si="2"/>
        <v>0</v>
      </c>
      <c r="I32" s="36">
        <f t="shared" si="3"/>
        <v>0</v>
      </c>
      <c r="J32" s="111">
        <f t="shared" si="9"/>
        <v>1.5621127502699041E-2</v>
      </c>
    </row>
    <row r="33" spans="1:10" ht="13.5" thickBot="1" x14ac:dyDescent="0.25">
      <c r="A33" s="112" t="s">
        <v>46</v>
      </c>
      <c r="B33" s="113">
        <f>B4</f>
        <v>5000</v>
      </c>
      <c r="C33" s="114">
        <v>7.0000000000000001E-3</v>
      </c>
      <c r="D33" s="115">
        <f>B33*C33</f>
        <v>35</v>
      </c>
      <c r="E33" s="116">
        <f t="shared" si="4"/>
        <v>5000</v>
      </c>
      <c r="F33" s="114">
        <f>C33</f>
        <v>7.0000000000000001E-3</v>
      </c>
      <c r="G33" s="115">
        <f>E33*F33</f>
        <v>35</v>
      </c>
      <c r="H33" s="115">
        <f t="shared" si="2"/>
        <v>0</v>
      </c>
      <c r="I33" s="117">
        <f t="shared" si="3"/>
        <v>0</v>
      </c>
      <c r="J33" s="118">
        <f t="shared" si="9"/>
        <v>1.5051741619713314E-2</v>
      </c>
    </row>
    <row r="34" spans="1:10" x14ac:dyDescent="0.2">
      <c r="A34" s="37" t="s">
        <v>146</v>
      </c>
      <c r="B34" s="38"/>
      <c r="C34" s="39"/>
      <c r="D34" s="39">
        <f>SUM(D15,D23,D26,D32,D33)</f>
        <v>1983.33438</v>
      </c>
      <c r="E34" s="38"/>
      <c r="F34" s="39"/>
      <c r="G34" s="39">
        <f>SUM(G15,G23,G26,G32,G33)</f>
        <v>2057.7984999999999</v>
      </c>
      <c r="H34" s="39">
        <f t="shared" si="2"/>
        <v>74.464119999999866</v>
      </c>
      <c r="I34" s="40">
        <f>IF(ISERROR(H34/D34),0,(H34/D34))</f>
        <v>3.7544914640162623E-2</v>
      </c>
      <c r="J34" s="41">
        <f t="shared" si="9"/>
        <v>0.88495575221238931</v>
      </c>
    </row>
    <row r="35" spans="1:10" x14ac:dyDescent="0.2">
      <c r="A35" s="46" t="s">
        <v>138</v>
      </c>
      <c r="B35" s="43"/>
      <c r="C35" s="26">
        <v>0.13</v>
      </c>
      <c r="D35" s="26">
        <f>D34*C35</f>
        <v>257.83346940000001</v>
      </c>
      <c r="E35" s="26"/>
      <c r="F35" s="26">
        <f>C35</f>
        <v>0.13</v>
      </c>
      <c r="G35" s="26">
        <f>G34*F35</f>
        <v>267.51380499999999</v>
      </c>
      <c r="H35" s="26">
        <f t="shared" si="2"/>
        <v>9.6803355999999781</v>
      </c>
      <c r="I35" s="44">
        <f t="shared" ref="I35:I38" si="10">IF(ISERROR(H35/D35),0,(H35/D35))</f>
        <v>3.7544914640162609E-2</v>
      </c>
      <c r="J35" s="45">
        <f t="shared" si="9"/>
        <v>0.11504424778761062</v>
      </c>
    </row>
    <row r="36" spans="1:10" x14ac:dyDescent="0.2">
      <c r="A36" s="46" t="s">
        <v>139</v>
      </c>
      <c r="B36" s="24"/>
      <c r="C36" s="25"/>
      <c r="D36" s="25">
        <f>SUM(D34:D35)</f>
        <v>2241.1678493999998</v>
      </c>
      <c r="E36" s="25"/>
      <c r="F36" s="25"/>
      <c r="G36" s="25">
        <f>SUM(G34:G35)</f>
        <v>2325.3123049999999</v>
      </c>
      <c r="H36" s="25">
        <f t="shared" si="2"/>
        <v>84.144455600000128</v>
      </c>
      <c r="I36" s="27">
        <f t="shared" si="10"/>
        <v>3.7544914640162755E-2</v>
      </c>
      <c r="J36" s="47">
        <f t="shared" si="9"/>
        <v>1</v>
      </c>
    </row>
    <row r="37" spans="1:10" x14ac:dyDescent="0.2">
      <c r="A37" s="46" t="s">
        <v>140</v>
      </c>
      <c r="B37" s="43"/>
      <c r="C37" s="26">
        <v>0</v>
      </c>
      <c r="D37" s="26">
        <f>D34*C37</f>
        <v>0</v>
      </c>
      <c r="E37" s="26"/>
      <c r="F37" s="26">
        <f>C37</f>
        <v>0</v>
      </c>
      <c r="G37" s="26">
        <f>G34*F37</f>
        <v>0</v>
      </c>
      <c r="H37" s="26">
        <f t="shared" si="2"/>
        <v>0</v>
      </c>
      <c r="I37" s="44">
        <f t="shared" si="10"/>
        <v>0</v>
      </c>
      <c r="J37" s="45">
        <f t="shared" si="9"/>
        <v>0</v>
      </c>
    </row>
    <row r="38" spans="1:10" ht="13.5" thickBot="1" x14ac:dyDescent="0.25">
      <c r="A38" s="46" t="s">
        <v>141</v>
      </c>
      <c r="B38" s="49"/>
      <c r="C38" s="50"/>
      <c r="D38" s="50">
        <f>SUM(D36:D37)</f>
        <v>2241.1678493999998</v>
      </c>
      <c r="E38" s="50"/>
      <c r="F38" s="50"/>
      <c r="G38" s="50">
        <f>SUM(G36:G37)</f>
        <v>2325.3123049999999</v>
      </c>
      <c r="H38" s="50">
        <f t="shared" si="2"/>
        <v>84.144455600000128</v>
      </c>
      <c r="I38" s="51">
        <f t="shared" si="10"/>
        <v>3.7544914640162755E-2</v>
      </c>
      <c r="J38" s="52">
        <f t="shared" si="9"/>
        <v>1</v>
      </c>
    </row>
    <row r="39" spans="1:10" x14ac:dyDescent="0.2">
      <c r="F39" s="69"/>
    </row>
    <row r="40" spans="1:10" x14ac:dyDescent="0.2">
      <c r="F40" s="69"/>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tabColor theme="1" tint="0.499984740745262"/>
    <pageSetUpPr fitToPage="1"/>
  </sheetPr>
  <dimension ref="A1:J40"/>
  <sheetViews>
    <sheetView view="pageBreakPreview" topLeftCell="A7" zoomScaleNormal="100" zoomScaleSheetLayoutView="100" workbookViewId="0">
      <selection activeCell="C19" sqref="C19"/>
    </sheetView>
  </sheetViews>
  <sheetFormatPr defaultRowHeight="12.75" x14ac:dyDescent="0.2"/>
  <cols>
    <col min="1" max="1" width="64.710937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48" t="s">
        <v>109</v>
      </c>
      <c r="B1" s="349"/>
      <c r="C1" s="349"/>
      <c r="D1" s="349"/>
      <c r="E1" s="349"/>
      <c r="F1" s="349"/>
      <c r="G1" s="349"/>
      <c r="H1" s="349"/>
      <c r="I1" s="349"/>
      <c r="J1" s="350"/>
    </row>
    <row r="3" spans="1:10" x14ac:dyDescent="0.2">
      <c r="A3" s="13" t="s">
        <v>13</v>
      </c>
      <c r="B3" s="13" t="s">
        <v>11</v>
      </c>
    </row>
    <row r="4" spans="1:10" x14ac:dyDescent="0.2">
      <c r="A4" s="15" t="s">
        <v>62</v>
      </c>
      <c r="B4" s="79">
        <v>200000</v>
      </c>
    </row>
    <row r="5" spans="1:10" x14ac:dyDescent="0.2">
      <c r="A5" s="15" t="s">
        <v>16</v>
      </c>
      <c r="B5" s="79">
        <v>500</v>
      </c>
    </row>
    <row r="6" spans="1:10" x14ac:dyDescent="0.2">
      <c r="A6" s="15" t="s">
        <v>20</v>
      </c>
      <c r="B6" s="80">
        <f>VLOOKUP($B$3,'Data for Bill Impacts'!$A$3:$Y$15,2,0)</f>
        <v>1.034</v>
      </c>
    </row>
    <row r="7" spans="1:10" x14ac:dyDescent="0.2">
      <c r="A7" s="81" t="s">
        <v>49</v>
      </c>
      <c r="B7" s="82">
        <f>B4/(B5*730)</f>
        <v>0.54794520547945202</v>
      </c>
    </row>
    <row r="8" spans="1:10" x14ac:dyDescent="0.2">
      <c r="A8" s="15" t="s">
        <v>15</v>
      </c>
      <c r="B8" s="79">
        <f>VLOOKUP($B$3,'Data for Bill Impacts'!$A$3:$Y$15,4,0)</f>
        <v>0</v>
      </c>
    </row>
    <row r="9" spans="1:10" x14ac:dyDescent="0.2">
      <c r="A9" s="15" t="s">
        <v>82</v>
      </c>
      <c r="B9" s="79">
        <f>B4*B6</f>
        <v>206800</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3" t="s">
        <v>50</v>
      </c>
    </row>
    <row r="13" spans="1:10" x14ac:dyDescent="0.2">
      <c r="A13" s="101" t="s">
        <v>31</v>
      </c>
      <c r="B13" s="102">
        <f>B9</f>
        <v>206800</v>
      </c>
      <c r="C13" s="103">
        <v>0.10299999999999999</v>
      </c>
      <c r="D13" s="104">
        <f>B13*C13</f>
        <v>21300.399999999998</v>
      </c>
      <c r="E13" s="102">
        <f>B13</f>
        <v>206800</v>
      </c>
      <c r="F13" s="103">
        <f>C13</f>
        <v>0.10299999999999999</v>
      </c>
      <c r="G13" s="104">
        <f>E13*F13</f>
        <v>21300.399999999998</v>
      </c>
      <c r="H13" s="104">
        <f>G13-D13</f>
        <v>0</v>
      </c>
      <c r="I13" s="105">
        <f>IF(ISERROR(H13/D13),0,(H13/D13))</f>
        <v>0</v>
      </c>
      <c r="J13" s="124">
        <f t="shared" ref="J13:J29" si="0">G13/$G$38</f>
        <v>0.63409832713761216</v>
      </c>
    </row>
    <row r="14" spans="1:10" x14ac:dyDescent="0.2">
      <c r="A14" s="107" t="s">
        <v>32</v>
      </c>
      <c r="B14" s="73">
        <v>0</v>
      </c>
      <c r="C14" s="21">
        <v>0.121</v>
      </c>
      <c r="D14" s="22">
        <f>B14*C14</f>
        <v>0</v>
      </c>
      <c r="E14" s="73">
        <f t="shared" ref="E14" si="1">B14</f>
        <v>0</v>
      </c>
      <c r="F14" s="21">
        <f>C14</f>
        <v>0.121</v>
      </c>
      <c r="G14" s="22">
        <f>E14*F14</f>
        <v>0</v>
      </c>
      <c r="H14" s="22">
        <f t="shared" ref="H14:H38" si="2">G14-D14</f>
        <v>0</v>
      </c>
      <c r="I14" s="23">
        <f t="shared" ref="I14:I33" si="3">IF(ISERROR(H14/D14),0,(H14/D14))</f>
        <v>0</v>
      </c>
      <c r="J14" s="125">
        <f t="shared" si="0"/>
        <v>0</v>
      </c>
    </row>
    <row r="15" spans="1:10" s="1" customFormat="1" x14ac:dyDescent="0.2">
      <c r="A15" s="46" t="s">
        <v>33</v>
      </c>
      <c r="B15" s="24"/>
      <c r="C15" s="25"/>
      <c r="D15" s="25">
        <f>SUM(D13:D14)</f>
        <v>21300.399999999998</v>
      </c>
      <c r="E15" s="76"/>
      <c r="F15" s="25"/>
      <c r="G15" s="25">
        <f>SUM(G13:G14)</f>
        <v>21300.399999999998</v>
      </c>
      <c r="H15" s="25">
        <f t="shared" si="2"/>
        <v>0</v>
      </c>
      <c r="I15" s="27">
        <f t="shared" si="3"/>
        <v>0</v>
      </c>
      <c r="J15" s="47">
        <f t="shared" si="0"/>
        <v>0.63409832713761216</v>
      </c>
    </row>
    <row r="16" spans="1:10" s="1" customFormat="1" x14ac:dyDescent="0.2">
      <c r="A16" s="107" t="s">
        <v>213</v>
      </c>
      <c r="B16" s="73">
        <v>1</v>
      </c>
      <c r="C16" s="78">
        <f>VLOOKUP($B$3,'Data for Bill Impacts'!$A$3:$Y$15,7,0)</f>
        <v>1256.8800000000001</v>
      </c>
      <c r="D16" s="22">
        <f>B16*C16</f>
        <v>1256.8800000000001</v>
      </c>
      <c r="E16" s="73">
        <f t="shared" ref="E16:E33" si="4">B16</f>
        <v>1</v>
      </c>
      <c r="F16" s="78">
        <f>VLOOKUP($B$3,'Data for Bill Impacts'!$A$3:$Y$15,17,0)</f>
        <v>1269.2</v>
      </c>
      <c r="G16" s="22">
        <f>E16*F16</f>
        <v>1269.2</v>
      </c>
      <c r="H16" s="22">
        <f t="shared" si="2"/>
        <v>12.319999999999936</v>
      </c>
      <c r="I16" s="23">
        <f t="shared" si="3"/>
        <v>9.802049519444923E-3</v>
      </c>
      <c r="J16" s="125">
        <f t="shared" si="0"/>
        <v>3.7783215188590701E-2</v>
      </c>
    </row>
    <row r="17" spans="1:10" hidden="1" x14ac:dyDescent="0.2">
      <c r="A17" s="107" t="s">
        <v>83</v>
      </c>
      <c r="B17" s="73">
        <v>1</v>
      </c>
      <c r="C17" s="78">
        <v>0</v>
      </c>
      <c r="D17" s="22">
        <f>B17*C17</f>
        <v>0</v>
      </c>
      <c r="E17" s="73">
        <f t="shared" si="4"/>
        <v>1</v>
      </c>
      <c r="F17" s="78">
        <v>0</v>
      </c>
      <c r="G17" s="22">
        <f t="shared" ref="G17:G19" si="5">E17*F17</f>
        <v>0</v>
      </c>
      <c r="H17" s="22">
        <f t="shared" si="2"/>
        <v>0</v>
      </c>
      <c r="I17" s="23">
        <f t="shared" si="3"/>
        <v>0</v>
      </c>
      <c r="J17" s="125">
        <f t="shared" si="0"/>
        <v>0</v>
      </c>
    </row>
    <row r="18" spans="1:10" hidden="1" x14ac:dyDescent="0.2">
      <c r="A18" s="107" t="s">
        <v>84</v>
      </c>
      <c r="B18" s="73">
        <v>1</v>
      </c>
      <c r="C18" s="78">
        <v>0</v>
      </c>
      <c r="D18" s="22">
        <f t="shared" ref="D18:D19" si="6">B18*C18</f>
        <v>0</v>
      </c>
      <c r="E18" s="73">
        <f t="shared" si="4"/>
        <v>1</v>
      </c>
      <c r="F18" s="78">
        <v>0</v>
      </c>
      <c r="G18" s="22">
        <f t="shared" si="5"/>
        <v>0</v>
      </c>
      <c r="H18" s="22">
        <f t="shared" si="2"/>
        <v>0</v>
      </c>
      <c r="I18" s="23">
        <f t="shared" si="3"/>
        <v>0</v>
      </c>
      <c r="J18" s="125">
        <f t="shared" si="0"/>
        <v>0</v>
      </c>
    </row>
    <row r="19" spans="1:10" x14ac:dyDescent="0.2">
      <c r="A19" s="107" t="s">
        <v>85</v>
      </c>
      <c r="B19" s="73">
        <v>1</v>
      </c>
      <c r="C19" s="122">
        <f>VLOOKUP($B$3,'Data for Bill Impacts'!$A$3:$Y$15,13,0)</f>
        <v>3.83</v>
      </c>
      <c r="D19" s="22">
        <f t="shared" si="6"/>
        <v>3.83</v>
      </c>
      <c r="E19" s="73">
        <f t="shared" si="4"/>
        <v>1</v>
      </c>
      <c r="F19" s="122">
        <f>VLOOKUP($B$3,'Data for Bill Impacts'!$A$3:$Y$15,22,0)</f>
        <v>3.83</v>
      </c>
      <c r="G19" s="22">
        <f t="shared" si="5"/>
        <v>3.83</v>
      </c>
      <c r="H19" s="22">
        <f t="shared" si="2"/>
        <v>0</v>
      </c>
      <c r="I19" s="23">
        <f t="shared" si="3"/>
        <v>0</v>
      </c>
      <c r="J19" s="125">
        <f t="shared" si="0"/>
        <v>1.140164782321954E-4</v>
      </c>
    </row>
    <row r="20" spans="1:10" x14ac:dyDescent="0.2">
      <c r="A20" s="107" t="s">
        <v>214</v>
      </c>
      <c r="B20" s="73">
        <f>IF($B$10="kWh",$B$4,$B$5)</f>
        <v>500</v>
      </c>
      <c r="C20" s="126">
        <f>VLOOKUP($B$3,'Data for Bill Impacts'!$A$3:$Y$15,10,0)</f>
        <v>1.4140356552332787</v>
      </c>
      <c r="D20" s="22">
        <f>B20*C20</f>
        <v>707.01782761663935</v>
      </c>
      <c r="E20" s="73">
        <f t="shared" si="4"/>
        <v>500</v>
      </c>
      <c r="F20" s="126">
        <f>VLOOKUP($B$3,'Data for Bill Impacts'!$A$3:$Y$15,19,0)</f>
        <v>1.4475424689830076</v>
      </c>
      <c r="G20" s="22">
        <f>E20*F20</f>
        <v>723.77123449150383</v>
      </c>
      <c r="H20" s="22">
        <f t="shared" si="2"/>
        <v>16.753406874864481</v>
      </c>
      <c r="I20" s="23">
        <f t="shared" si="3"/>
        <v>2.3695876144085786E-2</v>
      </c>
      <c r="J20" s="125">
        <f t="shared" si="0"/>
        <v>2.1546174204305414E-2</v>
      </c>
    </row>
    <row r="21" spans="1:10" s="1" customFormat="1" x14ac:dyDescent="0.2">
      <c r="A21" s="107" t="s">
        <v>194</v>
      </c>
      <c r="B21" s="73">
        <f>IF($B$10="kWh",$B$4,$B$5)</f>
        <v>500</v>
      </c>
      <c r="C21" s="126">
        <f>VLOOKUP($B$3,'Data for Bill Impacts'!$A$3:$Y$15,14,0)</f>
        <v>0.27289999999999998</v>
      </c>
      <c r="D21" s="22">
        <f>B21*C21</f>
        <v>136.44999999999999</v>
      </c>
      <c r="E21" s="73">
        <f>B21</f>
        <v>500</v>
      </c>
      <c r="F21" s="126">
        <f>VLOOKUP($B$3,'Data for Bill Impacts'!$A$3:$Y$15,23,0)</f>
        <v>0.27289999999999998</v>
      </c>
      <c r="G21" s="22">
        <f>E21*F21</f>
        <v>136.44999999999999</v>
      </c>
      <c r="H21" s="22">
        <f>G21-D21</f>
        <v>0</v>
      </c>
      <c r="I21" s="23">
        <f>IF(ISERROR(H21/D21),0,(H21/D21))</f>
        <v>0</v>
      </c>
      <c r="J21" s="125">
        <f t="shared" si="0"/>
        <v>4.0620230952436191E-3</v>
      </c>
    </row>
    <row r="22" spans="1:10" s="1" customFormat="1" x14ac:dyDescent="0.2">
      <c r="A22" s="107" t="s">
        <v>147</v>
      </c>
      <c r="B22" s="73">
        <f>B9</f>
        <v>206800</v>
      </c>
      <c r="C22" s="78">
        <f>VLOOKUP($B$3,'Data for Bill Impacts'!$A$3:$Y$15,20,0)</f>
        <v>1.9E-3</v>
      </c>
      <c r="D22" s="22">
        <f>B22*C22</f>
        <v>392.92</v>
      </c>
      <c r="E22" s="73">
        <f t="shared" si="4"/>
        <v>206800</v>
      </c>
      <c r="F22" s="78">
        <f>VLOOKUP($B$3,'Data for Bill Impacts'!$A$3:$Y$15,21,0)</f>
        <v>1.9E-3</v>
      </c>
      <c r="G22" s="22">
        <f>E22*F22</f>
        <v>392.92</v>
      </c>
      <c r="H22" s="22">
        <f t="shared" si="2"/>
        <v>0</v>
      </c>
      <c r="I22" s="23">
        <f>IF(ISERROR(H22/D22),0,(H22/D22))</f>
        <v>0</v>
      </c>
      <c r="J22" s="125">
        <f t="shared" si="0"/>
        <v>1.1696959432635564E-2</v>
      </c>
    </row>
    <row r="23" spans="1:10" x14ac:dyDescent="0.2">
      <c r="A23" s="110" t="s">
        <v>97</v>
      </c>
      <c r="B23" s="74"/>
      <c r="C23" s="35"/>
      <c r="D23" s="35">
        <f>SUM(D16:D22)</f>
        <v>2497.0978276166393</v>
      </c>
      <c r="E23" s="73"/>
      <c r="F23" s="35"/>
      <c r="G23" s="35">
        <f>SUM(G16:G22)</f>
        <v>2526.1712344915036</v>
      </c>
      <c r="H23" s="35">
        <f t="shared" si="2"/>
        <v>29.073406874864304</v>
      </c>
      <c r="I23" s="36">
        <f t="shared" si="3"/>
        <v>1.164287860624727E-2</v>
      </c>
      <c r="J23" s="111">
        <f t="shared" si="0"/>
        <v>7.5202388399007489E-2</v>
      </c>
    </row>
    <row r="24" spans="1:10" x14ac:dyDescent="0.2">
      <c r="A24" s="107" t="s">
        <v>40</v>
      </c>
      <c r="B24" s="73">
        <f>B5</f>
        <v>500</v>
      </c>
      <c r="C24" s="126">
        <f>VLOOKUP($B$3,'Data for Bill Impacts'!$A$3:$Y$15,15,0)</f>
        <v>3.4866480000000002</v>
      </c>
      <c r="D24" s="22">
        <f>B24*C24</f>
        <v>1743.3240000000001</v>
      </c>
      <c r="E24" s="73">
        <f t="shared" si="4"/>
        <v>500</v>
      </c>
      <c r="F24" s="78">
        <f>VLOOKUP($B$3,'Data for Bill Impacts'!$A$3:$Y$15,24,0)</f>
        <v>3.5367000000000002</v>
      </c>
      <c r="G24" s="22">
        <f>E24*F24</f>
        <v>1768.3500000000001</v>
      </c>
      <c r="H24" s="22">
        <f t="shared" si="2"/>
        <v>25.026000000000067</v>
      </c>
      <c r="I24" s="23">
        <f t="shared" si="3"/>
        <v>1.435533498076093E-2</v>
      </c>
      <c r="J24" s="125">
        <f t="shared" si="0"/>
        <v>5.2642569003107764E-2</v>
      </c>
    </row>
    <row r="25" spans="1:10" s="1" customFormat="1" x14ac:dyDescent="0.2">
      <c r="A25" s="107" t="s">
        <v>41</v>
      </c>
      <c r="B25" s="73">
        <f>B5</f>
        <v>500</v>
      </c>
      <c r="C25" s="126">
        <f>VLOOKUP($B$3,'Data for Bill Impacts'!$A$3:$Y$15,16,0)</f>
        <v>2.6021643999999999</v>
      </c>
      <c r="D25" s="22">
        <f>B25*C25</f>
        <v>1301.0822000000001</v>
      </c>
      <c r="E25" s="73">
        <f t="shared" si="4"/>
        <v>500</v>
      </c>
      <c r="F25" s="126">
        <f>VLOOKUP($B$3,'Data for Bill Impacts'!$A$3:$Y$15,25,0)</f>
        <v>2.6514000000000002</v>
      </c>
      <c r="G25" s="22">
        <f>E25*F25</f>
        <v>1325.7</v>
      </c>
      <c r="H25" s="22">
        <f t="shared" si="2"/>
        <v>24.617799999999988</v>
      </c>
      <c r="I25" s="23">
        <f t="shared" si="3"/>
        <v>1.8921018210840166E-2</v>
      </c>
      <c r="J25" s="125">
        <f t="shared" si="0"/>
        <v>3.9465181512381577E-2</v>
      </c>
    </row>
    <row r="26" spans="1:10" x14ac:dyDescent="0.2">
      <c r="A26" s="110" t="s">
        <v>76</v>
      </c>
      <c r="B26" s="74"/>
      <c r="C26" s="35"/>
      <c r="D26" s="35">
        <f>SUM(D24:D25)</f>
        <v>3044.4062000000004</v>
      </c>
      <c r="E26" s="73"/>
      <c r="F26" s="35"/>
      <c r="G26" s="35">
        <f>SUM(G24:G25)</f>
        <v>3094.05</v>
      </c>
      <c r="H26" s="35">
        <f t="shared" si="2"/>
        <v>49.643799999999828</v>
      </c>
      <c r="I26" s="36">
        <f t="shared" si="3"/>
        <v>1.63065625079859E-2</v>
      </c>
      <c r="J26" s="111">
        <f t="shared" si="0"/>
        <v>9.2107750515489334E-2</v>
      </c>
    </row>
    <row r="27" spans="1:10" s="1" customFormat="1" x14ac:dyDescent="0.2">
      <c r="A27" s="110" t="s">
        <v>80</v>
      </c>
      <c r="B27" s="74"/>
      <c r="C27" s="35"/>
      <c r="D27" s="35">
        <f>D23+D26</f>
        <v>5541.5040276166401</v>
      </c>
      <c r="E27" s="73"/>
      <c r="F27" s="35"/>
      <c r="G27" s="35">
        <f>G23+G26</f>
        <v>5620.2212344915042</v>
      </c>
      <c r="H27" s="35">
        <f t="shared" si="2"/>
        <v>78.717206874864132</v>
      </c>
      <c r="I27" s="36">
        <f t="shared" si="3"/>
        <v>1.4205025654148955E-2</v>
      </c>
      <c r="J27" s="111">
        <f t="shared" si="0"/>
        <v>0.16731013891449684</v>
      </c>
    </row>
    <row r="28" spans="1:10" x14ac:dyDescent="0.2">
      <c r="A28" s="107" t="s">
        <v>42</v>
      </c>
      <c r="B28" s="73">
        <f>B9</f>
        <v>206800</v>
      </c>
      <c r="C28" s="34">
        <v>3.5999999999999999E-3</v>
      </c>
      <c r="D28" s="22">
        <f>B28*C28</f>
        <v>744.48</v>
      </c>
      <c r="E28" s="73">
        <f t="shared" si="4"/>
        <v>206800</v>
      </c>
      <c r="F28" s="34">
        <v>3.5999999999999999E-3</v>
      </c>
      <c r="G28" s="22">
        <f>E28*F28</f>
        <v>744.48</v>
      </c>
      <c r="H28" s="22">
        <f t="shared" si="2"/>
        <v>0</v>
      </c>
      <c r="I28" s="23">
        <f t="shared" si="3"/>
        <v>0</v>
      </c>
      <c r="J28" s="125">
        <f t="shared" si="0"/>
        <v>2.2162659977625281E-2</v>
      </c>
    </row>
    <row r="29" spans="1:10" x14ac:dyDescent="0.2">
      <c r="A29" s="107" t="s">
        <v>43</v>
      </c>
      <c r="B29" s="73">
        <f>B9</f>
        <v>206800</v>
      </c>
      <c r="C29" s="34">
        <v>2.0999999999999999E-3</v>
      </c>
      <c r="D29" s="22">
        <f>B29*C29</f>
        <v>434.28</v>
      </c>
      <c r="E29" s="73">
        <f t="shared" si="4"/>
        <v>206800</v>
      </c>
      <c r="F29" s="34">
        <v>2.0999999999999999E-3</v>
      </c>
      <c r="G29" s="22">
        <f>E29*F29</f>
        <v>434.28</v>
      </c>
      <c r="H29" s="22">
        <f>G29-D29</f>
        <v>0</v>
      </c>
      <c r="I29" s="23">
        <f t="shared" si="3"/>
        <v>0</v>
      </c>
      <c r="J29" s="125">
        <f t="shared" si="0"/>
        <v>1.2928218320281413E-2</v>
      </c>
    </row>
    <row r="30" spans="1:10" x14ac:dyDescent="0.2">
      <c r="A30" s="107" t="s">
        <v>100</v>
      </c>
      <c r="B30" s="73">
        <f>B9</f>
        <v>206800</v>
      </c>
      <c r="C30" s="34">
        <v>1.1000000000000001E-3</v>
      </c>
      <c r="D30" s="22">
        <f>B30*C30</f>
        <v>227.48000000000002</v>
      </c>
      <c r="E30" s="73">
        <f t="shared" si="4"/>
        <v>206800</v>
      </c>
      <c r="F30" s="34">
        <v>1.1000000000000001E-3</v>
      </c>
      <c r="G30" s="22">
        <f>E30*F30</f>
        <v>227.48000000000002</v>
      </c>
      <c r="H30" s="22">
        <f>G30-D30</f>
        <v>0</v>
      </c>
      <c r="I30" s="23">
        <f t="shared" ref="I30" si="7">IF(ISERROR(H30/D30),0,(H30/D30))</f>
        <v>0</v>
      </c>
      <c r="J30" s="125">
        <f t="shared" ref="J30" si="8">G30/$G$38</f>
        <v>6.7719238820521692E-3</v>
      </c>
    </row>
    <row r="31" spans="1:10" x14ac:dyDescent="0.2">
      <c r="A31" s="107" t="s">
        <v>44</v>
      </c>
      <c r="B31" s="73">
        <v>1</v>
      </c>
      <c r="C31" s="22">
        <v>0.25</v>
      </c>
      <c r="D31" s="22">
        <f>B31*C31</f>
        <v>0.25</v>
      </c>
      <c r="E31" s="73">
        <f t="shared" si="4"/>
        <v>1</v>
      </c>
      <c r="F31" s="22">
        <f>C31</f>
        <v>0.25</v>
      </c>
      <c r="G31" s="22">
        <f>E31*F31</f>
        <v>0.25</v>
      </c>
      <c r="H31" s="22">
        <f t="shared" si="2"/>
        <v>0</v>
      </c>
      <c r="I31" s="23">
        <f t="shared" si="3"/>
        <v>0</v>
      </c>
      <c r="J31" s="125">
        <f t="shared" ref="J31:J38" si="9">G31/$G$38</f>
        <v>7.4423288663312917E-6</v>
      </c>
    </row>
    <row r="32" spans="1:10" x14ac:dyDescent="0.2">
      <c r="A32" s="110" t="s">
        <v>45</v>
      </c>
      <c r="B32" s="74"/>
      <c r="C32" s="35"/>
      <c r="D32" s="35">
        <f>SUM(D28:D31)</f>
        <v>1406.49</v>
      </c>
      <c r="E32" s="73"/>
      <c r="F32" s="35"/>
      <c r="G32" s="35">
        <f>SUM(G28:G31)</f>
        <v>1406.49</v>
      </c>
      <c r="H32" s="35">
        <f t="shared" si="2"/>
        <v>0</v>
      </c>
      <c r="I32" s="36">
        <f t="shared" si="3"/>
        <v>0</v>
      </c>
      <c r="J32" s="111">
        <f t="shared" si="9"/>
        <v>4.1870244508825191E-2</v>
      </c>
    </row>
    <row r="33" spans="1:10" ht="13.5" thickBot="1" x14ac:dyDescent="0.25">
      <c r="A33" s="112" t="s">
        <v>46</v>
      </c>
      <c r="B33" s="113">
        <f>B4</f>
        <v>200000</v>
      </c>
      <c r="C33" s="114">
        <v>7.0000000000000001E-3</v>
      </c>
      <c r="D33" s="115">
        <f>B33*C33</f>
        <v>1400</v>
      </c>
      <c r="E33" s="116">
        <f t="shared" si="4"/>
        <v>200000</v>
      </c>
      <c r="F33" s="114">
        <f>C33</f>
        <v>7.0000000000000001E-3</v>
      </c>
      <c r="G33" s="115">
        <f>E33*F33</f>
        <v>1400</v>
      </c>
      <c r="H33" s="115">
        <f t="shared" si="2"/>
        <v>0</v>
      </c>
      <c r="I33" s="117">
        <f t="shared" si="3"/>
        <v>0</v>
      </c>
      <c r="J33" s="118">
        <f t="shared" si="9"/>
        <v>4.1677041651455235E-2</v>
      </c>
    </row>
    <row r="34" spans="1:10" x14ac:dyDescent="0.2">
      <c r="A34" s="37" t="s">
        <v>146</v>
      </c>
      <c r="B34" s="38"/>
      <c r="C34" s="39"/>
      <c r="D34" s="39">
        <f>SUM(D15,D23,D26,D32,D33)</f>
        <v>29648.39402761664</v>
      </c>
      <c r="E34" s="38"/>
      <c r="F34" s="39"/>
      <c r="G34" s="39">
        <f>SUM(G15,G23,G26,G32,G33)</f>
        <v>29727.111234491502</v>
      </c>
      <c r="H34" s="39">
        <f t="shared" si="2"/>
        <v>78.717206874862313</v>
      </c>
      <c r="I34" s="40">
        <f>IF(ISERROR(H34/D34),0,(H34/D34))</f>
        <v>2.6550243092944414E-3</v>
      </c>
      <c r="J34" s="41">
        <f t="shared" si="9"/>
        <v>0.88495575221238942</v>
      </c>
    </row>
    <row r="35" spans="1:10" x14ac:dyDescent="0.2">
      <c r="A35" s="46" t="s">
        <v>138</v>
      </c>
      <c r="B35" s="43"/>
      <c r="C35" s="26">
        <v>0.13</v>
      </c>
      <c r="D35" s="26">
        <f>D34*C35</f>
        <v>3854.2912235901631</v>
      </c>
      <c r="E35" s="26"/>
      <c r="F35" s="26">
        <f>C35</f>
        <v>0.13</v>
      </c>
      <c r="G35" s="26">
        <f>G34*F35</f>
        <v>3864.5244604838954</v>
      </c>
      <c r="H35" s="26">
        <f t="shared" si="2"/>
        <v>10.233236893732283</v>
      </c>
      <c r="I35" s="44">
        <f t="shared" ref="I35:I38" si="10">IF(ISERROR(H35/D35),0,(H35/D35))</f>
        <v>2.6550243092944886E-3</v>
      </c>
      <c r="J35" s="45">
        <f t="shared" si="9"/>
        <v>0.11504424778761062</v>
      </c>
    </row>
    <row r="36" spans="1:10" x14ac:dyDescent="0.2">
      <c r="A36" s="46" t="s">
        <v>139</v>
      </c>
      <c r="B36" s="24"/>
      <c r="C36" s="25"/>
      <c r="D36" s="25">
        <f>SUM(D34:D35)</f>
        <v>33502.6852512068</v>
      </c>
      <c r="E36" s="25"/>
      <c r="F36" s="25"/>
      <c r="G36" s="25">
        <f>SUM(G34:G35)</f>
        <v>33591.635694975397</v>
      </c>
      <c r="H36" s="25">
        <f t="shared" si="2"/>
        <v>88.950443768597324</v>
      </c>
      <c r="I36" s="27">
        <f t="shared" si="10"/>
        <v>2.6550243092945285E-3</v>
      </c>
      <c r="J36" s="47">
        <f t="shared" si="9"/>
        <v>1</v>
      </c>
    </row>
    <row r="37" spans="1:10" x14ac:dyDescent="0.2">
      <c r="A37" s="46" t="s">
        <v>140</v>
      </c>
      <c r="B37" s="43"/>
      <c r="C37" s="26">
        <v>0</v>
      </c>
      <c r="D37" s="26">
        <f>D34*C37</f>
        <v>0</v>
      </c>
      <c r="E37" s="26"/>
      <c r="F37" s="26">
        <f>C37</f>
        <v>0</v>
      </c>
      <c r="G37" s="26">
        <f>G34*F37</f>
        <v>0</v>
      </c>
      <c r="H37" s="26">
        <f t="shared" si="2"/>
        <v>0</v>
      </c>
      <c r="I37" s="44">
        <f t="shared" si="10"/>
        <v>0</v>
      </c>
      <c r="J37" s="45">
        <f t="shared" si="9"/>
        <v>0</v>
      </c>
    </row>
    <row r="38" spans="1:10" ht="13.5" thickBot="1" x14ac:dyDescent="0.25">
      <c r="A38" s="46" t="s">
        <v>141</v>
      </c>
      <c r="B38" s="49"/>
      <c r="C38" s="50"/>
      <c r="D38" s="50">
        <f>SUM(D36:D37)</f>
        <v>33502.6852512068</v>
      </c>
      <c r="E38" s="50"/>
      <c r="F38" s="50"/>
      <c r="G38" s="50">
        <f>SUM(G36:G37)</f>
        <v>33591.635694975397</v>
      </c>
      <c r="H38" s="50">
        <f t="shared" si="2"/>
        <v>88.950443768597324</v>
      </c>
      <c r="I38" s="51">
        <f t="shared" si="10"/>
        <v>2.6550243092945285E-3</v>
      </c>
      <c r="J38" s="52">
        <f t="shared" si="9"/>
        <v>1</v>
      </c>
    </row>
    <row r="39" spans="1:10" x14ac:dyDescent="0.2">
      <c r="F39" s="69"/>
    </row>
    <row r="40" spans="1:10" x14ac:dyDescent="0.2">
      <c r="F40" s="69"/>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tabColor theme="1" tint="0.499984740745262"/>
    <pageSetUpPr fitToPage="1"/>
  </sheetPr>
  <dimension ref="A1:J40"/>
  <sheetViews>
    <sheetView topLeftCell="A7" workbookViewId="0">
      <selection activeCell="C19" sqref="C19"/>
    </sheetView>
  </sheetViews>
  <sheetFormatPr defaultRowHeight="12.75" x14ac:dyDescent="0.2"/>
  <cols>
    <col min="1" max="1" width="64.710937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48" t="s">
        <v>112</v>
      </c>
      <c r="B1" s="349"/>
      <c r="C1" s="349"/>
      <c r="D1" s="349"/>
      <c r="E1" s="349"/>
      <c r="F1" s="349"/>
      <c r="G1" s="349"/>
      <c r="H1" s="349"/>
      <c r="I1" s="349"/>
      <c r="J1" s="350"/>
    </row>
    <row r="3" spans="1:10" x14ac:dyDescent="0.2">
      <c r="A3" s="13" t="s">
        <v>13</v>
      </c>
      <c r="B3" s="13" t="s">
        <v>11</v>
      </c>
    </row>
    <row r="4" spans="1:10" x14ac:dyDescent="0.2">
      <c r="A4" s="15" t="s">
        <v>62</v>
      </c>
      <c r="B4" s="79">
        <f>'Data for Bill Impacts_HONI Avg '!C15</f>
        <v>1601036</v>
      </c>
    </row>
    <row r="5" spans="1:10" x14ac:dyDescent="0.2">
      <c r="A5" s="15" t="s">
        <v>16</v>
      </c>
      <c r="B5" s="79">
        <v>2960</v>
      </c>
    </row>
    <row r="6" spans="1:10" x14ac:dyDescent="0.2">
      <c r="A6" s="15" t="s">
        <v>20</v>
      </c>
      <c r="B6" s="80">
        <f>VLOOKUP($B$3,'Data for Bill Impacts'!$A$3:$Y$15,2,0)</f>
        <v>1.034</v>
      </c>
    </row>
    <row r="7" spans="1:10" x14ac:dyDescent="0.2">
      <c r="A7" s="81" t="s">
        <v>49</v>
      </c>
      <c r="B7" s="82">
        <f>B4/(B5*730)</f>
        <v>0.74094594594594598</v>
      </c>
    </row>
    <row r="8" spans="1:10" x14ac:dyDescent="0.2">
      <c r="A8" s="15" t="s">
        <v>15</v>
      </c>
      <c r="B8" s="79">
        <f>VLOOKUP($B$3,'Data for Bill Impacts'!$A$3:$Y$15,4,0)</f>
        <v>0</v>
      </c>
    </row>
    <row r="9" spans="1:10" x14ac:dyDescent="0.2">
      <c r="A9" s="15" t="s">
        <v>82</v>
      </c>
      <c r="B9" s="79">
        <f>B4*B6</f>
        <v>1655471.2240000002</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3" t="s">
        <v>50</v>
      </c>
    </row>
    <row r="13" spans="1:10" x14ac:dyDescent="0.2">
      <c r="A13" s="101" t="s">
        <v>31</v>
      </c>
      <c r="B13" s="102">
        <f>B9</f>
        <v>1655471.2240000002</v>
      </c>
      <c r="C13" s="103">
        <v>0.10299999999999999</v>
      </c>
      <c r="D13" s="104">
        <f>B13*C13</f>
        <v>170513.53607200002</v>
      </c>
      <c r="E13" s="102">
        <f>B13</f>
        <v>1655471.2240000002</v>
      </c>
      <c r="F13" s="103">
        <f>C13</f>
        <v>0.10299999999999999</v>
      </c>
      <c r="G13" s="104">
        <f>E13*F13</f>
        <v>170513.53607200002</v>
      </c>
      <c r="H13" s="104">
        <f>G13-D13</f>
        <v>0</v>
      </c>
      <c r="I13" s="105">
        <f>IF(ISERROR(H13/D13),0,(H13/D13))</f>
        <v>0</v>
      </c>
      <c r="J13" s="124">
        <f t="shared" ref="J13:J38" si="0">G13/$G$38</f>
        <v>0.68339160350365735</v>
      </c>
    </row>
    <row r="14" spans="1:10" x14ac:dyDescent="0.2">
      <c r="A14" s="107" t="s">
        <v>32</v>
      </c>
      <c r="B14" s="73">
        <v>0</v>
      </c>
      <c r="C14" s="21">
        <v>0.121</v>
      </c>
      <c r="D14" s="22">
        <f>B14*C14</f>
        <v>0</v>
      </c>
      <c r="E14" s="73">
        <f t="shared" ref="E14" si="1">B14</f>
        <v>0</v>
      </c>
      <c r="F14" s="21">
        <f>C14</f>
        <v>0.121</v>
      </c>
      <c r="G14" s="22">
        <f>E14*F14</f>
        <v>0</v>
      </c>
      <c r="H14" s="22">
        <f t="shared" ref="H14:H38" si="2">G14-D14</f>
        <v>0</v>
      </c>
      <c r="I14" s="23">
        <f t="shared" ref="I14:I33" si="3">IF(ISERROR(H14/D14),0,(H14/D14))</f>
        <v>0</v>
      </c>
      <c r="J14" s="125">
        <f t="shared" si="0"/>
        <v>0</v>
      </c>
    </row>
    <row r="15" spans="1:10" s="1" customFormat="1" x14ac:dyDescent="0.2">
      <c r="A15" s="46" t="s">
        <v>33</v>
      </c>
      <c r="B15" s="24"/>
      <c r="C15" s="25"/>
      <c r="D15" s="25">
        <f>SUM(D13:D14)</f>
        <v>170513.53607200002</v>
      </c>
      <c r="E15" s="76"/>
      <c r="F15" s="25"/>
      <c r="G15" s="25">
        <f>SUM(G13:G14)</f>
        <v>170513.53607200002</v>
      </c>
      <c r="H15" s="25">
        <f t="shared" si="2"/>
        <v>0</v>
      </c>
      <c r="I15" s="27">
        <f t="shared" si="3"/>
        <v>0</v>
      </c>
      <c r="J15" s="47">
        <f t="shared" si="0"/>
        <v>0.68339160350365735</v>
      </c>
    </row>
    <row r="16" spans="1:10" s="1" customFormat="1" x14ac:dyDescent="0.2">
      <c r="A16" s="107" t="s">
        <v>213</v>
      </c>
      <c r="B16" s="73">
        <v>1</v>
      </c>
      <c r="C16" s="78">
        <f>VLOOKUP($B$3,'Data for Bill Impacts'!$A$3:$Y$15,7,0)</f>
        <v>1256.8800000000001</v>
      </c>
      <c r="D16" s="22">
        <f>B16*C16</f>
        <v>1256.8800000000001</v>
      </c>
      <c r="E16" s="73">
        <f t="shared" ref="E16:E33" si="4">B16</f>
        <v>1</v>
      </c>
      <c r="F16" s="78">
        <f>VLOOKUP($B$3,'Data for Bill Impacts'!$A$3:$Y$15,17,0)</f>
        <v>1269.2</v>
      </c>
      <c r="G16" s="22">
        <f>E16*F16</f>
        <v>1269.2</v>
      </c>
      <c r="H16" s="22">
        <f t="shared" si="2"/>
        <v>12.319999999999936</v>
      </c>
      <c r="I16" s="23">
        <f t="shared" si="3"/>
        <v>9.802049519444923E-3</v>
      </c>
      <c r="J16" s="125">
        <f t="shared" si="0"/>
        <v>5.0867552403616534E-3</v>
      </c>
    </row>
    <row r="17" spans="1:10" hidden="1" x14ac:dyDescent="0.2">
      <c r="A17" s="107" t="s">
        <v>83</v>
      </c>
      <c r="B17" s="73">
        <v>1</v>
      </c>
      <c r="C17" s="78">
        <v>0</v>
      </c>
      <c r="D17" s="22">
        <f>B17*C17</f>
        <v>0</v>
      </c>
      <c r="E17" s="73">
        <f t="shared" si="4"/>
        <v>1</v>
      </c>
      <c r="F17" s="78">
        <v>0</v>
      </c>
      <c r="G17" s="22">
        <f t="shared" ref="G17:G19" si="5">E17*F17</f>
        <v>0</v>
      </c>
      <c r="H17" s="22">
        <f t="shared" si="2"/>
        <v>0</v>
      </c>
      <c r="I17" s="23">
        <f t="shared" si="3"/>
        <v>0</v>
      </c>
      <c r="J17" s="125">
        <f t="shared" si="0"/>
        <v>0</v>
      </c>
    </row>
    <row r="18" spans="1:10" hidden="1" x14ac:dyDescent="0.2">
      <c r="A18" s="107" t="s">
        <v>84</v>
      </c>
      <c r="B18" s="73">
        <v>1</v>
      </c>
      <c r="C18" s="78">
        <v>0</v>
      </c>
      <c r="D18" s="22">
        <f t="shared" ref="D18:D19" si="6">B18*C18</f>
        <v>0</v>
      </c>
      <c r="E18" s="73">
        <f t="shared" si="4"/>
        <v>1</v>
      </c>
      <c r="F18" s="78">
        <v>0</v>
      </c>
      <c r="G18" s="22">
        <f t="shared" si="5"/>
        <v>0</v>
      </c>
      <c r="H18" s="22">
        <f t="shared" si="2"/>
        <v>0</v>
      </c>
      <c r="I18" s="23">
        <f t="shared" si="3"/>
        <v>0</v>
      </c>
      <c r="J18" s="125">
        <f t="shared" si="0"/>
        <v>0</v>
      </c>
    </row>
    <row r="19" spans="1:10" x14ac:dyDescent="0.2">
      <c r="A19" s="107" t="s">
        <v>85</v>
      </c>
      <c r="B19" s="73">
        <v>1</v>
      </c>
      <c r="C19" s="122">
        <f>VLOOKUP($B$3,'Data for Bill Impacts'!$A$3:$Y$15,13,0)</f>
        <v>3.83</v>
      </c>
      <c r="D19" s="22">
        <f t="shared" si="6"/>
        <v>3.83</v>
      </c>
      <c r="E19" s="73">
        <f t="shared" si="4"/>
        <v>1</v>
      </c>
      <c r="F19" s="122">
        <f>VLOOKUP($B$3,'Data for Bill Impacts'!$A$3:$Y$15,22,0)</f>
        <v>3.83</v>
      </c>
      <c r="G19" s="22">
        <f t="shared" si="5"/>
        <v>3.83</v>
      </c>
      <c r="H19" s="22">
        <f t="shared" si="2"/>
        <v>0</v>
      </c>
      <c r="I19" s="23">
        <f t="shared" si="3"/>
        <v>0</v>
      </c>
      <c r="J19" s="125">
        <f t="shared" si="0"/>
        <v>1.5350041420253021E-5</v>
      </c>
    </row>
    <row r="20" spans="1:10" x14ac:dyDescent="0.2">
      <c r="A20" s="107" t="s">
        <v>214</v>
      </c>
      <c r="B20" s="73">
        <f>IF($B$10="kWh",$B$4,$B$5)</f>
        <v>2960</v>
      </c>
      <c r="C20" s="126">
        <f>VLOOKUP($B$3,'Data for Bill Impacts'!$A$3:$Y$15,10,0)</f>
        <v>1.4140356552332787</v>
      </c>
      <c r="D20" s="22">
        <f>B20*C20</f>
        <v>4185.5455394905048</v>
      </c>
      <c r="E20" s="73">
        <f t="shared" si="4"/>
        <v>2960</v>
      </c>
      <c r="F20" s="126">
        <f>VLOOKUP($B$3,'Data for Bill Impacts'!$A$3:$Y$15,19,0)</f>
        <v>1.4475424689830076</v>
      </c>
      <c r="G20" s="22">
        <f>E20*F20</f>
        <v>4284.7257081897023</v>
      </c>
      <c r="H20" s="22">
        <f t="shared" si="2"/>
        <v>99.180168699197566</v>
      </c>
      <c r="I20" s="23">
        <f t="shared" si="3"/>
        <v>2.3695876144085748E-2</v>
      </c>
      <c r="J20" s="125">
        <f t="shared" si="0"/>
        <v>1.7172510990896835E-2</v>
      </c>
    </row>
    <row r="21" spans="1:10" s="1" customFormat="1" x14ac:dyDescent="0.2">
      <c r="A21" s="107" t="s">
        <v>194</v>
      </c>
      <c r="B21" s="73">
        <f>IF($B$10="kWh",$B$4,$B$5)</f>
        <v>2960</v>
      </c>
      <c r="C21" s="126">
        <f>VLOOKUP($B$3,'Data for Bill Impacts'!$A$3:$Y$15,14,0)</f>
        <v>0.27289999999999998</v>
      </c>
      <c r="D21" s="22">
        <f>B21*C21</f>
        <v>807.78399999999988</v>
      </c>
      <c r="E21" s="73">
        <f>B21</f>
        <v>2960</v>
      </c>
      <c r="F21" s="126">
        <f>VLOOKUP($B$3,'Data for Bill Impacts'!$A$3:$Y$15,23,0)</f>
        <v>0.27289999999999998</v>
      </c>
      <c r="G21" s="22">
        <f>E21*F21</f>
        <v>807.78399999999988</v>
      </c>
      <c r="H21" s="22">
        <f>G21-D21</f>
        <v>0</v>
      </c>
      <c r="I21" s="23">
        <f>IF(ISERROR(H21/D21),0,(H21/D21))</f>
        <v>0</v>
      </c>
      <c r="J21" s="125">
        <f t="shared" si="0"/>
        <v>3.2374720257487373E-3</v>
      </c>
    </row>
    <row r="22" spans="1:10" s="1" customFormat="1" x14ac:dyDescent="0.2">
      <c r="A22" s="107" t="s">
        <v>147</v>
      </c>
      <c r="B22" s="73">
        <f>B9</f>
        <v>1655471.2240000002</v>
      </c>
      <c r="C22" s="78">
        <f>VLOOKUP($B$3,'Data for Bill Impacts'!$A$3:$Y$15,20,0)</f>
        <v>1.9E-3</v>
      </c>
      <c r="D22" s="22">
        <f>B22*C22</f>
        <v>3145.3953256000004</v>
      </c>
      <c r="E22" s="73">
        <f t="shared" si="4"/>
        <v>1655471.2240000002</v>
      </c>
      <c r="F22" s="78">
        <f>VLOOKUP($B$3,'Data for Bill Impacts'!$A$3:$Y$15,21,0)</f>
        <v>1.9E-3</v>
      </c>
      <c r="G22" s="22">
        <f>E22*F22</f>
        <v>3145.3953256000004</v>
      </c>
      <c r="H22" s="22">
        <f t="shared" si="2"/>
        <v>0</v>
      </c>
      <c r="I22" s="23">
        <f>IF(ISERROR(H22/D22),0,(H22/D22))</f>
        <v>0</v>
      </c>
      <c r="J22" s="125">
        <f t="shared" si="0"/>
        <v>1.2606252880164554E-2</v>
      </c>
    </row>
    <row r="23" spans="1:10" x14ac:dyDescent="0.2">
      <c r="A23" s="110" t="s">
        <v>79</v>
      </c>
      <c r="B23" s="74"/>
      <c r="C23" s="35"/>
      <c r="D23" s="35">
        <f>SUM(D16:D22)</f>
        <v>9399.4348650905049</v>
      </c>
      <c r="E23" s="73"/>
      <c r="F23" s="35"/>
      <c r="G23" s="35">
        <f>SUM(G16:G22)</f>
        <v>9510.9350337897013</v>
      </c>
      <c r="H23" s="35">
        <f t="shared" si="2"/>
        <v>111.50016869919637</v>
      </c>
      <c r="I23" s="36">
        <f t="shared" si="3"/>
        <v>1.186243325258925E-2</v>
      </c>
      <c r="J23" s="111">
        <f t="shared" si="0"/>
        <v>3.811834117859203E-2</v>
      </c>
    </row>
    <row r="24" spans="1:10" x14ac:dyDescent="0.2">
      <c r="A24" s="107" t="s">
        <v>40</v>
      </c>
      <c r="B24" s="73">
        <f>B5</f>
        <v>2960</v>
      </c>
      <c r="C24" s="126">
        <f>VLOOKUP($B$3,'Data for Bill Impacts'!$A$3:$Y$15,15,0)</f>
        <v>3.4866480000000002</v>
      </c>
      <c r="D24" s="22">
        <f>B24*C24</f>
        <v>10320.478080000001</v>
      </c>
      <c r="E24" s="73">
        <f t="shared" si="4"/>
        <v>2960</v>
      </c>
      <c r="F24" s="78">
        <f>VLOOKUP($B$3,'Data for Bill Impacts'!$A$3:$Y$15,24,0)</f>
        <v>3.5367000000000002</v>
      </c>
      <c r="G24" s="22">
        <f>E24*F24</f>
        <v>10468.632000000001</v>
      </c>
      <c r="H24" s="22">
        <f t="shared" si="2"/>
        <v>148.15392000000065</v>
      </c>
      <c r="I24" s="23">
        <f t="shared" si="3"/>
        <v>1.4355334980760954E-2</v>
      </c>
      <c r="J24" s="125">
        <f t="shared" si="0"/>
        <v>4.1956640943442883E-2</v>
      </c>
    </row>
    <row r="25" spans="1:10" s="1" customFormat="1" x14ac:dyDescent="0.2">
      <c r="A25" s="107" t="s">
        <v>41</v>
      </c>
      <c r="B25" s="73">
        <f>B5</f>
        <v>2960</v>
      </c>
      <c r="C25" s="126">
        <f>VLOOKUP($B$3,'Data for Bill Impacts'!$A$3:$Y$15,16,0)</f>
        <v>2.6021643999999999</v>
      </c>
      <c r="D25" s="22">
        <f>B25*C25</f>
        <v>7702.4066240000002</v>
      </c>
      <c r="E25" s="73">
        <f t="shared" si="4"/>
        <v>2960</v>
      </c>
      <c r="F25" s="126">
        <f>VLOOKUP($B$3,'Data for Bill Impacts'!$A$3:$Y$15,25,0)</f>
        <v>2.6514000000000002</v>
      </c>
      <c r="G25" s="22">
        <f>E25*F25</f>
        <v>7848.1440000000002</v>
      </c>
      <c r="H25" s="22">
        <f t="shared" si="2"/>
        <v>145.73737600000004</v>
      </c>
      <c r="I25" s="23">
        <f t="shared" si="3"/>
        <v>1.892101821084018E-2</v>
      </c>
      <c r="J25" s="125">
        <f t="shared" si="0"/>
        <v>3.1454134588018337E-2</v>
      </c>
    </row>
    <row r="26" spans="1:10" x14ac:dyDescent="0.2">
      <c r="A26" s="110" t="s">
        <v>76</v>
      </c>
      <c r="B26" s="74"/>
      <c r="C26" s="35"/>
      <c r="D26" s="35">
        <f>SUM(D24:D25)</f>
        <v>18022.884704</v>
      </c>
      <c r="E26" s="73"/>
      <c r="F26" s="35"/>
      <c r="G26" s="35">
        <f>SUM(G24:G25)</f>
        <v>18316.776000000002</v>
      </c>
      <c r="H26" s="35">
        <f t="shared" si="2"/>
        <v>293.8912960000016</v>
      </c>
      <c r="I26" s="36">
        <f t="shared" si="3"/>
        <v>1.6306562507986046E-2</v>
      </c>
      <c r="J26" s="111">
        <f t="shared" si="0"/>
        <v>7.341077553146122E-2</v>
      </c>
    </row>
    <row r="27" spans="1:10" s="1" customFormat="1" x14ac:dyDescent="0.2">
      <c r="A27" s="110" t="s">
        <v>80</v>
      </c>
      <c r="B27" s="74"/>
      <c r="C27" s="35"/>
      <c r="D27" s="35">
        <f>D23+D26</f>
        <v>27422.319569090505</v>
      </c>
      <c r="E27" s="73"/>
      <c r="F27" s="35"/>
      <c r="G27" s="35">
        <f>G23+G26</f>
        <v>27827.711033789703</v>
      </c>
      <c r="H27" s="35">
        <f t="shared" si="2"/>
        <v>405.39146469919797</v>
      </c>
      <c r="I27" s="36">
        <f t="shared" si="3"/>
        <v>1.4783266735617117E-2</v>
      </c>
      <c r="J27" s="111">
        <f t="shared" si="0"/>
        <v>0.11152911671005325</v>
      </c>
    </row>
    <row r="28" spans="1:10" x14ac:dyDescent="0.2">
      <c r="A28" s="107" t="s">
        <v>42</v>
      </c>
      <c r="B28" s="73">
        <f>B9</f>
        <v>1655471.2240000002</v>
      </c>
      <c r="C28" s="34">
        <v>3.5999999999999999E-3</v>
      </c>
      <c r="D28" s="22">
        <f>B28*C28</f>
        <v>5959.6964064000003</v>
      </c>
      <c r="E28" s="73">
        <f t="shared" si="4"/>
        <v>1655471.2240000002</v>
      </c>
      <c r="F28" s="34">
        <v>3.5999999999999999E-3</v>
      </c>
      <c r="G28" s="22">
        <f>E28*F28</f>
        <v>5959.6964064000003</v>
      </c>
      <c r="H28" s="22">
        <f t="shared" si="2"/>
        <v>0</v>
      </c>
      <c r="I28" s="23">
        <f t="shared" si="3"/>
        <v>0</v>
      </c>
      <c r="J28" s="125">
        <f t="shared" si="0"/>
        <v>2.3885531772943364E-2</v>
      </c>
    </row>
    <row r="29" spans="1:10" x14ac:dyDescent="0.2">
      <c r="A29" s="107" t="s">
        <v>43</v>
      </c>
      <c r="B29" s="73">
        <f>B9</f>
        <v>1655471.2240000002</v>
      </c>
      <c r="C29" s="34">
        <v>2.0999999999999999E-3</v>
      </c>
      <c r="D29" s="22">
        <f>B29*C29</f>
        <v>3476.4895704</v>
      </c>
      <c r="E29" s="73">
        <f t="shared" si="4"/>
        <v>1655471.2240000002</v>
      </c>
      <c r="F29" s="34">
        <v>2.0999999999999999E-3</v>
      </c>
      <c r="G29" s="22">
        <f>E29*F29</f>
        <v>3476.4895704</v>
      </c>
      <c r="H29" s="22">
        <f>G29-D29</f>
        <v>0</v>
      </c>
      <c r="I29" s="23">
        <f t="shared" si="3"/>
        <v>0</v>
      </c>
      <c r="J29" s="125">
        <f t="shared" si="0"/>
        <v>1.3933226867550294E-2</v>
      </c>
    </row>
    <row r="30" spans="1:10" x14ac:dyDescent="0.2">
      <c r="A30" s="107" t="s">
        <v>100</v>
      </c>
      <c r="B30" s="73">
        <f>B9</f>
        <v>1655471.2240000002</v>
      </c>
      <c r="C30" s="34">
        <v>1.1000000000000001E-3</v>
      </c>
      <c r="D30" s="22">
        <f>B30*C30</f>
        <v>1821.0183464000004</v>
      </c>
      <c r="E30" s="73">
        <f t="shared" si="4"/>
        <v>1655471.2240000002</v>
      </c>
      <c r="F30" s="34">
        <v>1.1000000000000001E-3</v>
      </c>
      <c r="G30" s="22">
        <f>E30*F30</f>
        <v>1821.0183464000004</v>
      </c>
      <c r="H30" s="22">
        <f>G30-D30</f>
        <v>0</v>
      </c>
      <c r="I30" s="23">
        <f t="shared" si="3"/>
        <v>0</v>
      </c>
      <c r="J30" s="125">
        <f t="shared" si="0"/>
        <v>7.2983569306215839E-3</v>
      </c>
    </row>
    <row r="31" spans="1:10" x14ac:dyDescent="0.2">
      <c r="A31" s="107" t="s">
        <v>44</v>
      </c>
      <c r="B31" s="73">
        <v>1</v>
      </c>
      <c r="C31" s="22">
        <v>0.25</v>
      </c>
      <c r="D31" s="22">
        <f>B31*C31</f>
        <v>0.25</v>
      </c>
      <c r="E31" s="73">
        <f t="shared" si="4"/>
        <v>1</v>
      </c>
      <c r="F31" s="22">
        <f>C31</f>
        <v>0.25</v>
      </c>
      <c r="G31" s="22">
        <f>E31*F31</f>
        <v>0.25</v>
      </c>
      <c r="H31" s="22">
        <f t="shared" si="2"/>
        <v>0</v>
      </c>
      <c r="I31" s="23">
        <f t="shared" si="3"/>
        <v>0</v>
      </c>
      <c r="J31" s="125">
        <f t="shared" si="0"/>
        <v>1.001960928214949E-6</v>
      </c>
    </row>
    <row r="32" spans="1:10" x14ac:dyDescent="0.2">
      <c r="A32" s="110" t="s">
        <v>45</v>
      </c>
      <c r="B32" s="74"/>
      <c r="C32" s="35"/>
      <c r="D32" s="35">
        <f>SUM(D28:D31)</f>
        <v>11257.4543232</v>
      </c>
      <c r="E32" s="73"/>
      <c r="F32" s="35"/>
      <c r="G32" s="35">
        <f>SUM(G28:G31)</f>
        <v>11257.4543232</v>
      </c>
      <c r="H32" s="35">
        <f t="shared" si="2"/>
        <v>0</v>
      </c>
      <c r="I32" s="36">
        <f t="shared" si="3"/>
        <v>0</v>
      </c>
      <c r="J32" s="111">
        <f t="shared" si="0"/>
        <v>4.511811753204345E-2</v>
      </c>
    </row>
    <row r="33" spans="1:10" ht="13.5" thickBot="1" x14ac:dyDescent="0.25">
      <c r="A33" s="112" t="s">
        <v>46</v>
      </c>
      <c r="B33" s="113">
        <f>B4</f>
        <v>1601036</v>
      </c>
      <c r="C33" s="114">
        <v>7.0000000000000001E-3</v>
      </c>
      <c r="D33" s="115">
        <f>B33*C33</f>
        <v>11207.252</v>
      </c>
      <c r="E33" s="116">
        <f t="shared" si="4"/>
        <v>1601036</v>
      </c>
      <c r="F33" s="114">
        <f>C33</f>
        <v>7.0000000000000001E-3</v>
      </c>
      <c r="G33" s="115">
        <f>E33*F33</f>
        <v>11207.252</v>
      </c>
      <c r="H33" s="115">
        <f t="shared" si="2"/>
        <v>0</v>
      </c>
      <c r="I33" s="117">
        <f t="shared" si="3"/>
        <v>0</v>
      </c>
      <c r="J33" s="118">
        <f t="shared" si="0"/>
        <v>4.4916914466635378E-2</v>
      </c>
    </row>
    <row r="34" spans="1:10" x14ac:dyDescent="0.2">
      <c r="A34" s="37" t="s">
        <v>146</v>
      </c>
      <c r="B34" s="38"/>
      <c r="C34" s="39"/>
      <c r="D34" s="39">
        <f>SUM(D15,D23,D26,D32,D33)</f>
        <v>220400.56196429054</v>
      </c>
      <c r="E34" s="38"/>
      <c r="F34" s="39"/>
      <c r="G34" s="39">
        <f>SUM(G15,G23,G26,G32,G33)</f>
        <v>220805.95342898971</v>
      </c>
      <c r="H34" s="39">
        <f t="shared" si="2"/>
        <v>405.39146469917614</v>
      </c>
      <c r="I34" s="40">
        <f>IF(ISERROR(H34/D34),0,(H34/D34))</f>
        <v>1.8393395238477566E-3</v>
      </c>
      <c r="J34" s="41">
        <f t="shared" si="0"/>
        <v>0.88495575221238942</v>
      </c>
    </row>
    <row r="35" spans="1:10" x14ac:dyDescent="0.2">
      <c r="A35" s="46" t="s">
        <v>138</v>
      </c>
      <c r="B35" s="43"/>
      <c r="C35" s="26">
        <v>0.13</v>
      </c>
      <c r="D35" s="26">
        <f>D34*C35</f>
        <v>28652.07305535777</v>
      </c>
      <c r="E35" s="26"/>
      <c r="F35" s="26">
        <f>C35</f>
        <v>0.13</v>
      </c>
      <c r="G35" s="26">
        <f>G34*F35</f>
        <v>28704.773945768662</v>
      </c>
      <c r="H35" s="26">
        <f t="shared" si="2"/>
        <v>52.700890410891589</v>
      </c>
      <c r="I35" s="44">
        <f t="shared" ref="I35:I38" si="7">IF(ISERROR(H35/D35),0,(H35/D35))</f>
        <v>1.8393395238477108E-3</v>
      </c>
      <c r="J35" s="45">
        <f t="shared" si="0"/>
        <v>0.11504424778761062</v>
      </c>
    </row>
    <row r="36" spans="1:10" x14ac:dyDescent="0.2">
      <c r="A36" s="46" t="s">
        <v>139</v>
      </c>
      <c r="B36" s="24"/>
      <c r="C36" s="25"/>
      <c r="D36" s="25">
        <f>SUM(D34:D35)</f>
        <v>249052.6350196483</v>
      </c>
      <c r="E36" s="25"/>
      <c r="F36" s="25"/>
      <c r="G36" s="25">
        <f>SUM(G34:G35)</f>
        <v>249510.72737475837</v>
      </c>
      <c r="H36" s="25">
        <f t="shared" si="2"/>
        <v>458.09235511007137</v>
      </c>
      <c r="I36" s="27">
        <f t="shared" si="7"/>
        <v>1.8393395238477661E-3</v>
      </c>
      <c r="J36" s="47">
        <f t="shared" si="0"/>
        <v>1</v>
      </c>
    </row>
    <row r="37" spans="1:10" x14ac:dyDescent="0.2">
      <c r="A37" s="46" t="s">
        <v>140</v>
      </c>
      <c r="B37" s="43"/>
      <c r="C37" s="26">
        <v>0</v>
      </c>
      <c r="D37" s="26">
        <f>D34*C37</f>
        <v>0</v>
      </c>
      <c r="E37" s="26"/>
      <c r="F37" s="26">
        <f>C37</f>
        <v>0</v>
      </c>
      <c r="G37" s="26">
        <f>G34*F37</f>
        <v>0</v>
      </c>
      <c r="H37" s="26">
        <f t="shared" si="2"/>
        <v>0</v>
      </c>
      <c r="I37" s="44">
        <f t="shared" si="7"/>
        <v>0</v>
      </c>
      <c r="J37" s="45">
        <f t="shared" si="0"/>
        <v>0</v>
      </c>
    </row>
    <row r="38" spans="1:10" ht="13.5" thickBot="1" x14ac:dyDescent="0.25">
      <c r="A38" s="46" t="s">
        <v>141</v>
      </c>
      <c r="B38" s="49"/>
      <c r="C38" s="50"/>
      <c r="D38" s="50">
        <f>SUM(D36:D37)</f>
        <v>249052.6350196483</v>
      </c>
      <c r="E38" s="50"/>
      <c r="F38" s="50"/>
      <c r="G38" s="50">
        <f>SUM(G36:G37)</f>
        <v>249510.72737475837</v>
      </c>
      <c r="H38" s="50">
        <f t="shared" si="2"/>
        <v>458.09235511007137</v>
      </c>
      <c r="I38" s="51">
        <f t="shared" si="7"/>
        <v>1.8393395238477661E-3</v>
      </c>
      <c r="J38" s="52">
        <f t="shared" si="0"/>
        <v>1</v>
      </c>
    </row>
    <row r="39" spans="1:10" x14ac:dyDescent="0.2">
      <c r="F39" s="69"/>
    </row>
    <row r="40" spans="1:10" x14ac:dyDescent="0.2">
      <c r="F40" s="69"/>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6">
    <tabColor rgb="FFCCFFCC"/>
    <pageSetUpPr fitToPage="1"/>
  </sheetPr>
  <dimension ref="A1:J53"/>
  <sheetViews>
    <sheetView zoomScaleNormal="100" workbookViewId="0">
      <pane xSplit="1" ySplit="2" topLeftCell="B3" activePane="bottomRight" state="frozen"/>
      <selection activeCell="C19" sqref="C19"/>
      <selection pane="topRight" activeCell="C19" sqref="C19"/>
      <selection pane="bottomLeft" activeCell="C19" sqref="C19"/>
      <selection pane="bottomRight" activeCell="C19" sqref="C19"/>
    </sheetView>
  </sheetViews>
  <sheetFormatPr defaultColWidth="8.85546875" defaultRowHeight="12.75" x14ac:dyDescent="0.2"/>
  <cols>
    <col min="1" max="1" width="12.85546875" style="235" customWidth="1"/>
    <col min="2" max="2" width="13.42578125" style="235" customWidth="1"/>
    <col min="3" max="4" width="13.7109375" style="235" hidden="1" customWidth="1"/>
    <col min="5" max="5" width="13.7109375" style="235" customWidth="1"/>
    <col min="6" max="6" width="12.140625" style="235" hidden="1" customWidth="1"/>
    <col min="7" max="7" width="13" style="235" hidden="1" customWidth="1"/>
    <col min="8" max="8" width="11.85546875" style="235" bestFit="1" customWidth="1"/>
    <col min="9" max="9" width="12.28515625" style="235" bestFit="1" customWidth="1"/>
    <col min="10" max="10" width="19.42578125" style="235" customWidth="1"/>
    <col min="11" max="16384" width="8.85546875" style="235"/>
  </cols>
  <sheetData>
    <row r="1" spans="1:10" ht="39.75" thickTop="1" thickBot="1" x14ac:dyDescent="0.25">
      <c r="A1" s="188" t="s">
        <v>13</v>
      </c>
      <c r="B1" s="180" t="s">
        <v>67</v>
      </c>
      <c r="C1" s="228" t="s">
        <v>62</v>
      </c>
      <c r="D1" s="181" t="s">
        <v>68</v>
      </c>
      <c r="E1" s="179" t="s">
        <v>106</v>
      </c>
      <c r="F1" s="182" t="s">
        <v>63</v>
      </c>
      <c r="G1" s="183" t="s">
        <v>65</v>
      </c>
      <c r="H1" s="184" t="s">
        <v>64</v>
      </c>
      <c r="I1" s="185" t="s">
        <v>66</v>
      </c>
      <c r="J1" s="186" t="s">
        <v>69</v>
      </c>
    </row>
    <row r="2" spans="1:10" ht="13.5" thickBot="1" x14ac:dyDescent="0.25">
      <c r="A2" s="187" t="s">
        <v>133</v>
      </c>
      <c r="B2" s="168"/>
      <c r="C2" s="229"/>
      <c r="D2" s="169"/>
      <c r="E2" s="170"/>
      <c r="F2" s="171"/>
      <c r="G2" s="172"/>
      <c r="H2" s="173"/>
      <c r="I2" s="174"/>
      <c r="J2" s="178"/>
    </row>
    <row r="3" spans="1:10" x14ac:dyDescent="0.2">
      <c r="A3" s="334" t="s">
        <v>195</v>
      </c>
      <c r="B3" s="90" t="s">
        <v>60</v>
      </c>
      <c r="C3" s="230">
        <f>BI_AUR_Low!B4</f>
        <v>350</v>
      </c>
      <c r="D3" s="83"/>
      <c r="E3" s="138">
        <f>BI_AUR_Low!D49</f>
        <v>82.457683071184931</v>
      </c>
      <c r="F3" s="236">
        <f>BI_AUR_Low!H23</f>
        <v>1.0800000000000018</v>
      </c>
      <c r="G3" s="240">
        <f>BI_AUR_Low!I23</f>
        <v>3.6388140161725133E-2</v>
      </c>
      <c r="H3" s="238">
        <f>BI_AUR_Low!H49</f>
        <v>2.0869682038150614</v>
      </c>
      <c r="I3" s="241">
        <f>BI_AUR_Low!I49</f>
        <v>2.5309566387081258E-2</v>
      </c>
      <c r="J3" s="337" t="s">
        <v>51</v>
      </c>
    </row>
    <row r="4" spans="1:10" x14ac:dyDescent="0.2">
      <c r="A4" s="334"/>
      <c r="B4" s="91" t="s">
        <v>94</v>
      </c>
      <c r="C4" s="231">
        <f>BI_AUR_Typical!B4</f>
        <v>750</v>
      </c>
      <c r="D4" s="84"/>
      <c r="E4" s="139">
        <f>BI_AUR_Typical!D49</f>
        <v>139.83103515253913</v>
      </c>
      <c r="F4" s="248">
        <f>BI_AUR_Typical!H23</f>
        <v>1.0800000000000018</v>
      </c>
      <c r="G4" s="249">
        <f>BI_AUR_Typical!I23</f>
        <v>3.6388140161725133E-2</v>
      </c>
      <c r="H4" s="250">
        <f>BI_AUR_Typical!H49</f>
        <v>3.1760747224608963</v>
      </c>
      <c r="I4" s="251">
        <f>BI_AUR_Typical!I49</f>
        <v>2.2713660947987508E-2</v>
      </c>
      <c r="J4" s="338"/>
    </row>
    <row r="5" spans="1:10" x14ac:dyDescent="0.2">
      <c r="A5" s="334"/>
      <c r="B5" s="198" t="s">
        <v>136</v>
      </c>
      <c r="C5" s="231">
        <f>BI_AUR_Avg!B4</f>
        <v>600</v>
      </c>
      <c r="D5" s="200"/>
      <c r="E5" s="201">
        <f>BI_AUR_Avg!D49</f>
        <v>118.31602812203133</v>
      </c>
      <c r="F5" s="248">
        <f>BI_AUR_Avg!H23</f>
        <v>1.0800000000000018</v>
      </c>
      <c r="G5" s="249">
        <f>BI_AUR_Avg!I23</f>
        <v>3.6388140161725133E-2</v>
      </c>
      <c r="H5" s="250">
        <f>BI_AUR_Avg!H49</f>
        <v>2.7676597779686887</v>
      </c>
      <c r="I5" s="251">
        <f>BI_AUR_Avg!I49</f>
        <v>2.3392095068591384E-2</v>
      </c>
      <c r="J5" s="338"/>
    </row>
    <row r="6" spans="1:10" ht="13.5" thickBot="1" x14ac:dyDescent="0.25">
      <c r="A6" s="335"/>
      <c r="B6" s="92" t="s">
        <v>61</v>
      </c>
      <c r="C6" s="232">
        <f>BI_AUR_High!B4</f>
        <v>1400</v>
      </c>
      <c r="D6" s="85"/>
      <c r="E6" s="140">
        <f>BI_AUR_High!D49</f>
        <v>233.0627322847397</v>
      </c>
      <c r="F6" s="252">
        <f>BI_AUR_High!H23</f>
        <v>1.0800000000000018</v>
      </c>
      <c r="G6" s="237">
        <f>BI_AUR_High!I23</f>
        <v>3.6388140161725133E-2</v>
      </c>
      <c r="H6" s="253">
        <f>BI_AUR_High!H49</f>
        <v>4.9458728152602589</v>
      </c>
      <c r="I6" s="239">
        <f>BI_AUR_High!I49</f>
        <v>2.122120841361174E-2</v>
      </c>
      <c r="J6" s="339"/>
    </row>
    <row r="7" spans="1:10" x14ac:dyDescent="0.2">
      <c r="A7" s="334" t="s">
        <v>196</v>
      </c>
      <c r="B7" s="90" t="s">
        <v>60</v>
      </c>
      <c r="C7" s="230">
        <f>BI_AUGE_Low!B4</f>
        <v>1000</v>
      </c>
      <c r="D7" s="83"/>
      <c r="E7" s="138">
        <f>BI_AUGE_Low!D50</f>
        <v>191.97184858668328</v>
      </c>
      <c r="F7" s="236">
        <f>BI_AUGE_Low!H24</f>
        <v>8.4000000000000057</v>
      </c>
      <c r="G7" s="240">
        <f>BI_AUGE_Low!I24</f>
        <v>0.21406727828746194</v>
      </c>
      <c r="H7" s="238">
        <f>BI_AUGE_Low!H50</f>
        <v>8.9857929133166863</v>
      </c>
      <c r="I7" s="241">
        <f>BI_AUGE_Low!I50</f>
        <v>4.6807867817448383E-2</v>
      </c>
      <c r="J7" s="337" t="s">
        <v>51</v>
      </c>
    </row>
    <row r="8" spans="1:10" x14ac:dyDescent="0.2">
      <c r="A8" s="334"/>
      <c r="B8" s="91" t="s">
        <v>94</v>
      </c>
      <c r="C8" s="231">
        <f>BI_AUGE_Typical!B4</f>
        <v>2000</v>
      </c>
      <c r="D8" s="84"/>
      <c r="E8" s="139">
        <f>BI_AUGE_Typical!D50</f>
        <v>356.66469717336656</v>
      </c>
      <c r="F8" s="248">
        <f>BI_AUGE_Typical!H24</f>
        <v>11.499999999999993</v>
      </c>
      <c r="G8" s="249">
        <f>BI_AUGE_Typical!I24</f>
        <v>0.21479267837131105</v>
      </c>
      <c r="H8" s="250">
        <f>BI_AUGE_Typical!H50</f>
        <v>12.406585826633375</v>
      </c>
      <c r="I8" s="251">
        <f>BI_AUGE_Typical!I50</f>
        <v>3.4785012155556336E-2</v>
      </c>
      <c r="J8" s="338"/>
    </row>
    <row r="9" spans="1:10" x14ac:dyDescent="0.2">
      <c r="A9" s="334"/>
      <c r="B9" s="198" t="s">
        <v>136</v>
      </c>
      <c r="C9" s="231">
        <f>BI_AUGE_Avg!B4</f>
        <v>2695</v>
      </c>
      <c r="D9" s="200"/>
      <c r="E9" s="201">
        <f>BI_AUGE_Avg!D50</f>
        <v>471.1262269411115</v>
      </c>
      <c r="F9" s="248">
        <f>BI_AUGE_Avg!H24</f>
        <v>13.654499999999999</v>
      </c>
      <c r="G9" s="249">
        <f>BI_AUGE_Avg!I24</f>
        <v>0.21510432666178311</v>
      </c>
      <c r="H9" s="250">
        <f>BI_AUGE_Avg!H50</f>
        <v>14.784036901388447</v>
      </c>
      <c r="I9" s="251">
        <f>BI_AUGE_Avg!I50</f>
        <v>3.1380203554739437E-2</v>
      </c>
      <c r="J9" s="338"/>
    </row>
    <row r="10" spans="1:10" ht="13.5" thickBot="1" x14ac:dyDescent="0.25">
      <c r="A10" s="335"/>
      <c r="B10" s="92" t="s">
        <v>61</v>
      </c>
      <c r="C10" s="232">
        <f>BI_AUGE_High!B4</f>
        <v>15000</v>
      </c>
      <c r="D10" s="85"/>
      <c r="E10" s="140">
        <f>BI_AUGE_High!D50</f>
        <v>2497.6717288002496</v>
      </c>
      <c r="F10" s="252">
        <f>BI_AUGE_High!H24</f>
        <v>51.800000000000011</v>
      </c>
      <c r="G10" s="237">
        <f>BI_AUGE_High!I24</f>
        <v>0.2163381222853325</v>
      </c>
      <c r="H10" s="253">
        <f>BI_AUGE_High!H50</f>
        <v>56.876893699750326</v>
      </c>
      <c r="I10" s="239">
        <f>BI_AUGE_High!I50</f>
        <v>2.2771965204198791E-2</v>
      </c>
      <c r="J10" s="339"/>
    </row>
    <row r="11" spans="1:10" x14ac:dyDescent="0.2">
      <c r="A11" s="334" t="s">
        <v>197</v>
      </c>
      <c r="B11" s="90" t="s">
        <v>60</v>
      </c>
      <c r="C11" s="230">
        <f>BI_AUGd_Low!B4</f>
        <v>15000</v>
      </c>
      <c r="D11" s="83">
        <f>BI_AUGd_Low!B5</f>
        <v>60</v>
      </c>
      <c r="E11" s="138">
        <f>BI_AUGd_Low!D35</f>
        <v>2731.535003462548</v>
      </c>
      <c r="F11" s="236">
        <f>BI_AUGd_Low!H20</f>
        <v>149.75600000000003</v>
      </c>
      <c r="G11" s="240">
        <f>BI_AUGd_Low!I20</f>
        <v>0.51343623360326951</v>
      </c>
      <c r="H11" s="238">
        <f>BI_AUGd_Low!H35</f>
        <v>62.174731537451862</v>
      </c>
      <c r="I11" s="241">
        <f>BI_AUGd_Low!I35</f>
        <v>2.2761828590385235E-2</v>
      </c>
      <c r="J11" s="344" t="s">
        <v>70</v>
      </c>
    </row>
    <row r="12" spans="1:10" x14ac:dyDescent="0.2">
      <c r="A12" s="334"/>
      <c r="B12" s="91" t="s">
        <v>136</v>
      </c>
      <c r="C12" s="231">
        <f>BI_AUGd_Avg!B4</f>
        <v>61239</v>
      </c>
      <c r="D12" s="84">
        <f>BI_AUGd_Avg!B5</f>
        <v>177</v>
      </c>
      <c r="E12" s="139">
        <f>BI_AUGd_Avg!D35</f>
        <v>10085.286797531115</v>
      </c>
      <c r="F12" s="248">
        <f>BI_AUGd_Avg!H20</f>
        <v>302.80370000000005</v>
      </c>
      <c r="G12" s="254">
        <f>BI_AUGd_Avg!I20</f>
        <v>0.51301244920976219</v>
      </c>
      <c r="H12" s="250">
        <f>BI_AUGd_Avg!H35</f>
        <v>33.538849867885801</v>
      </c>
      <c r="I12" s="251">
        <f>BI_AUGd_Avg!I35</f>
        <v>3.3255226689335336E-3</v>
      </c>
      <c r="J12" s="345"/>
    </row>
    <row r="13" spans="1:10" ht="13.5" thickBot="1" x14ac:dyDescent="0.25">
      <c r="A13" s="335"/>
      <c r="B13" s="92" t="s">
        <v>61</v>
      </c>
      <c r="C13" s="232">
        <f>BI_AUGd_High!B4</f>
        <v>175000</v>
      </c>
      <c r="D13" s="85">
        <f>BI_AUGd_High!B5</f>
        <v>500</v>
      </c>
      <c r="E13" s="140">
        <f>BI_AUGd_High!D35</f>
        <v>28479.098965521229</v>
      </c>
      <c r="F13" s="252">
        <f>BI_AUGd_High!H20</f>
        <v>725.31999999999994</v>
      </c>
      <c r="G13" s="237">
        <f>BI_AUGd_High!I20</f>
        <v>0.51277120699040657</v>
      </c>
      <c r="H13" s="253">
        <f>BI_AUGd_High!H35</f>
        <v>-51.375390521228837</v>
      </c>
      <c r="I13" s="239">
        <f>BI_AUGd_High!I35</f>
        <v>-1.8039682569812845E-3</v>
      </c>
      <c r="J13" s="346"/>
    </row>
    <row r="14" spans="1:10" ht="13.5" thickBot="1" x14ac:dyDescent="0.25">
      <c r="A14" s="287" t="s">
        <v>8</v>
      </c>
      <c r="B14" s="296" t="s">
        <v>136</v>
      </c>
      <c r="C14" s="297">
        <f>'WHSI_BI_St Lgt_Avg'!B4</f>
        <v>76826.384713261112</v>
      </c>
      <c r="D14" s="298">
        <f>'WHSI_BI_St Lgt_Avg'!C5</f>
        <v>210.7703131136349</v>
      </c>
      <c r="E14" s="299">
        <f>'WHSI_BI_St Lgt_Avg'!D38</f>
        <v>17458.981795927044</v>
      </c>
      <c r="F14" s="300">
        <f>'WHSI_BI_St Lgt_Avg'!H21</f>
        <v>3163.0340183826047</v>
      </c>
      <c r="G14" s="301">
        <f>'WHSI_BI_St Lgt_Avg'!I21</f>
        <v>0.62294806581927675</v>
      </c>
      <c r="H14" s="302">
        <f>'WHSI_BI_St Lgt_Avg'!H38</f>
        <v>3659.3020856956791</v>
      </c>
      <c r="I14" s="303">
        <f>'WHSI_BI_St Lgt_Avg'!I38</f>
        <v>0.20959424372327068</v>
      </c>
      <c r="J14" s="304" t="s">
        <v>99</v>
      </c>
    </row>
    <row r="15" spans="1:10" ht="13.5" thickBot="1" x14ac:dyDescent="0.25">
      <c r="A15" s="274" t="s">
        <v>12</v>
      </c>
      <c r="B15" s="288" t="s">
        <v>136</v>
      </c>
      <c r="C15" s="289">
        <f>WHSI_BI_USL_Avg!B4</f>
        <v>1544.8923697916664</v>
      </c>
      <c r="D15" s="290"/>
      <c r="E15" s="291">
        <f>WHSI_BI_USL_Avg!D38</f>
        <v>264.15312135849246</v>
      </c>
      <c r="F15" s="292">
        <f>WHSI_BI_USL_Avg!H21</f>
        <v>55.341530367187502</v>
      </c>
      <c r="G15" s="293">
        <f>WHSI_BI_USL_Avg!I21</f>
        <v>1.9009086870488388</v>
      </c>
      <c r="H15" s="294">
        <f>WHSI_BI_USL_Avg!H38</f>
        <v>63.405022484212225</v>
      </c>
      <c r="I15" s="295">
        <f>WHSI_BI_USL_Avg!I38</f>
        <v>0.24003132031198984</v>
      </c>
      <c r="J15" s="338" t="s">
        <v>99</v>
      </c>
    </row>
    <row r="16" spans="1:10" x14ac:dyDescent="0.2">
      <c r="A16" s="334" t="s">
        <v>11</v>
      </c>
      <c r="B16" s="90" t="s">
        <v>60</v>
      </c>
      <c r="C16" s="230">
        <f>WHSI_BI_ST_Low!B4</f>
        <v>200000</v>
      </c>
      <c r="D16" s="269">
        <f>WHSI_BI_ST_Low!B5</f>
        <v>500</v>
      </c>
      <c r="E16" s="138">
        <f>WHSI_BI_ST_Low!D38</f>
        <v>32166.378803047191</v>
      </c>
      <c r="F16" s="236">
        <f>WHSI_BI_ST_Low!H23</f>
        <v>656.31123449150368</v>
      </c>
      <c r="G16" s="240">
        <f>WHSI_BI_ST_Low!I23</f>
        <v>0.35099485228386279</v>
      </c>
      <c r="H16" s="238">
        <f>WHSI_BI_ST_Low!H38</f>
        <v>1425.2568919282057</v>
      </c>
      <c r="I16" s="241">
        <f>WHSI_BI_ST_Low!I38</f>
        <v>4.4308900938304814E-2</v>
      </c>
      <c r="J16" s="331" t="s">
        <v>70</v>
      </c>
    </row>
    <row r="17" spans="1:10" x14ac:dyDescent="0.2">
      <c r="A17" s="334"/>
      <c r="B17" s="198" t="s">
        <v>136</v>
      </c>
      <c r="C17" s="231">
        <f>WHSI_BI_ST_Avg!B4</f>
        <v>1037333.9285714286</v>
      </c>
      <c r="D17" s="270">
        <f>WHSI_BI_ST_Avg!B5</f>
        <v>50794.297619047626</v>
      </c>
      <c r="E17" s="139">
        <f>WHSI_BI_ST_Avg!D38</f>
        <v>583006.19412340212</v>
      </c>
      <c r="F17" s="248">
        <f>WHSI_BI_ST_Avg!H23</f>
        <v>-47588.469819861362</v>
      </c>
      <c r="G17" s="254">
        <f>WHSI_BI_ST_Avg!I23</f>
        <v>-0.34412552774787991</v>
      </c>
      <c r="H17" s="250">
        <f>WHSI_BI_ST_Avg!H38</f>
        <v>15953.994216664229</v>
      </c>
      <c r="I17" s="251">
        <f>WHSI_BI_ST_Avg!I38</f>
        <v>2.7365050967687186E-2</v>
      </c>
      <c r="J17" s="332"/>
    </row>
    <row r="18" spans="1:10" ht="13.5" thickBot="1" x14ac:dyDescent="0.25">
      <c r="A18" s="335"/>
      <c r="B18" s="92" t="s">
        <v>61</v>
      </c>
      <c r="C18" s="232">
        <f>WHSI_BI_ST_High!B4</f>
        <v>4000000</v>
      </c>
      <c r="D18" s="271">
        <f>WHSI_BI_ST_High!B5</f>
        <v>10000</v>
      </c>
      <c r="E18" s="140">
        <f>WHSI_BI_ST_High!D38</f>
        <v>618298.38116094389</v>
      </c>
      <c r="F18" s="252">
        <f>WHSI_BI_ST_High!H23</f>
        <v>-1301.8053101699188</v>
      </c>
      <c r="G18" s="237">
        <f>WHSI_BI_ST_High!I23</f>
        <v>-4.7102587924227994E-2</v>
      </c>
      <c r="H18" s="253">
        <f>WHSI_BI_ST_High!H38</f>
        <v>26197.011138564209</v>
      </c>
      <c r="I18" s="239">
        <f>WHSI_BI_ST_High!I38</f>
        <v>4.2369528914786354E-2</v>
      </c>
      <c r="J18" s="333"/>
    </row>
    <row r="19" spans="1:10" ht="13.5" thickBot="1" x14ac:dyDescent="0.25">
      <c r="A19" s="187" t="s">
        <v>215</v>
      </c>
      <c r="B19" s="175"/>
      <c r="C19" s="233"/>
      <c r="D19" s="176"/>
      <c r="E19" s="177"/>
      <c r="F19" s="242"/>
      <c r="G19" s="243"/>
      <c r="H19" s="244"/>
      <c r="I19" s="245"/>
      <c r="J19" s="246"/>
    </row>
    <row r="20" spans="1:10" x14ac:dyDescent="0.2">
      <c r="A20" s="334" t="s">
        <v>180</v>
      </c>
      <c r="B20" s="90" t="s">
        <v>60</v>
      </c>
      <c r="C20" s="230">
        <f>NPDI_BI_AR_Low!B4</f>
        <v>400</v>
      </c>
      <c r="D20" s="83"/>
      <c r="E20" s="138">
        <f>NPDI_BI_AR_Low!D50</f>
        <v>96.565339920000014</v>
      </c>
      <c r="F20" s="236">
        <f>NPDI_BI_AR_Low!H24</f>
        <v>3.4899999999999949</v>
      </c>
      <c r="G20" s="240">
        <f>NPDI_BI_AR_Low!I24</f>
        <v>9.5381251708116829E-2</v>
      </c>
      <c r="H20" s="238">
        <f>NPDI_BI_AR_Low!H50</f>
        <v>5.4304181400000004</v>
      </c>
      <c r="I20" s="241">
        <f>NPDI_BI_AR_Low!I50</f>
        <v>5.6235686059810427E-2</v>
      </c>
      <c r="J20" s="337" t="s">
        <v>51</v>
      </c>
    </row>
    <row r="21" spans="1:10" x14ac:dyDescent="0.2">
      <c r="A21" s="334"/>
      <c r="B21" s="91" t="s">
        <v>94</v>
      </c>
      <c r="C21" s="231">
        <v>750</v>
      </c>
      <c r="D21" s="84"/>
      <c r="E21" s="139">
        <f>NPDI_BI_AR_Typical!D50</f>
        <v>146.81819984999998</v>
      </c>
      <c r="F21" s="248">
        <f>NPDI_BI_AR_Typical!H24</f>
        <v>3.1749999999999972</v>
      </c>
      <c r="G21" s="249">
        <f>NPDI_BI_AR_Typical!I24</f>
        <v>8.603170302127075E-2</v>
      </c>
      <c r="H21" s="250">
        <f>NPDI_BI_AR_Typical!H50</f>
        <v>6.6448465125000098</v>
      </c>
      <c r="I21" s="251">
        <f>NPDI_BI_AR_Typical!I50</f>
        <v>4.5259010935216899E-2</v>
      </c>
      <c r="J21" s="338"/>
    </row>
    <row r="22" spans="1:10" x14ac:dyDescent="0.2">
      <c r="A22" s="334"/>
      <c r="B22" s="198" t="s">
        <v>136</v>
      </c>
      <c r="C22" s="234">
        <f>NPDI_BI_AR_Avg!B4</f>
        <v>569.97605296090956</v>
      </c>
      <c r="D22" s="200"/>
      <c r="E22" s="201">
        <f>NPDI_BI_AR_Avg!D50</f>
        <v>120.970433579711</v>
      </c>
      <c r="F22" s="248">
        <f>NPDI_BI_AR_Avg!H24</f>
        <v>3.3370215523351732</v>
      </c>
      <c r="G22" s="249">
        <f>NPDI_BI_AR_Avg!I24</f>
        <v>9.0820659982376997E-2</v>
      </c>
      <c r="H22" s="250">
        <f>NPDI_BI_AR_Avg!H50</f>
        <v>6.0202002581751088</v>
      </c>
      <c r="I22" s="251">
        <f>NPDI_BI_AR_Avg!I50</f>
        <v>4.9765881463987818E-2</v>
      </c>
      <c r="J22" s="338"/>
    </row>
    <row r="23" spans="1:10" ht="13.5" thickBot="1" x14ac:dyDescent="0.25">
      <c r="A23" s="335"/>
      <c r="B23" s="92" t="s">
        <v>61</v>
      </c>
      <c r="C23" s="232">
        <f>NPDI_BI_AR_High!B4</f>
        <v>1800</v>
      </c>
      <c r="D23" s="85"/>
      <c r="E23" s="140">
        <f>NPDI_BI_AR_High!D50</f>
        <v>297.57677963999998</v>
      </c>
      <c r="F23" s="252">
        <f>NPDI_BI_AR_High!H24</f>
        <v>2.2299999999999969</v>
      </c>
      <c r="G23" s="237">
        <f>NPDI_BI_AR_High!I24</f>
        <v>5.8916776750330163E-2</v>
      </c>
      <c r="H23" s="253">
        <f>NPDI_BI_AR_High!H50</f>
        <v>10.288131630000009</v>
      </c>
      <c r="I23" s="239">
        <f>NPDI_BI_AR_High!I50</f>
        <v>3.4573032353015926E-2</v>
      </c>
      <c r="J23" s="339"/>
    </row>
    <row r="24" spans="1:10" x14ac:dyDescent="0.2">
      <c r="A24" s="334" t="s">
        <v>181</v>
      </c>
      <c r="B24" s="90" t="s">
        <v>60</v>
      </c>
      <c r="C24" s="230">
        <f>NPDI_BI_AGSE_Low!B4</f>
        <v>1000</v>
      </c>
      <c r="D24" s="83"/>
      <c r="E24" s="138">
        <f>NPDI_BI_AGSE_Low!D50</f>
        <v>219.77906264999993</v>
      </c>
      <c r="F24" s="236">
        <f>NPDI_BI_AGSE_Low!H24</f>
        <v>-5.8199999999999861</v>
      </c>
      <c r="G24" s="240">
        <f>NPDI_BI_AGSE_Low!I24</f>
        <v>-8.9072543617997962E-2</v>
      </c>
      <c r="H24" s="238">
        <f>NPDI_BI_AGSE_Low!H50</f>
        <v>-5.5997864999999649</v>
      </c>
      <c r="I24" s="241">
        <f>NPDI_BI_AGSE_Low!I50</f>
        <v>-2.5479162721326526E-2</v>
      </c>
      <c r="J24" s="337" t="s">
        <v>51</v>
      </c>
    </row>
    <row r="25" spans="1:10" x14ac:dyDescent="0.2">
      <c r="A25" s="334"/>
      <c r="B25" s="91" t="s">
        <v>94</v>
      </c>
      <c r="C25" s="231">
        <f>NPDI_BI_AGSE_Typical!B4</f>
        <v>2000</v>
      </c>
      <c r="D25" s="84"/>
      <c r="E25" s="139">
        <f>NPDI_BI_AGSE_Typical!D50</f>
        <v>384.35475959999997</v>
      </c>
      <c r="F25" s="248">
        <f>NPDI_BI_AGSE_Typical!H24</f>
        <v>-3.2199999999999989</v>
      </c>
      <c r="G25" s="249">
        <f>NPDI_BI_AGSE_Typical!I24</f>
        <v>-3.9538310412573663E-2</v>
      </c>
      <c r="H25" s="250">
        <f>NPDI_BI_AGSE_Typical!H50</f>
        <v>5.0792700000044988E-2</v>
      </c>
      <c r="I25" s="251">
        <f>NPDI_BI_AGSE_Typical!I50</f>
        <v>1.3215056853440612E-4</v>
      </c>
      <c r="J25" s="338"/>
    </row>
    <row r="26" spans="1:10" x14ac:dyDescent="0.2">
      <c r="A26" s="334"/>
      <c r="B26" s="198" t="s">
        <v>136</v>
      </c>
      <c r="C26" s="231">
        <f>NPDI_BI_AGSE_Avg!B4</f>
        <v>2182.4738954619888</v>
      </c>
      <c r="D26" s="84"/>
      <c r="E26" s="201">
        <f>NPDI_BI_AGSE_Avg!D50</f>
        <v>414.605351293274</v>
      </c>
      <c r="F26" s="248">
        <f>NPDI_BI_AGSE_Avg!H24</f>
        <v>-2.7455678717988263</v>
      </c>
      <c r="G26" s="249">
        <f>NPDI_BI_AGSE_Avg!I24</f>
        <v>-3.2538972393688866E-2</v>
      </c>
      <c r="H26" s="250">
        <f>NPDI_BI_AGSE_Avg!H50</f>
        <v>0.86205272580468773</v>
      </c>
      <c r="I26" s="251">
        <f>NPDI_BI_AGSE_Avg!I50</f>
        <v>2.0792127335445528E-3</v>
      </c>
      <c r="J26" s="338"/>
    </row>
    <row r="27" spans="1:10" ht="13.5" thickBot="1" x14ac:dyDescent="0.25">
      <c r="A27" s="335"/>
      <c r="B27" s="92" t="s">
        <v>61</v>
      </c>
      <c r="C27" s="232">
        <f>NPDI_BI_AGSE_High!B4</f>
        <v>15000</v>
      </c>
      <c r="D27" s="85"/>
      <c r="E27" s="140">
        <f>NPDI_BI_AGSE_High!D50</f>
        <v>2539.4996970000002</v>
      </c>
      <c r="F27" s="252">
        <f>NPDI_BI_AGSE_High!H24</f>
        <v>30.579999999999984</v>
      </c>
      <c r="G27" s="237">
        <f>NPDI_BI_AGSE_High!I24</f>
        <v>0.10517988580862621</v>
      </c>
      <c r="H27" s="253">
        <f>NPDI_BI_AGSE_High!H50</f>
        <v>57.84744524999951</v>
      </c>
      <c r="I27" s="239">
        <f>NPDI_BI_AGSE_High!I50</f>
        <v>2.2779071530639173E-2</v>
      </c>
      <c r="J27" s="339"/>
    </row>
    <row r="28" spans="1:10" x14ac:dyDescent="0.2">
      <c r="A28" s="334" t="s">
        <v>182</v>
      </c>
      <c r="B28" s="90" t="s">
        <v>60</v>
      </c>
      <c r="C28" s="230">
        <f>NPDI_BI_AGSD_Low!B4</f>
        <v>15000</v>
      </c>
      <c r="D28" s="83">
        <f>NPDI_BI_AGSD_Low!C5</f>
        <v>60</v>
      </c>
      <c r="E28" s="138">
        <f>NPDI_BI_AGSD_Low!D36</f>
        <v>2900.1775440000006</v>
      </c>
      <c r="F28" s="236">
        <f>NPDI_BI_AGSD_Low!H21</f>
        <v>22.555999999999926</v>
      </c>
      <c r="G28" s="240">
        <f>NPDI_BI_AGSD_Low!I21</f>
        <v>4.5627222597571626E-2</v>
      </c>
      <c r="H28" s="238">
        <f>NPDI_BI_AGSD_Low!H36</f>
        <v>-3.5467310000008183</v>
      </c>
      <c r="I28" s="241">
        <f>NPDI_BI_AGSD_Low!I36</f>
        <v>-1.2229358189944034E-3</v>
      </c>
      <c r="J28" s="344" t="s">
        <v>70</v>
      </c>
    </row>
    <row r="29" spans="1:10" x14ac:dyDescent="0.2">
      <c r="A29" s="334"/>
      <c r="B29" s="91" t="s">
        <v>136</v>
      </c>
      <c r="C29" s="231">
        <f>NPDI_BI_AGSd_Avg!B4</f>
        <v>57222.704427374818</v>
      </c>
      <c r="D29" s="84">
        <f>NPDI_BI_AGSd_Avg!C5</f>
        <v>160.95335296165933</v>
      </c>
      <c r="E29" s="139">
        <f>NPDI_BI_AGSd_Avg!D36</f>
        <v>9679.9326912211345</v>
      </c>
      <c r="F29" s="248">
        <f>NPDI_BI_AGSd_Avg!H21</f>
        <v>116.75557364852432</v>
      </c>
      <c r="G29" s="254">
        <f>NPDI_BI_AGSd_Avg!I21</f>
        <v>0.12703877000694677</v>
      </c>
      <c r="H29" s="250">
        <f>NPDI_BI_AGSd_Avg!H36</f>
        <v>53.835026835660756</v>
      </c>
      <c r="I29" s="251">
        <f>NPDI_BI_AGSd_Avg!I36</f>
        <v>5.5615083857436833E-3</v>
      </c>
      <c r="J29" s="345"/>
    </row>
    <row r="30" spans="1:10" ht="13.5" thickBot="1" x14ac:dyDescent="0.25">
      <c r="A30" s="335"/>
      <c r="B30" s="92" t="s">
        <v>61</v>
      </c>
      <c r="C30" s="232">
        <f>NPDI_BI_AGSd_High!B4</f>
        <v>175000</v>
      </c>
      <c r="D30" s="85">
        <f>NPDI_BI_AGSd_High!C5</f>
        <v>500</v>
      </c>
      <c r="E30" s="140">
        <f>NPDI_BI_AGSd_High!D36</f>
        <v>29110.287079999998</v>
      </c>
      <c r="F30" s="252">
        <f>NPDI_BI_AGSd_High!H21</f>
        <v>433.12000000000035</v>
      </c>
      <c r="G30" s="237">
        <f>NPDI_BI_AGSd_High!I21</f>
        <v>0.18466864785813888</v>
      </c>
      <c r="H30" s="253">
        <f>NPDI_BI_AGSd_High!H36</f>
        <v>246.8468049999974</v>
      </c>
      <c r="I30" s="239">
        <f>NPDI_BI_AGSd_High!I36</f>
        <v>8.4797104309421809E-3</v>
      </c>
      <c r="J30" s="346"/>
    </row>
    <row r="31" spans="1:10" ht="13.5" thickBot="1" x14ac:dyDescent="0.25">
      <c r="A31" s="275" t="s">
        <v>8</v>
      </c>
      <c r="B31" s="312" t="s">
        <v>136</v>
      </c>
      <c r="C31" s="313">
        <f>'NPDI_BI_St Lgt_Avg'!B4</f>
        <v>1367.6845611291665</v>
      </c>
      <c r="D31" s="314">
        <f>'NPDI_BI_St Lgt_Avg'!C5</f>
        <v>4.1274030573589995</v>
      </c>
      <c r="E31" s="315">
        <f>'NPDI_BI_St Lgt_Avg'!D39</f>
        <v>278.00106319844122</v>
      </c>
      <c r="F31" s="316">
        <f>'NPDI_BI_St Lgt_Avg'!H22</f>
        <v>79.470271439896933</v>
      </c>
      <c r="G31" s="317">
        <f>'NPDI_BI_St Lgt_Avg'!I22</f>
        <v>1.1050504621004456</v>
      </c>
      <c r="H31" s="318">
        <f>'NPDI_BI_St Lgt_Avg'!H39</f>
        <v>89.206982078927467</v>
      </c>
      <c r="I31" s="319">
        <f>'NPDI_BI_St Lgt_Avg'!I39</f>
        <v>0.32088719752575268</v>
      </c>
      <c r="J31" s="276" t="s">
        <v>99</v>
      </c>
    </row>
    <row r="32" spans="1:10" ht="13.5" thickBot="1" x14ac:dyDescent="0.25">
      <c r="A32" s="287" t="s">
        <v>9</v>
      </c>
      <c r="B32" s="296" t="s">
        <v>136</v>
      </c>
      <c r="C32" s="297">
        <f>NPDI_BI_SenLgt_Avg!B4</f>
        <v>126.02277222660564</v>
      </c>
      <c r="D32" s="298">
        <f>NPDI_BI_SenLgt_Avg!C5</f>
        <v>0.45421640025856702</v>
      </c>
      <c r="E32" s="299">
        <f>NPDI_BI_SenLgt_Avg!D39</f>
        <v>33.932136241894021</v>
      </c>
      <c r="F32" s="300">
        <f>NPDI_BI_SenLgt_Avg!H22</f>
        <v>5.2283287411295305</v>
      </c>
      <c r="G32" s="301">
        <f>NPDI_BI_SenLgt_Avg!I22</f>
        <v>0.34292846857941484</v>
      </c>
      <c r="H32" s="302">
        <f>NPDI_BI_SenLgt_Avg!H39</f>
        <v>5.6986043442343046</v>
      </c>
      <c r="I32" s="303">
        <f>NPDI_BI_SenLgt_Avg!I39</f>
        <v>0.16794121960404521</v>
      </c>
      <c r="J32" s="304" t="s">
        <v>99</v>
      </c>
    </row>
    <row r="33" spans="1:10" ht="13.5" thickBot="1" x14ac:dyDescent="0.25">
      <c r="A33" s="274" t="s">
        <v>12</v>
      </c>
      <c r="B33" s="320" t="s">
        <v>136</v>
      </c>
      <c r="C33" s="321">
        <f>NPDI_BI_USL_Avg!B4</f>
        <v>945.37196740482466</v>
      </c>
      <c r="D33" s="322"/>
      <c r="E33" s="323">
        <f>NPDI_BI_USL_Avg!D39</f>
        <v>162.27172301226284</v>
      </c>
      <c r="F33" s="324">
        <f>NPDI_BI_USL_Avg!H22</f>
        <v>42.261885708982284</v>
      </c>
      <c r="G33" s="325">
        <f>NPDI_BI_USL_Avg!I22</f>
        <v>1.7495039365567662</v>
      </c>
      <c r="H33" s="326">
        <f>NPDI_BI_USL_Avg!H39</f>
        <v>48.247787014614175</v>
      </c>
      <c r="I33" s="327">
        <f>NPDI_BI_USL_Avg!I39</f>
        <v>0.29732713820366657</v>
      </c>
      <c r="J33" s="277" t="s">
        <v>99</v>
      </c>
    </row>
    <row r="34" spans="1:10" ht="13.5" thickBot="1" x14ac:dyDescent="0.25">
      <c r="A34" s="305" t="s">
        <v>132</v>
      </c>
      <c r="B34" s="175"/>
      <c r="C34" s="233"/>
      <c r="D34" s="176"/>
      <c r="E34" s="306"/>
      <c r="F34" s="307"/>
      <c r="G34" s="308"/>
      <c r="H34" s="309"/>
      <c r="I34" s="310"/>
      <c r="J34" s="311"/>
    </row>
    <row r="35" spans="1:10" x14ac:dyDescent="0.2">
      <c r="A35" s="334" t="s">
        <v>180</v>
      </c>
      <c r="B35" s="90" t="s">
        <v>60</v>
      </c>
      <c r="C35" s="230">
        <f>HCHI_BI_AR_Low!B4</f>
        <v>400</v>
      </c>
      <c r="D35" s="83"/>
      <c r="E35" s="138">
        <f>HCHI_BI_AR_Low!D50</f>
        <v>96.526510064004924</v>
      </c>
      <c r="F35" s="236">
        <f>HCHI_BI_AR_Low!H24</f>
        <v>4.6600000000000037</v>
      </c>
      <c r="G35" s="240">
        <f>HCHI_BI_AR_Low!I24</f>
        <v>0.13156408808582734</v>
      </c>
      <c r="H35" s="238">
        <f>HCHI_BI_AR_Low!H50</f>
        <v>5.4692479959950902</v>
      </c>
      <c r="I35" s="241">
        <f>HCHI_BI_AR_Low!I50</f>
        <v>5.6660579486076251E-2</v>
      </c>
      <c r="J35" s="337" t="s">
        <v>51</v>
      </c>
    </row>
    <row r="36" spans="1:10" x14ac:dyDescent="0.2">
      <c r="A36" s="334"/>
      <c r="B36" s="91" t="s">
        <v>94</v>
      </c>
      <c r="C36" s="231">
        <f>HCHI_BI_AR_Typical!B4</f>
        <v>750</v>
      </c>
      <c r="D36" s="84"/>
      <c r="E36" s="139">
        <f>HCHI_BI_AR_Typical!D50</f>
        <v>147.6365813700092</v>
      </c>
      <c r="F36" s="248">
        <f>HCHI_BI_AR_Typical!H24</f>
        <v>4.5200000000000031</v>
      </c>
      <c r="G36" s="249">
        <f>HCHI_BI_AR_Typical!I24</f>
        <v>0.12710911136107997</v>
      </c>
      <c r="H36" s="250">
        <f>HCHI_BI_AR_Typical!H50</f>
        <v>5.8264649924907985</v>
      </c>
      <c r="I36" s="251">
        <f>HCHI_BI_AR_Typical!I50</f>
        <v>3.9464914037046259E-2</v>
      </c>
      <c r="J36" s="338"/>
    </row>
    <row r="37" spans="1:10" x14ac:dyDescent="0.2">
      <c r="A37" s="334"/>
      <c r="B37" s="198" t="s">
        <v>136</v>
      </c>
      <c r="C37" s="231">
        <f>HCHI_BI_AR_Avg!B4</f>
        <v>694.05105803452705</v>
      </c>
      <c r="D37" s="84"/>
      <c r="E37" s="201">
        <f>HCHI_BI_AR_Avg!D50</f>
        <v>139.46642590329259</v>
      </c>
      <c r="F37" s="248">
        <f>HCHI_BI_AR_Avg!H24</f>
        <v>4.542379576786189</v>
      </c>
      <c r="G37" s="249">
        <f>HCHI_BI_AR_Avg!I24</f>
        <v>0.12781890072243063</v>
      </c>
      <c r="H37" s="250">
        <f>HCHI_BI_AR_Avg!H50</f>
        <v>5.7693623839021484</v>
      </c>
      <c r="I37" s="251">
        <f>HCHI_BI_AR_Avg!I50</f>
        <v>4.1367392521427931E-2</v>
      </c>
      <c r="J37" s="338"/>
    </row>
    <row r="38" spans="1:10" ht="13.5" thickBot="1" x14ac:dyDescent="0.25">
      <c r="A38" s="335"/>
      <c r="B38" s="92" t="s">
        <v>61</v>
      </c>
      <c r="C38" s="232">
        <f>HCHI_BI_AR_High!B4</f>
        <v>1800</v>
      </c>
      <c r="D38" s="85"/>
      <c r="E38" s="140">
        <f>HCHI_BI_AR_High!D50</f>
        <v>300.96679528802207</v>
      </c>
      <c r="F38" s="252">
        <f>HCHI_BI_AR_High!H24</f>
        <v>4.1000000000000014</v>
      </c>
      <c r="G38" s="237">
        <f>HCHI_BI_AR_High!I24</f>
        <v>0.11395219566425797</v>
      </c>
      <c r="H38" s="253">
        <f>HCHI_BI_AR_High!H50</f>
        <v>6.8981159819779236</v>
      </c>
      <c r="I38" s="239">
        <f>HCHI_BI_AR_High!I50</f>
        <v>2.2919857239987219E-2</v>
      </c>
      <c r="J38" s="339"/>
    </row>
    <row r="39" spans="1:10" ht="12" customHeight="1" x14ac:dyDescent="0.2">
      <c r="A39" s="334" t="s">
        <v>181</v>
      </c>
      <c r="B39" s="90" t="s">
        <v>60</v>
      </c>
      <c r="C39" s="230">
        <f>HCHI_BI_AGSE_Low!B4</f>
        <v>1000</v>
      </c>
      <c r="D39" s="83"/>
      <c r="E39" s="138">
        <f>HCHI_BI_AGSE_Low!D50</f>
        <v>200.99448759214189</v>
      </c>
      <c r="F39" s="236">
        <f>HCHI_BI_AGSE_Low!H24</f>
        <v>13.650000000000006</v>
      </c>
      <c r="G39" s="240">
        <f>HCHI_BI_AGSE_Low!I24</f>
        <v>0.29758011772400278</v>
      </c>
      <c r="H39" s="238">
        <f>HCHI_BI_AGSE_Low!H50</f>
        <v>13.18478855785807</v>
      </c>
      <c r="I39" s="241">
        <f>HCHI_BI_AGSE_Low!I50</f>
        <v>6.5597761987446393E-2</v>
      </c>
      <c r="J39" s="337" t="s">
        <v>51</v>
      </c>
    </row>
    <row r="40" spans="1:10" x14ac:dyDescent="0.2">
      <c r="A40" s="334"/>
      <c r="B40" s="91" t="s">
        <v>94</v>
      </c>
      <c r="C40" s="231">
        <f>NPDI_BI_AGSE_Typical!B4</f>
        <v>2000</v>
      </c>
      <c r="D40" s="84"/>
      <c r="E40" s="139">
        <f>HCHI_BI_AGSE_Typical!D50</f>
        <v>372.89347518428383</v>
      </c>
      <c r="F40" s="248">
        <f>HCHI_BI_AGSE_Typical!H24</f>
        <v>13.150000000000006</v>
      </c>
      <c r="G40" s="249">
        <f>HCHI_BI_AGSE_Typical!I24</f>
        <v>0.2020900568618412</v>
      </c>
      <c r="H40" s="250">
        <f>HCHI_BI_AGSE_Typical!H50</f>
        <v>11.512077115716181</v>
      </c>
      <c r="I40" s="251">
        <f>HCHI_BI_AGSE_Typical!I50</f>
        <v>3.0872294319515558E-2</v>
      </c>
      <c r="J40" s="338"/>
    </row>
    <row r="41" spans="1:10" x14ac:dyDescent="0.2">
      <c r="A41" s="334"/>
      <c r="B41" s="198" t="s">
        <v>136</v>
      </c>
      <c r="C41" s="231">
        <f>HCHI_BI_AGSE_Avg!B4</f>
        <v>1819.4414974238871</v>
      </c>
      <c r="D41" s="84"/>
      <c r="E41" s="201">
        <f>HCHI_BI_AGSE_Avg!D50</f>
        <v>341.855651390297</v>
      </c>
      <c r="F41" s="248">
        <f>HCHI_BI_AGSE_Avg!H24</f>
        <v>13.240279251288065</v>
      </c>
      <c r="G41" s="249">
        <f>HCHI_BI_AGSE_Avg!I24</f>
        <v>0.21492816534588474</v>
      </c>
      <c r="H41" s="250">
        <f>HCHI_BI_AGSE_Avg!H50</f>
        <v>11.814099388951206</v>
      </c>
      <c r="I41" s="251">
        <f>HCHI_BI_AGSE_Avg!I50</f>
        <v>3.4558736533692798E-2</v>
      </c>
      <c r="J41" s="338"/>
    </row>
    <row r="42" spans="1:10" ht="13.5" thickBot="1" x14ac:dyDescent="0.25">
      <c r="A42" s="335"/>
      <c r="B42" s="92" t="s">
        <v>61</v>
      </c>
      <c r="C42" s="232">
        <f>HCHI_BI_AGSE_High!B4</f>
        <v>15000</v>
      </c>
      <c r="D42" s="85"/>
      <c r="E42" s="140">
        <f>HCHI_BI_AGSE_High!D50</f>
        <v>2607.5803138821288</v>
      </c>
      <c r="F42" s="252">
        <f>HCHI_BI_AGSE_High!H24</f>
        <v>6.6499999999999773</v>
      </c>
      <c r="G42" s="237">
        <f>HCHI_BI_AGSE_High!I24</f>
        <v>2.1133250707089893E-2</v>
      </c>
      <c r="H42" s="253">
        <f>HCHI_BI_AGSE_High!H50</f>
        <v>-10.233171632129142</v>
      </c>
      <c r="I42" s="239">
        <f>HCHI_BI_AGSE_High!I50</f>
        <v>-3.9243936524793518E-3</v>
      </c>
      <c r="J42" s="339"/>
    </row>
    <row r="43" spans="1:10" x14ac:dyDescent="0.2">
      <c r="A43" s="334" t="s">
        <v>182</v>
      </c>
      <c r="B43" s="90" t="s">
        <v>60</v>
      </c>
      <c r="C43" s="230">
        <f>HCHI_BI_AGSd_Low!B4</f>
        <v>15000</v>
      </c>
      <c r="D43" s="83">
        <f>HCHI_BI_AGSd_Low!B5</f>
        <v>60</v>
      </c>
      <c r="E43" s="138">
        <f>HCHI_BI_AGSd_Low!D36</f>
        <v>2783.3467417051279</v>
      </c>
      <c r="F43" s="236">
        <f>HCHI_BI_AGSd_Low!H21</f>
        <v>191.16399999999999</v>
      </c>
      <c r="G43" s="240">
        <f>HCHI_BI_AGSd_Low!I21</f>
        <v>0.58684987689795121</v>
      </c>
      <c r="H43" s="238">
        <f>HCHI_BI_AGSd_Low!H36</f>
        <v>113.28407129487186</v>
      </c>
      <c r="I43" s="241">
        <f>HCHI_BI_AGSd_Low!I36</f>
        <v>4.070066786773107E-2</v>
      </c>
      <c r="J43" s="344" t="s">
        <v>70</v>
      </c>
    </row>
    <row r="44" spans="1:10" x14ac:dyDescent="0.2">
      <c r="A44" s="334"/>
      <c r="B44" s="91" t="s">
        <v>136</v>
      </c>
      <c r="C44" s="231">
        <f>HCHI_BI_AGSd_Avg!B4</f>
        <v>50916.548053308041</v>
      </c>
      <c r="D44" s="84">
        <f>HCHI_BI_AGSd_Avg!B5</f>
        <v>143.21569056237885</v>
      </c>
      <c r="E44" s="139">
        <f>HCHI_BI_AGSd_Avg!D36</f>
        <v>8630.98017022557</v>
      </c>
      <c r="F44" s="248">
        <f>HCHI_BI_AGSd_Avg!H21</f>
        <v>281.90238898921791</v>
      </c>
      <c r="G44" s="254">
        <f>HCHI_BI_AGSd_Avg!I21</f>
        <v>0.42536134777948886</v>
      </c>
      <c r="H44" s="250">
        <f>HCHI_BI_AGSd_Avg!H36</f>
        <v>56.086815717604622</v>
      </c>
      <c r="I44" s="251">
        <f>HCHI_BI_AGSd_Avg!I36</f>
        <v>6.4983135879616788E-3</v>
      </c>
      <c r="J44" s="345"/>
    </row>
    <row r="45" spans="1:10" ht="13.5" thickBot="1" x14ac:dyDescent="0.25">
      <c r="A45" s="335"/>
      <c r="B45" s="92" t="s">
        <v>61</v>
      </c>
      <c r="C45" s="232">
        <f>HCHI_BI_AGSd_High!B4</f>
        <v>175000</v>
      </c>
      <c r="D45" s="85">
        <f>HCHI_BI_AGSd_High!B5</f>
        <v>500</v>
      </c>
      <c r="E45" s="140">
        <f>HCHI_BI_AGSd_High!D36</f>
        <v>29512.139464209398</v>
      </c>
      <c r="F45" s="252">
        <f>HCHI_BI_AGSd_High!H21</f>
        <v>670.94</v>
      </c>
      <c r="G45" s="237">
        <f>HCHI_BI_AGSd_High!I21</f>
        <v>0.31834767054000579</v>
      </c>
      <c r="H45" s="253">
        <f>HCHI_BI_AGSd_High!H36</f>
        <v>-155.00557920940264</v>
      </c>
      <c r="I45" s="239">
        <f>HCHI_BI_AGSd_High!I36</f>
        <v>-5.2522650686638419E-3</v>
      </c>
      <c r="J45" s="346"/>
    </row>
    <row r="46" spans="1:10" ht="13.5" thickBot="1" x14ac:dyDescent="0.25">
      <c r="A46" s="275" t="s">
        <v>8</v>
      </c>
      <c r="B46" s="312" t="s">
        <v>136</v>
      </c>
      <c r="C46" s="313">
        <f>'HCHI_BI_St Lgt_Avg'!B4</f>
        <v>105611.58783602084</v>
      </c>
      <c r="D46" s="329">
        <f>'HCHI_BI_St Lgt_Avg'!C5</f>
        <v>274.09386280146123</v>
      </c>
      <c r="E46" s="315">
        <f>'HCHI_BI_St Lgt_Avg'!D39</f>
        <v>31947.764389483564</v>
      </c>
      <c r="F46" s="316">
        <f>'HCHI_BI_St Lgt_Avg'!H22</f>
        <v>-3080.2661852126748</v>
      </c>
      <c r="G46" s="317">
        <f>'HCHI_BI_St Lgt_Avg'!I22</f>
        <v>-0.21380940173558324</v>
      </c>
      <c r="H46" s="318">
        <f>'HCHI_BI_St Lgt_Avg'!H39</f>
        <v>-2913.575095221473</v>
      </c>
      <c r="I46" s="319">
        <f>'HCHI_BI_St Lgt_Avg'!I39</f>
        <v>-9.1198090097989834E-2</v>
      </c>
      <c r="J46" s="276" t="s">
        <v>99</v>
      </c>
    </row>
    <row r="47" spans="1:10" ht="13.5" thickBot="1" x14ac:dyDescent="0.25">
      <c r="A47" s="287" t="s">
        <v>9</v>
      </c>
      <c r="B47" s="296" t="s">
        <v>136</v>
      </c>
      <c r="C47" s="297">
        <f>HCHI_BI_SenLgt_Avg!B4</f>
        <v>131.07998865929491</v>
      </c>
      <c r="D47" s="298">
        <f>HCHI_BI_SenLgt_Avg!C5</f>
        <v>0.34019202971725299</v>
      </c>
      <c r="E47" s="299">
        <f>HCHI_BI_SenLgt_Avg!D39</f>
        <v>46.353118282752526</v>
      </c>
      <c r="F47" s="300">
        <f>HCHI_BI_SenLgt_Avg!H22</f>
        <v>-5.3447505926699961</v>
      </c>
      <c r="G47" s="301">
        <f>HCHI_BI_SenLgt_Avg!I22</f>
        <v>-0.20171640089417595</v>
      </c>
      <c r="H47" s="302">
        <f>HCHI_BI_SenLgt_Avg!H39</f>
        <v>-5.2942434640345297</v>
      </c>
      <c r="I47" s="303">
        <f>HCHI_BI_SenLgt_Avg!I39</f>
        <v>-0.11421547589829481</v>
      </c>
      <c r="J47" s="304" t="s">
        <v>99</v>
      </c>
    </row>
    <row r="48" spans="1:10" ht="13.5" thickBot="1" x14ac:dyDescent="0.25">
      <c r="A48" s="274" t="s">
        <v>12</v>
      </c>
      <c r="B48" s="320" t="s">
        <v>136</v>
      </c>
      <c r="C48" s="321">
        <f>HCHI_BI_USL_Avg!B4</f>
        <v>550.73927083333308</v>
      </c>
      <c r="D48" s="322"/>
      <c r="E48" s="323">
        <f>HCHI_BI_USL_Avg!D39</f>
        <v>100.59675401605473</v>
      </c>
      <c r="F48" s="324">
        <f>HCHI_BI_USL_Avg!H22</f>
        <v>33.451999980208335</v>
      </c>
      <c r="G48" s="325">
        <f>HCHI_BI_USL_Avg!I22</f>
        <v>1.6012926972169643</v>
      </c>
      <c r="H48" s="326">
        <f>HCHI_BI_USL_Avg!H39</f>
        <v>35.477238147451502</v>
      </c>
      <c r="I48" s="327">
        <f>HCHI_BI_USL_Avg!I39</f>
        <v>0.35266782208290254</v>
      </c>
      <c r="J48" s="277" t="s">
        <v>99</v>
      </c>
    </row>
    <row r="49" spans="1:1" s="247" customFormat="1" x14ac:dyDescent="0.2">
      <c r="A49" s="347"/>
    </row>
    <row r="50" spans="1:1" s="247" customFormat="1" x14ac:dyDescent="0.2">
      <c r="A50" s="347"/>
    </row>
    <row r="51" spans="1:1" s="247" customFormat="1" x14ac:dyDescent="0.2">
      <c r="A51" s="347"/>
    </row>
    <row r="52" spans="1:1" s="247" customFormat="1" x14ac:dyDescent="0.2"/>
    <row r="53" spans="1:1" s="247" customFormat="1" x14ac:dyDescent="0.2"/>
  </sheetData>
  <mergeCells count="22">
    <mergeCell ref="A49:A51"/>
    <mergeCell ref="A43:A45"/>
    <mergeCell ref="J43:J45"/>
    <mergeCell ref="A28:A30"/>
    <mergeCell ref="J28:J30"/>
    <mergeCell ref="A35:A38"/>
    <mergeCell ref="J35:J38"/>
    <mergeCell ref="A39:A42"/>
    <mergeCell ref="J39:J42"/>
    <mergeCell ref="A20:A23"/>
    <mergeCell ref="J20:J23"/>
    <mergeCell ref="A24:A27"/>
    <mergeCell ref="J24:J27"/>
    <mergeCell ref="A16:A18"/>
    <mergeCell ref="J15"/>
    <mergeCell ref="J16:J18"/>
    <mergeCell ref="A3:A6"/>
    <mergeCell ref="J3:J6"/>
    <mergeCell ref="A7:A10"/>
    <mergeCell ref="J7:J10"/>
    <mergeCell ref="A11:A13"/>
    <mergeCell ref="J11:J13"/>
  </mergeCells>
  <pageMargins left="0.7" right="0.7" top="0.75" bottom="0.75" header="0.3" footer="0.3"/>
  <pageSetup paperSize="17" orientation="landscape" r:id="rId1"/>
  <headerFooter>
    <oddHeader>&amp;RFiled: 2017-03-31
EB-2017-0049
Exhibit H1-4-1
Attachment 4
Page &amp;P of &amp;N</oddHeader>
  </headerFooter>
  <legacy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tabColor theme="1" tint="0.499984740745262"/>
    <pageSetUpPr fitToPage="1"/>
  </sheetPr>
  <dimension ref="A1:J40"/>
  <sheetViews>
    <sheetView view="pageBreakPreview" topLeftCell="A7" zoomScaleNormal="100" zoomScaleSheetLayoutView="100" workbookViewId="0">
      <selection activeCell="C19" sqref="C19"/>
    </sheetView>
  </sheetViews>
  <sheetFormatPr defaultRowHeight="12.75" x14ac:dyDescent="0.2"/>
  <cols>
    <col min="1" max="1" width="64.710937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48" t="s">
        <v>111</v>
      </c>
      <c r="B1" s="349"/>
      <c r="C1" s="349"/>
      <c r="D1" s="349"/>
      <c r="E1" s="349"/>
      <c r="F1" s="349"/>
      <c r="G1" s="349"/>
      <c r="H1" s="349"/>
      <c r="I1" s="349"/>
      <c r="J1" s="350"/>
    </row>
    <row r="3" spans="1:10" x14ac:dyDescent="0.2">
      <c r="A3" s="13" t="s">
        <v>13</v>
      </c>
      <c r="B3" s="13" t="s">
        <v>11</v>
      </c>
    </row>
    <row r="4" spans="1:10" x14ac:dyDescent="0.2">
      <c r="A4" s="15" t="s">
        <v>62</v>
      </c>
      <c r="B4" s="79">
        <v>4000000</v>
      </c>
    </row>
    <row r="5" spans="1:10" x14ac:dyDescent="0.2">
      <c r="A5" s="15" t="s">
        <v>16</v>
      </c>
      <c r="B5" s="79">
        <v>10000</v>
      </c>
    </row>
    <row r="6" spans="1:10" x14ac:dyDescent="0.2">
      <c r="A6" s="15" t="s">
        <v>20</v>
      </c>
      <c r="B6" s="80">
        <f>VLOOKUP($B$3,'Data for Bill Impacts'!$A$3:$Y$15,2,0)</f>
        <v>1.034</v>
      </c>
    </row>
    <row r="7" spans="1:10" x14ac:dyDescent="0.2">
      <c r="A7" s="81" t="s">
        <v>49</v>
      </c>
      <c r="B7" s="82">
        <f>B4/(B5*730)</f>
        <v>0.54794520547945202</v>
      </c>
    </row>
    <row r="8" spans="1:10" x14ac:dyDescent="0.2">
      <c r="A8" s="15" t="s">
        <v>15</v>
      </c>
      <c r="B8" s="79">
        <f>VLOOKUP($B$3,'Data for Bill Impacts'!$A$3:$Y$15,4,0)</f>
        <v>0</v>
      </c>
    </row>
    <row r="9" spans="1:10" x14ac:dyDescent="0.2">
      <c r="A9" s="15" t="s">
        <v>82</v>
      </c>
      <c r="B9" s="79">
        <f>B4*B6</f>
        <v>4136000</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3" t="s">
        <v>50</v>
      </c>
    </row>
    <row r="13" spans="1:10" x14ac:dyDescent="0.2">
      <c r="A13" s="101" t="s">
        <v>31</v>
      </c>
      <c r="B13" s="102">
        <f>B9</f>
        <v>4136000</v>
      </c>
      <c r="C13" s="103">
        <v>0.10299999999999999</v>
      </c>
      <c r="D13" s="104">
        <f>B13*C13</f>
        <v>426008</v>
      </c>
      <c r="E13" s="102">
        <f>B13</f>
        <v>4136000</v>
      </c>
      <c r="F13" s="103">
        <f>C13</f>
        <v>0.10299999999999999</v>
      </c>
      <c r="G13" s="104">
        <f>E13*F13</f>
        <v>426008</v>
      </c>
      <c r="H13" s="104">
        <f>G13-D13</f>
        <v>0</v>
      </c>
      <c r="I13" s="105">
        <f>IF(ISERROR(H13/D13),0,(H13/D13))</f>
        <v>0</v>
      </c>
      <c r="J13" s="124">
        <f t="shared" ref="J13:J29" si="0">G13/$G$38</f>
        <v>0.66099464028755506</v>
      </c>
    </row>
    <row r="14" spans="1:10" x14ac:dyDescent="0.2">
      <c r="A14" s="107" t="s">
        <v>32</v>
      </c>
      <c r="B14" s="73">
        <v>0</v>
      </c>
      <c r="C14" s="21">
        <v>0.121</v>
      </c>
      <c r="D14" s="22">
        <f>B14*C14</f>
        <v>0</v>
      </c>
      <c r="E14" s="73">
        <f t="shared" ref="E14" si="1">B14</f>
        <v>0</v>
      </c>
      <c r="F14" s="21">
        <f>C14</f>
        <v>0.121</v>
      </c>
      <c r="G14" s="22">
        <f>E14*F14</f>
        <v>0</v>
      </c>
      <c r="H14" s="22">
        <f t="shared" ref="H14:H38" si="2">G14-D14</f>
        <v>0</v>
      </c>
      <c r="I14" s="23">
        <f t="shared" ref="I14:I33" si="3">IF(ISERROR(H14/D14),0,(H14/D14))</f>
        <v>0</v>
      </c>
      <c r="J14" s="125">
        <f t="shared" si="0"/>
        <v>0</v>
      </c>
    </row>
    <row r="15" spans="1:10" s="1" customFormat="1" x14ac:dyDescent="0.2">
      <c r="A15" s="46" t="s">
        <v>33</v>
      </c>
      <c r="B15" s="24"/>
      <c r="C15" s="25"/>
      <c r="D15" s="25">
        <f>SUM(D13:D14)</f>
        <v>426008</v>
      </c>
      <c r="E15" s="76"/>
      <c r="F15" s="25"/>
      <c r="G15" s="25">
        <f>SUM(G13:G14)</f>
        <v>426008</v>
      </c>
      <c r="H15" s="25">
        <f t="shared" si="2"/>
        <v>0</v>
      </c>
      <c r="I15" s="27">
        <f t="shared" si="3"/>
        <v>0</v>
      </c>
      <c r="J15" s="47">
        <f t="shared" si="0"/>
        <v>0.66099464028755506</v>
      </c>
    </row>
    <row r="16" spans="1:10" s="1" customFormat="1" x14ac:dyDescent="0.2">
      <c r="A16" s="107" t="s">
        <v>213</v>
      </c>
      <c r="B16" s="73">
        <v>1</v>
      </c>
      <c r="C16" s="78">
        <f>VLOOKUP($B$3,'Data for Bill Impacts'!$A$3:$Y$15,7,0)</f>
        <v>1256.8800000000001</v>
      </c>
      <c r="D16" s="22">
        <f>B16*C16</f>
        <v>1256.8800000000001</v>
      </c>
      <c r="E16" s="73">
        <f t="shared" ref="E16:E33" si="4">B16</f>
        <v>1</v>
      </c>
      <c r="F16" s="78">
        <f>VLOOKUP($B$3,'Data for Bill Impacts'!$A$3:$Y$15,17,0)</f>
        <v>1269.2</v>
      </c>
      <c r="G16" s="22">
        <f>E16*F16</f>
        <v>1269.2</v>
      </c>
      <c r="H16" s="22">
        <f t="shared" si="2"/>
        <v>12.319999999999936</v>
      </c>
      <c r="I16" s="23">
        <f t="shared" si="3"/>
        <v>9.802049519444923E-3</v>
      </c>
      <c r="J16" s="125">
        <f t="shared" si="0"/>
        <v>1.9692925894653733E-3</v>
      </c>
    </row>
    <row r="17" spans="1:10" hidden="1" x14ac:dyDescent="0.2">
      <c r="A17" s="107" t="s">
        <v>83</v>
      </c>
      <c r="B17" s="73">
        <v>1</v>
      </c>
      <c r="C17" s="78">
        <v>0</v>
      </c>
      <c r="D17" s="22">
        <f>B17*C17</f>
        <v>0</v>
      </c>
      <c r="E17" s="73">
        <f t="shared" si="4"/>
        <v>1</v>
      </c>
      <c r="F17" s="78">
        <v>0</v>
      </c>
      <c r="G17" s="22">
        <f t="shared" ref="G17:G19" si="5">E17*F17</f>
        <v>0</v>
      </c>
      <c r="H17" s="22">
        <f t="shared" si="2"/>
        <v>0</v>
      </c>
      <c r="I17" s="23">
        <f t="shared" si="3"/>
        <v>0</v>
      </c>
      <c r="J17" s="125">
        <f t="shared" si="0"/>
        <v>0</v>
      </c>
    </row>
    <row r="18" spans="1:10" hidden="1" x14ac:dyDescent="0.2">
      <c r="A18" s="107" t="s">
        <v>84</v>
      </c>
      <c r="B18" s="73">
        <v>1</v>
      </c>
      <c r="C18" s="78">
        <v>0</v>
      </c>
      <c r="D18" s="22">
        <f t="shared" ref="D18:D19" si="6">B18*C18</f>
        <v>0</v>
      </c>
      <c r="E18" s="73">
        <f t="shared" si="4"/>
        <v>1</v>
      </c>
      <c r="F18" s="78">
        <v>0</v>
      </c>
      <c r="G18" s="22">
        <f t="shared" si="5"/>
        <v>0</v>
      </c>
      <c r="H18" s="22">
        <f t="shared" si="2"/>
        <v>0</v>
      </c>
      <c r="I18" s="23">
        <f t="shared" si="3"/>
        <v>0</v>
      </c>
      <c r="J18" s="125">
        <f t="shared" si="0"/>
        <v>0</v>
      </c>
    </row>
    <row r="19" spans="1:10" x14ac:dyDescent="0.2">
      <c r="A19" s="107" t="s">
        <v>85</v>
      </c>
      <c r="B19" s="73">
        <v>1</v>
      </c>
      <c r="C19" s="122">
        <f>VLOOKUP($B$3,'Data for Bill Impacts'!$A$3:$Y$15,13,0)</f>
        <v>3.83</v>
      </c>
      <c r="D19" s="22">
        <f t="shared" si="6"/>
        <v>3.83</v>
      </c>
      <c r="E19" s="73">
        <f t="shared" si="4"/>
        <v>1</v>
      </c>
      <c r="F19" s="122">
        <f>VLOOKUP($B$3,'Data for Bill Impacts'!$A$3:$Y$15,22,0)</f>
        <v>3.83</v>
      </c>
      <c r="G19" s="22">
        <f t="shared" si="5"/>
        <v>3.83</v>
      </c>
      <c r="H19" s="22">
        <f t="shared" si="2"/>
        <v>0</v>
      </c>
      <c r="I19" s="23">
        <f t="shared" si="3"/>
        <v>0</v>
      </c>
      <c r="J19" s="125">
        <f t="shared" si="0"/>
        <v>5.9426336413901519E-6</v>
      </c>
    </row>
    <row r="20" spans="1:10" x14ac:dyDescent="0.2">
      <c r="A20" s="107" t="s">
        <v>214</v>
      </c>
      <c r="B20" s="73">
        <f>IF($B$10="kWh",$B$4,$B$5)</f>
        <v>10000</v>
      </c>
      <c r="C20" s="126">
        <f>VLOOKUP($B$3,'Data for Bill Impacts'!$A$3:$Y$15,10,0)</f>
        <v>1.4140356552332787</v>
      </c>
      <c r="D20" s="22">
        <f>B20*C20</f>
        <v>14140.356552332787</v>
      </c>
      <c r="E20" s="73">
        <f t="shared" si="4"/>
        <v>10000</v>
      </c>
      <c r="F20" s="126">
        <f>VLOOKUP($B$3,'Data for Bill Impacts'!$A$3:$Y$15,19,0)</f>
        <v>1.4475424689830076</v>
      </c>
      <c r="G20" s="22">
        <f>E20*F20</f>
        <v>14475.424689830077</v>
      </c>
      <c r="H20" s="22">
        <f t="shared" si="2"/>
        <v>335.06813749729008</v>
      </c>
      <c r="I20" s="23">
        <f t="shared" si="3"/>
        <v>2.3695876144085817E-2</v>
      </c>
      <c r="J20" s="125">
        <f t="shared" si="0"/>
        <v>2.2460090270285591E-2</v>
      </c>
    </row>
    <row r="21" spans="1:10" s="1" customFormat="1" x14ac:dyDescent="0.2">
      <c r="A21" s="107" t="s">
        <v>194</v>
      </c>
      <c r="B21" s="73">
        <f>IF($B$10="kWh",$B$4,$B$5)</f>
        <v>10000</v>
      </c>
      <c r="C21" s="126">
        <f>VLOOKUP($B$3,'Data for Bill Impacts'!$A$3:$Y$15,14,0)</f>
        <v>0.27289999999999998</v>
      </c>
      <c r="D21" s="22">
        <f>B21*C21</f>
        <v>2728.9999999999995</v>
      </c>
      <c r="E21" s="73">
        <f>B21</f>
        <v>10000</v>
      </c>
      <c r="F21" s="126">
        <f>VLOOKUP($B$3,'Data for Bill Impacts'!$A$3:$Y$15,23,0)</f>
        <v>0.27289999999999998</v>
      </c>
      <c r="G21" s="22">
        <f>E21*F21</f>
        <v>2728.9999999999995</v>
      </c>
      <c r="H21" s="22">
        <f>G21-D21</f>
        <v>0</v>
      </c>
      <c r="I21" s="23">
        <f>IF(ISERROR(H21/D21),0,(H21/D21))</f>
        <v>0</v>
      </c>
      <c r="J21" s="125">
        <f t="shared" si="0"/>
        <v>4.2343204196746004E-3</v>
      </c>
    </row>
    <row r="22" spans="1:10" s="1" customFormat="1" x14ac:dyDescent="0.2">
      <c r="A22" s="107" t="s">
        <v>147</v>
      </c>
      <c r="B22" s="73">
        <f>B9</f>
        <v>4136000</v>
      </c>
      <c r="C22" s="78">
        <f>VLOOKUP($B$3,'Data for Bill Impacts'!$A$3:$Y$15,20,0)</f>
        <v>1.9E-3</v>
      </c>
      <c r="D22" s="22">
        <f>B22*C22</f>
        <v>7858.4</v>
      </c>
      <c r="E22" s="73">
        <f t="shared" si="4"/>
        <v>4136000</v>
      </c>
      <c r="F22" s="78">
        <f>VLOOKUP($B$3,'Data for Bill Impacts'!$A$3:$Y$15,21,0)</f>
        <v>1.9E-3</v>
      </c>
      <c r="G22" s="22">
        <f>E22*F22</f>
        <v>7858.4</v>
      </c>
      <c r="H22" s="22">
        <f t="shared" si="2"/>
        <v>0</v>
      </c>
      <c r="I22" s="23">
        <f>IF(ISERROR(H22/D22),0,(H22/D22))</f>
        <v>0</v>
      </c>
      <c r="J22" s="125">
        <f t="shared" si="0"/>
        <v>1.219310501501315E-2</v>
      </c>
    </row>
    <row r="23" spans="1:10" x14ac:dyDescent="0.2">
      <c r="A23" s="110" t="s">
        <v>97</v>
      </c>
      <c r="B23" s="74"/>
      <c r="C23" s="35"/>
      <c r="D23" s="35">
        <f>SUM(D16:D22)</f>
        <v>25988.466552332786</v>
      </c>
      <c r="E23" s="73"/>
      <c r="F23" s="35"/>
      <c r="G23" s="35">
        <f>SUM(G16:G22)</f>
        <v>26335.854689830077</v>
      </c>
      <c r="H23" s="35">
        <f t="shared" si="2"/>
        <v>347.38813749729161</v>
      </c>
      <c r="I23" s="36">
        <f t="shared" si="3"/>
        <v>1.3367011739525248E-2</v>
      </c>
      <c r="J23" s="111">
        <f t="shared" si="0"/>
        <v>4.0862750928080109E-2</v>
      </c>
    </row>
    <row r="24" spans="1:10" x14ac:dyDescent="0.2">
      <c r="A24" s="107" t="s">
        <v>40</v>
      </c>
      <c r="B24" s="73">
        <f>B5</f>
        <v>10000</v>
      </c>
      <c r="C24" s="126">
        <f>VLOOKUP($B$3,'Data for Bill Impacts'!$A$3:$Y$15,15,0)</f>
        <v>3.4866480000000002</v>
      </c>
      <c r="D24" s="22">
        <f>B24*C24</f>
        <v>34866.480000000003</v>
      </c>
      <c r="E24" s="73">
        <f t="shared" si="4"/>
        <v>10000</v>
      </c>
      <c r="F24" s="78">
        <f>VLOOKUP($B$3,'Data for Bill Impacts'!$A$3:$Y$15,24,0)</f>
        <v>3.5367000000000002</v>
      </c>
      <c r="G24" s="22">
        <f>E24*F24</f>
        <v>35367</v>
      </c>
      <c r="H24" s="22">
        <f t="shared" si="2"/>
        <v>500.5199999999968</v>
      </c>
      <c r="I24" s="23">
        <f t="shared" si="3"/>
        <v>1.4355334980760798E-2</v>
      </c>
      <c r="J24" s="125">
        <f t="shared" si="0"/>
        <v>5.4875489293745555E-2</v>
      </c>
    </row>
    <row r="25" spans="1:10" s="1" customFormat="1" x14ac:dyDescent="0.2">
      <c r="A25" s="107" t="s">
        <v>41</v>
      </c>
      <c r="B25" s="73">
        <f>B5</f>
        <v>10000</v>
      </c>
      <c r="C25" s="126">
        <f>VLOOKUP($B$3,'Data for Bill Impacts'!$A$3:$Y$15,16,0)</f>
        <v>2.6021643999999999</v>
      </c>
      <c r="D25" s="22">
        <f>B25*C25</f>
        <v>26021.644</v>
      </c>
      <c r="E25" s="73">
        <f t="shared" si="4"/>
        <v>10000</v>
      </c>
      <c r="F25" s="126">
        <f>VLOOKUP($B$3,'Data for Bill Impacts'!$A$3:$Y$15,25,0)</f>
        <v>2.6514000000000002</v>
      </c>
      <c r="G25" s="22">
        <f>E25*F25</f>
        <v>26514.000000000004</v>
      </c>
      <c r="H25" s="22">
        <f t="shared" si="2"/>
        <v>492.35600000000341</v>
      </c>
      <c r="I25" s="23">
        <f t="shared" si="3"/>
        <v>1.8921018210840308E-2</v>
      </c>
      <c r="J25" s="125">
        <f t="shared" si="0"/>
        <v>4.1139161453738513E-2</v>
      </c>
    </row>
    <row r="26" spans="1:10" x14ac:dyDescent="0.2">
      <c r="A26" s="110" t="s">
        <v>76</v>
      </c>
      <c r="B26" s="74"/>
      <c r="C26" s="35"/>
      <c r="D26" s="35">
        <f>SUM(D24:D25)</f>
        <v>60888.124000000003</v>
      </c>
      <c r="E26" s="73"/>
      <c r="F26" s="35"/>
      <c r="G26" s="35">
        <f>SUM(G24:G25)</f>
        <v>61881</v>
      </c>
      <c r="H26" s="35">
        <f t="shared" si="2"/>
        <v>992.87599999999657</v>
      </c>
      <c r="I26" s="36">
        <f t="shared" si="3"/>
        <v>1.63065625079859E-2</v>
      </c>
      <c r="J26" s="111">
        <f t="shared" si="0"/>
        <v>9.6014650747484068E-2</v>
      </c>
    </row>
    <row r="27" spans="1:10" s="1" customFormat="1" x14ac:dyDescent="0.2">
      <c r="A27" s="110" t="s">
        <v>80</v>
      </c>
      <c r="B27" s="74"/>
      <c r="C27" s="35"/>
      <c r="D27" s="35">
        <f>D23+D26</f>
        <v>86876.590552332782</v>
      </c>
      <c r="E27" s="73"/>
      <c r="F27" s="35"/>
      <c r="G27" s="35">
        <f>G23+G26</f>
        <v>88216.85468983007</v>
      </c>
      <c r="H27" s="35">
        <f t="shared" si="2"/>
        <v>1340.2641374972882</v>
      </c>
      <c r="I27" s="36">
        <f t="shared" si="3"/>
        <v>1.5427218413802036E-2</v>
      </c>
      <c r="J27" s="111">
        <f t="shared" si="0"/>
        <v>0.13687740167556417</v>
      </c>
    </row>
    <row r="28" spans="1:10" x14ac:dyDescent="0.2">
      <c r="A28" s="107" t="s">
        <v>42</v>
      </c>
      <c r="B28" s="73">
        <f>B9</f>
        <v>4136000</v>
      </c>
      <c r="C28" s="34">
        <v>3.5999999999999999E-3</v>
      </c>
      <c r="D28" s="22">
        <f>B28*C28</f>
        <v>14889.6</v>
      </c>
      <c r="E28" s="73">
        <f t="shared" si="4"/>
        <v>4136000</v>
      </c>
      <c r="F28" s="34">
        <v>3.5999999999999999E-3</v>
      </c>
      <c r="G28" s="22">
        <f>E28*F28</f>
        <v>14889.6</v>
      </c>
      <c r="H28" s="22">
        <f t="shared" si="2"/>
        <v>0</v>
      </c>
      <c r="I28" s="23">
        <f t="shared" si="3"/>
        <v>0</v>
      </c>
      <c r="J28" s="125">
        <f t="shared" si="0"/>
        <v>2.3102725291603864E-2</v>
      </c>
    </row>
    <row r="29" spans="1:10" x14ac:dyDescent="0.2">
      <c r="A29" s="107" t="s">
        <v>43</v>
      </c>
      <c r="B29" s="73">
        <f>B9</f>
        <v>4136000</v>
      </c>
      <c r="C29" s="34">
        <v>2.0999999999999999E-3</v>
      </c>
      <c r="D29" s="22">
        <f>B29*C29</f>
        <v>8685.6</v>
      </c>
      <c r="E29" s="73">
        <f t="shared" si="4"/>
        <v>4136000</v>
      </c>
      <c r="F29" s="34">
        <v>2.0999999999999999E-3</v>
      </c>
      <c r="G29" s="22">
        <f>E29*F29</f>
        <v>8685.6</v>
      </c>
      <c r="H29" s="22">
        <f>G29-D29</f>
        <v>0</v>
      </c>
      <c r="I29" s="23">
        <f t="shared" si="3"/>
        <v>0</v>
      </c>
      <c r="J29" s="125">
        <f t="shared" si="0"/>
        <v>1.3476589753435589E-2</v>
      </c>
    </row>
    <row r="30" spans="1:10" x14ac:dyDescent="0.2">
      <c r="A30" s="107" t="s">
        <v>100</v>
      </c>
      <c r="B30" s="73">
        <f>B9</f>
        <v>4136000</v>
      </c>
      <c r="C30" s="34">
        <v>1.1000000000000001E-3</v>
      </c>
      <c r="D30" s="22">
        <f>B30*C30</f>
        <v>4549.6000000000004</v>
      </c>
      <c r="E30" s="73">
        <f t="shared" si="4"/>
        <v>4136000</v>
      </c>
      <c r="F30" s="34">
        <v>1.1000000000000001E-3</v>
      </c>
      <c r="G30" s="22">
        <f>E30*F30</f>
        <v>4549.6000000000004</v>
      </c>
      <c r="H30" s="22">
        <f>G30-D30</f>
        <v>0</v>
      </c>
      <c r="I30" s="23">
        <f t="shared" ref="I30" si="7">IF(ISERROR(H30/D30),0,(H30/D30))</f>
        <v>0</v>
      </c>
      <c r="J30" s="125">
        <f t="shared" ref="J30" si="8">G30/$G$38</f>
        <v>7.0591660613234034E-3</v>
      </c>
    </row>
    <row r="31" spans="1:10" x14ac:dyDescent="0.2">
      <c r="A31" s="107" t="s">
        <v>44</v>
      </c>
      <c r="B31" s="73">
        <v>1</v>
      </c>
      <c r="C31" s="22">
        <v>0.25</v>
      </c>
      <c r="D31" s="22">
        <f>B31*C31</f>
        <v>0.25</v>
      </c>
      <c r="E31" s="73">
        <f t="shared" si="4"/>
        <v>1</v>
      </c>
      <c r="F31" s="22">
        <f>C31</f>
        <v>0.25</v>
      </c>
      <c r="G31" s="22">
        <f>E31*F31</f>
        <v>0.25</v>
      </c>
      <c r="H31" s="22">
        <f t="shared" si="2"/>
        <v>0</v>
      </c>
      <c r="I31" s="23">
        <f t="shared" si="3"/>
        <v>0</v>
      </c>
      <c r="J31" s="125">
        <f t="shared" ref="J31:J38" si="9">G31/$G$38</f>
        <v>3.8790036823695507E-7</v>
      </c>
    </row>
    <row r="32" spans="1:10" x14ac:dyDescent="0.2">
      <c r="A32" s="110" t="s">
        <v>45</v>
      </c>
      <c r="B32" s="74"/>
      <c r="C32" s="35"/>
      <c r="D32" s="35">
        <f>SUM(D28:D31)</f>
        <v>28125.050000000003</v>
      </c>
      <c r="E32" s="73"/>
      <c r="F32" s="35"/>
      <c r="G32" s="35">
        <f>SUM(G28:G31)</f>
        <v>28125.050000000003</v>
      </c>
      <c r="H32" s="35">
        <f t="shared" si="2"/>
        <v>0</v>
      </c>
      <c r="I32" s="36">
        <f t="shared" si="3"/>
        <v>0</v>
      </c>
      <c r="J32" s="111">
        <f t="shared" si="9"/>
        <v>4.3638869006731099E-2</v>
      </c>
    </row>
    <row r="33" spans="1:10" ht="13.5" thickBot="1" x14ac:dyDescent="0.25">
      <c r="A33" s="112" t="s">
        <v>46</v>
      </c>
      <c r="B33" s="113">
        <f>B4</f>
        <v>4000000</v>
      </c>
      <c r="C33" s="114">
        <v>7.0000000000000001E-3</v>
      </c>
      <c r="D33" s="115">
        <f>B33*C33</f>
        <v>28000</v>
      </c>
      <c r="E33" s="116">
        <f t="shared" si="4"/>
        <v>4000000</v>
      </c>
      <c r="F33" s="114">
        <f>C33</f>
        <v>7.0000000000000001E-3</v>
      </c>
      <c r="G33" s="115">
        <f>E33*F33</f>
        <v>28000</v>
      </c>
      <c r="H33" s="115">
        <f t="shared" si="2"/>
        <v>0</v>
      </c>
      <c r="I33" s="117">
        <f t="shared" si="3"/>
        <v>0</v>
      </c>
      <c r="J33" s="118">
        <f t="shared" si="9"/>
        <v>4.3444841242538966E-2</v>
      </c>
    </row>
    <row r="34" spans="1:10" x14ac:dyDescent="0.2">
      <c r="A34" s="37" t="s">
        <v>146</v>
      </c>
      <c r="B34" s="38"/>
      <c r="C34" s="39"/>
      <c r="D34" s="39">
        <f>SUM(D15,D23,D26,D32,D33)</f>
        <v>569009.64055233286</v>
      </c>
      <c r="E34" s="38"/>
      <c r="F34" s="39"/>
      <c r="G34" s="39">
        <f>SUM(G15,G23,G26,G32,G33)</f>
        <v>570349.90468983015</v>
      </c>
      <c r="H34" s="39">
        <f t="shared" si="2"/>
        <v>1340.2641374972882</v>
      </c>
      <c r="I34" s="40">
        <f>IF(ISERROR(H34/D34),0,(H34/D34))</f>
        <v>2.3554330928317931E-3</v>
      </c>
      <c r="J34" s="41">
        <f t="shared" si="9"/>
        <v>0.88495575221238931</v>
      </c>
    </row>
    <row r="35" spans="1:10" x14ac:dyDescent="0.2">
      <c r="A35" s="46" t="s">
        <v>138</v>
      </c>
      <c r="B35" s="43"/>
      <c r="C35" s="26">
        <v>0.13</v>
      </c>
      <c r="D35" s="26">
        <f>D34*C35</f>
        <v>73971.253271803274</v>
      </c>
      <c r="E35" s="26"/>
      <c r="F35" s="26">
        <f>C35</f>
        <v>0.13</v>
      </c>
      <c r="G35" s="26">
        <f>G34*F35</f>
        <v>74145.487609677919</v>
      </c>
      <c r="H35" s="26">
        <f t="shared" si="2"/>
        <v>174.23433787464455</v>
      </c>
      <c r="I35" s="44">
        <f t="shared" ref="I35:I38" si="10">IF(ISERROR(H35/D35),0,(H35/D35))</f>
        <v>2.3554330928317537E-3</v>
      </c>
      <c r="J35" s="45">
        <f t="shared" si="9"/>
        <v>0.11504424778761062</v>
      </c>
    </row>
    <row r="36" spans="1:10" x14ac:dyDescent="0.2">
      <c r="A36" s="46" t="s">
        <v>139</v>
      </c>
      <c r="B36" s="24"/>
      <c r="C36" s="25"/>
      <c r="D36" s="25">
        <f>SUM(D34:D35)</f>
        <v>642980.89382413612</v>
      </c>
      <c r="E36" s="25"/>
      <c r="F36" s="25"/>
      <c r="G36" s="25">
        <f>SUM(G34:G35)</f>
        <v>644495.39229950809</v>
      </c>
      <c r="H36" s="25">
        <f t="shared" si="2"/>
        <v>1514.4984753719764</v>
      </c>
      <c r="I36" s="27">
        <f t="shared" si="10"/>
        <v>2.3554330928318564E-3</v>
      </c>
      <c r="J36" s="47">
        <f t="shared" si="9"/>
        <v>1</v>
      </c>
    </row>
    <row r="37" spans="1:10" x14ac:dyDescent="0.2">
      <c r="A37" s="46" t="s">
        <v>140</v>
      </c>
      <c r="B37" s="43"/>
      <c r="C37" s="26">
        <v>0</v>
      </c>
      <c r="D37" s="26">
        <f>D34*C37</f>
        <v>0</v>
      </c>
      <c r="E37" s="26"/>
      <c r="F37" s="26">
        <f>C37</f>
        <v>0</v>
      </c>
      <c r="G37" s="26">
        <f>G34*F37</f>
        <v>0</v>
      </c>
      <c r="H37" s="26">
        <f t="shared" si="2"/>
        <v>0</v>
      </c>
      <c r="I37" s="44">
        <f t="shared" si="10"/>
        <v>0</v>
      </c>
      <c r="J37" s="45">
        <f t="shared" si="9"/>
        <v>0</v>
      </c>
    </row>
    <row r="38" spans="1:10" ht="13.5" thickBot="1" x14ac:dyDescent="0.25">
      <c r="A38" s="46" t="s">
        <v>141</v>
      </c>
      <c r="B38" s="49"/>
      <c r="C38" s="50"/>
      <c r="D38" s="50">
        <f>SUM(D36:D37)</f>
        <v>642980.89382413612</v>
      </c>
      <c r="E38" s="50"/>
      <c r="F38" s="50"/>
      <c r="G38" s="50">
        <f>SUM(G36:G37)</f>
        <v>644495.39229950809</v>
      </c>
      <c r="H38" s="50">
        <f t="shared" si="2"/>
        <v>1514.4984753719764</v>
      </c>
      <c r="I38" s="51">
        <f t="shared" si="10"/>
        <v>2.3554330928318564E-3</v>
      </c>
      <c r="J38" s="52">
        <f t="shared" si="9"/>
        <v>1</v>
      </c>
    </row>
    <row r="39" spans="1:10" x14ac:dyDescent="0.2">
      <c r="F39" s="69"/>
    </row>
    <row r="40" spans="1:10" x14ac:dyDescent="0.2">
      <c r="F40" s="69"/>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tabColor theme="1" tint="0.499984740745262"/>
    <pageSetUpPr fitToPage="1"/>
  </sheetPr>
  <dimension ref="A1:J50"/>
  <sheetViews>
    <sheetView view="pageBreakPreview" topLeftCell="A7" zoomScaleNormal="100" zoomScaleSheetLayoutView="100" workbookViewId="0">
      <selection activeCell="C19" sqref="C19"/>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48" t="s">
        <v>109</v>
      </c>
      <c r="B1" s="349"/>
      <c r="C1" s="349"/>
      <c r="D1" s="349"/>
      <c r="E1" s="349"/>
      <c r="F1" s="349"/>
      <c r="G1" s="349"/>
      <c r="H1" s="349"/>
      <c r="I1" s="349"/>
      <c r="J1" s="350"/>
    </row>
    <row r="3" spans="1:10" x14ac:dyDescent="0.2">
      <c r="A3" s="13" t="s">
        <v>13</v>
      </c>
      <c r="B3" s="13" t="s">
        <v>12</v>
      </c>
    </row>
    <row r="4" spans="1:10" x14ac:dyDescent="0.2">
      <c r="A4" s="15" t="s">
        <v>62</v>
      </c>
      <c r="B4" s="15">
        <v>100</v>
      </c>
    </row>
    <row r="5" spans="1:10" x14ac:dyDescent="0.2">
      <c r="A5" s="15" t="s">
        <v>16</v>
      </c>
      <c r="B5" s="15">
        <f>VLOOKUP($B$3,'Data for Bill Impacts'!$A$3:$Y$15,5,0)</f>
        <v>0</v>
      </c>
    </row>
    <row r="6" spans="1:10" x14ac:dyDescent="0.2">
      <c r="A6" s="15" t="s">
        <v>20</v>
      </c>
      <c r="B6" s="15">
        <f>VLOOKUP($B$3,'Data for Bill Impacts'!$A$3:$Y$15,2,0)</f>
        <v>1.0920000000000001</v>
      </c>
    </row>
    <row r="7" spans="1:10" x14ac:dyDescent="0.2">
      <c r="A7" s="15" t="s">
        <v>15</v>
      </c>
      <c r="B7" s="15">
        <f>VLOOKUP($B$3,'Data for Bill Impacts'!$A$3:$Y$15,4,0)</f>
        <v>750</v>
      </c>
    </row>
    <row r="8" spans="1:10" x14ac:dyDescent="0.2">
      <c r="A8" s="15" t="s">
        <v>82</v>
      </c>
      <c r="B8" s="193">
        <f>B4*B6</f>
        <v>109.2</v>
      </c>
    </row>
    <row r="9" spans="1:10" x14ac:dyDescent="0.2">
      <c r="A9" s="15" t="s">
        <v>21</v>
      </c>
      <c r="B9" s="16" t="str">
        <f>VLOOKUP($B$3,'Data for Bill Impacts'!$A$3:$Y$15,6,0)</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3" t="s">
        <v>29</v>
      </c>
    </row>
    <row r="12" spans="1:10" x14ac:dyDescent="0.2">
      <c r="A12" s="101" t="s">
        <v>31</v>
      </c>
      <c r="B12" s="102">
        <f>IF(B4&gt;B7,B7,B4)</f>
        <v>100</v>
      </c>
      <c r="C12" s="103">
        <v>0.10299999999999999</v>
      </c>
      <c r="D12" s="104">
        <f>B12*C12</f>
        <v>10.299999999999999</v>
      </c>
      <c r="E12" s="102">
        <f>B12</f>
        <v>100</v>
      </c>
      <c r="F12" s="103">
        <f>C12</f>
        <v>0.10299999999999999</v>
      </c>
      <c r="G12" s="104">
        <f>E12*F12</f>
        <v>10.299999999999999</v>
      </c>
      <c r="H12" s="104">
        <f>G12-D12</f>
        <v>0</v>
      </c>
      <c r="I12" s="105">
        <f>IF(ISERROR(H12/D12),0,(H12/D12))</f>
        <v>0</v>
      </c>
      <c r="J12" s="124">
        <f t="shared" ref="J12:J30" si="0">G12/$G$39</f>
        <v>0.18026129066594085</v>
      </c>
    </row>
    <row r="13" spans="1:10" x14ac:dyDescent="0.2">
      <c r="A13" s="107" t="s">
        <v>32</v>
      </c>
      <c r="B13" s="73">
        <f>IF(B4&gt;B7,(B4)-B7,0)</f>
        <v>0</v>
      </c>
      <c r="C13" s="21">
        <v>0.121</v>
      </c>
      <c r="D13" s="22">
        <f>B13*C13</f>
        <v>0</v>
      </c>
      <c r="E13" s="73">
        <f t="shared" ref="E13" si="1">B13</f>
        <v>0</v>
      </c>
      <c r="F13" s="21">
        <f>C13</f>
        <v>0.121</v>
      </c>
      <c r="G13" s="22">
        <f>E13*F13</f>
        <v>0</v>
      </c>
      <c r="H13" s="22">
        <f t="shared" ref="H13:H39" si="2">G13-D13</f>
        <v>0</v>
      </c>
      <c r="I13" s="23">
        <f t="shared" ref="I13:I39" si="3">IF(ISERROR(H13/D13),0,(H13/D13))</f>
        <v>0</v>
      </c>
      <c r="J13" s="125">
        <f t="shared" si="0"/>
        <v>0</v>
      </c>
    </row>
    <row r="14" spans="1:10" s="1" customFormat="1" x14ac:dyDescent="0.2">
      <c r="A14" s="46" t="s">
        <v>33</v>
      </c>
      <c r="B14" s="24"/>
      <c r="C14" s="25"/>
      <c r="D14" s="25">
        <f>SUM(D12:D13)</f>
        <v>10.299999999999999</v>
      </c>
      <c r="E14" s="76"/>
      <c r="F14" s="25"/>
      <c r="G14" s="25">
        <f>SUM(G12:G13)</f>
        <v>10.299999999999999</v>
      </c>
      <c r="H14" s="25">
        <f t="shared" si="2"/>
        <v>0</v>
      </c>
      <c r="I14" s="27">
        <f t="shared" si="3"/>
        <v>0</v>
      </c>
      <c r="J14" s="47">
        <f t="shared" si="0"/>
        <v>0.18026129066594085</v>
      </c>
    </row>
    <row r="15" spans="1:10" x14ac:dyDescent="0.2">
      <c r="A15" s="107" t="s">
        <v>38</v>
      </c>
      <c r="B15" s="73">
        <v>1</v>
      </c>
      <c r="C15" s="78">
        <f>VLOOKUP($B$3,'Data for Bill Impacts'!$A$3:$Y$15,7,0)</f>
        <v>36.880000000000003</v>
      </c>
      <c r="D15" s="22">
        <f>B15*C15</f>
        <v>36.880000000000003</v>
      </c>
      <c r="E15" s="73">
        <f t="shared" ref="E15:E34" si="4">B15</f>
        <v>1</v>
      </c>
      <c r="F15" s="78">
        <f>VLOOKUP($B$3,'Data for Bill Impacts'!$A$3:$Y$15,17,0)</f>
        <v>37.5</v>
      </c>
      <c r="G15" s="22">
        <f>E15*F15</f>
        <v>37.5</v>
      </c>
      <c r="H15" s="22">
        <f t="shared" si="2"/>
        <v>0.61999999999999744</v>
      </c>
      <c r="I15" s="23">
        <f t="shared" si="3"/>
        <v>1.6811279826464139E-2</v>
      </c>
      <c r="J15" s="125">
        <f t="shared" si="0"/>
        <v>0.65629110679347402</v>
      </c>
    </row>
    <row r="16" spans="1:10" hidden="1" x14ac:dyDescent="0.2">
      <c r="A16" s="107" t="s">
        <v>90</v>
      </c>
      <c r="B16" s="73">
        <v>1</v>
      </c>
      <c r="C16" s="78">
        <v>0</v>
      </c>
      <c r="D16" s="22">
        <f>B16*C16</f>
        <v>0</v>
      </c>
      <c r="E16" s="73">
        <f t="shared" si="4"/>
        <v>1</v>
      </c>
      <c r="F16" s="78">
        <v>0</v>
      </c>
      <c r="G16" s="22">
        <f t="shared" ref="G16:G18" si="5">E16*F16</f>
        <v>0</v>
      </c>
      <c r="H16" s="22">
        <f t="shared" si="2"/>
        <v>0</v>
      </c>
      <c r="I16" s="23">
        <f t="shared" si="3"/>
        <v>0</v>
      </c>
      <c r="J16" s="125">
        <f t="shared" si="0"/>
        <v>0</v>
      </c>
    </row>
    <row r="17" spans="1:10" hidden="1" x14ac:dyDescent="0.2">
      <c r="A17" s="107" t="s">
        <v>84</v>
      </c>
      <c r="B17" s="73">
        <v>1</v>
      </c>
      <c r="C17" s="78">
        <v>0</v>
      </c>
      <c r="D17" s="22">
        <f t="shared" ref="D17:D18" si="6">B17*C17</f>
        <v>0</v>
      </c>
      <c r="E17" s="73">
        <f t="shared" si="4"/>
        <v>1</v>
      </c>
      <c r="F17" s="78">
        <v>0</v>
      </c>
      <c r="G17" s="22">
        <f t="shared" si="5"/>
        <v>0</v>
      </c>
      <c r="H17" s="22">
        <f t="shared" si="2"/>
        <v>0</v>
      </c>
      <c r="I17" s="23">
        <f t="shared" si="3"/>
        <v>0</v>
      </c>
      <c r="J17" s="125">
        <f t="shared" si="0"/>
        <v>0</v>
      </c>
    </row>
    <row r="18" spans="1:10" x14ac:dyDescent="0.2">
      <c r="A18" s="107" t="s">
        <v>85</v>
      </c>
      <c r="B18" s="73">
        <v>1</v>
      </c>
      <c r="C18" s="78">
        <f>VLOOKUP($B$3,'Data for Bill Impacts'!$A$3:$Y$15,13,0)</f>
        <v>-0.01</v>
      </c>
      <c r="D18" s="22">
        <f t="shared" si="6"/>
        <v>-0.01</v>
      </c>
      <c r="E18" s="73">
        <f t="shared" si="4"/>
        <v>1</v>
      </c>
      <c r="F18" s="78">
        <f>VLOOKUP($B$3,'Data for Bill Impacts'!$A$3:$Y$15,22,0)</f>
        <v>-0.01</v>
      </c>
      <c r="G18" s="22">
        <f t="shared" si="5"/>
        <v>-0.01</v>
      </c>
      <c r="H18" s="22">
        <f t="shared" si="2"/>
        <v>0</v>
      </c>
      <c r="I18" s="23">
        <f t="shared" si="3"/>
        <v>0</v>
      </c>
      <c r="J18" s="125">
        <f t="shared" si="0"/>
        <v>-1.7501096181159309E-4</v>
      </c>
    </row>
    <row r="19" spans="1:10" x14ac:dyDescent="0.2">
      <c r="A19" s="107" t="s">
        <v>39</v>
      </c>
      <c r="B19" s="73">
        <f>IF($B$9="kWh",$B$4,$B$5)</f>
        <v>100</v>
      </c>
      <c r="C19" s="126">
        <f>VLOOKUP($B$3,'Data for Bill Impacts'!$A$3:$Y$15,10,0)</f>
        <v>0.03</v>
      </c>
      <c r="D19" s="22">
        <f>B19*C19</f>
        <v>3</v>
      </c>
      <c r="E19" s="73">
        <f t="shared" si="4"/>
        <v>100</v>
      </c>
      <c r="F19" s="78">
        <f>VLOOKUP($B$3,'Data for Bill Impacts'!$A$3:$Y$15,19,0)</f>
        <v>3.04E-2</v>
      </c>
      <c r="G19" s="22">
        <f>E19*F19</f>
        <v>3.04</v>
      </c>
      <c r="H19" s="22">
        <f t="shared" si="2"/>
        <v>4.0000000000000036E-2</v>
      </c>
      <c r="I19" s="23">
        <f t="shared" si="3"/>
        <v>1.3333333333333345E-2</v>
      </c>
      <c r="J19" s="125">
        <f t="shared" si="0"/>
        <v>5.3203332390724299E-2</v>
      </c>
    </row>
    <row r="20" spans="1:10" s="1" customFormat="1" x14ac:dyDescent="0.2">
      <c r="A20" s="107" t="s">
        <v>194</v>
      </c>
      <c r="B20" s="73">
        <f>IF($B$9="kWh",$B$4,$B$5)</f>
        <v>100</v>
      </c>
      <c r="C20" s="126">
        <f>VLOOKUP($B$3,'Data for Bill Impacts'!$A$3:$Y$15,14,0)</f>
        <v>2.0000000000000001E-4</v>
      </c>
      <c r="D20" s="22">
        <f>B20*C20</f>
        <v>0.02</v>
      </c>
      <c r="E20" s="73">
        <f>B20</f>
        <v>100</v>
      </c>
      <c r="F20" s="78">
        <f>VLOOKUP($B$3,'Data for Bill Impacts'!$A$3:$Y$15,23,0)</f>
        <v>2.0000000000000001E-4</v>
      </c>
      <c r="G20" s="22">
        <f>E20*F20</f>
        <v>0.02</v>
      </c>
      <c r="H20" s="22">
        <f>G20-D20</f>
        <v>0</v>
      </c>
      <c r="I20" s="23">
        <f>IF(ISERROR(H20/D20),0,(H20/D20))</f>
        <v>0</v>
      </c>
      <c r="J20" s="125">
        <f t="shared" si="0"/>
        <v>3.5002192362318618E-4</v>
      </c>
    </row>
    <row r="21" spans="1:10" hidden="1" x14ac:dyDescent="0.2">
      <c r="A21" s="107" t="s">
        <v>86</v>
      </c>
      <c r="B21" s="73">
        <f>IF($B$9="kWh",$B$4,$B$5)</f>
        <v>100</v>
      </c>
      <c r="C21" s="126">
        <v>0</v>
      </c>
      <c r="D21" s="22">
        <f>B21*C21</f>
        <v>0</v>
      </c>
      <c r="E21" s="73">
        <f t="shared" si="4"/>
        <v>100</v>
      </c>
      <c r="F21" s="78">
        <v>0</v>
      </c>
      <c r="G21" s="22">
        <f>E21*F21</f>
        <v>0</v>
      </c>
      <c r="H21" s="22">
        <f t="shared" si="2"/>
        <v>0</v>
      </c>
      <c r="I21" s="23">
        <f>IF(ISERROR(H21/D21),0,(H21/D21))</f>
        <v>0</v>
      </c>
      <c r="J21" s="125">
        <f t="shared" si="0"/>
        <v>0</v>
      </c>
    </row>
    <row r="22" spans="1:10" x14ac:dyDescent="0.2">
      <c r="A22" s="110" t="s">
        <v>72</v>
      </c>
      <c r="B22" s="74"/>
      <c r="C22" s="35"/>
      <c r="D22" s="35">
        <f>SUM(D15:D21)</f>
        <v>39.890000000000008</v>
      </c>
      <c r="E22" s="73"/>
      <c r="F22" s="35"/>
      <c r="G22" s="35">
        <f>SUM(G15:G21)</f>
        <v>40.550000000000004</v>
      </c>
      <c r="H22" s="35">
        <f t="shared" si="2"/>
        <v>0.65999999999999659</v>
      </c>
      <c r="I22" s="36">
        <f t="shared" si="3"/>
        <v>1.6545500125344611E-2</v>
      </c>
      <c r="J22" s="111">
        <f t="shared" si="0"/>
        <v>0.70966945014601002</v>
      </c>
    </row>
    <row r="23" spans="1:10" s="1" customFormat="1" x14ac:dyDescent="0.2">
      <c r="A23" s="119" t="s">
        <v>81</v>
      </c>
      <c r="B23" s="120">
        <f>B8-B4</f>
        <v>9.2000000000000028</v>
      </c>
      <c r="C23" s="121">
        <f>IF(B4&gt;B7,C13,C12)</f>
        <v>0.10299999999999999</v>
      </c>
      <c r="D23" s="22">
        <f>B23*C23</f>
        <v>0.94760000000000022</v>
      </c>
      <c r="E23" s="73">
        <f>B23</f>
        <v>9.2000000000000028</v>
      </c>
      <c r="F23" s="121">
        <f>C23</f>
        <v>0.10299999999999999</v>
      </c>
      <c r="G23" s="22">
        <f>E23*F23</f>
        <v>0.94760000000000022</v>
      </c>
      <c r="H23" s="22">
        <f t="shared" si="2"/>
        <v>0</v>
      </c>
      <c r="I23" s="23">
        <f>IF(ISERROR(H23/D23),0,(H23/D23))</f>
        <v>0</v>
      </c>
      <c r="J23" s="125">
        <f t="shared" si="0"/>
        <v>1.6584038741266564E-2</v>
      </c>
    </row>
    <row r="24" spans="1:10" x14ac:dyDescent="0.2">
      <c r="A24" s="110" t="s">
        <v>79</v>
      </c>
      <c r="B24" s="74"/>
      <c r="C24" s="35"/>
      <c r="D24" s="35">
        <f>SUM(D22,D23:D23)</f>
        <v>40.837600000000009</v>
      </c>
      <c r="E24" s="73"/>
      <c r="F24" s="35"/>
      <c r="G24" s="35">
        <f>SUM(G22,G23:G23)</f>
        <v>41.497600000000006</v>
      </c>
      <c r="H24" s="35">
        <f t="shared" si="2"/>
        <v>0.65999999999999659</v>
      </c>
      <c r="I24" s="36">
        <f>IF(ISERROR(H24/D24),0,(H24/D24))</f>
        <v>1.6161576586283141E-2</v>
      </c>
      <c r="J24" s="111">
        <f t="shared" si="0"/>
        <v>0.72625348888727659</v>
      </c>
    </row>
    <row r="25" spans="1:10" x14ac:dyDescent="0.2">
      <c r="A25" s="107" t="s">
        <v>40</v>
      </c>
      <c r="B25" s="73">
        <f>B8</f>
        <v>109.2</v>
      </c>
      <c r="C25" s="126">
        <f>VLOOKUP($B$3,'Data for Bill Impacts'!$A$3:$Y$15,15,0)</f>
        <v>4.7699999999999999E-3</v>
      </c>
      <c r="D25" s="22">
        <f>B25*C25</f>
        <v>0.52088400000000001</v>
      </c>
      <c r="E25" s="73">
        <f t="shared" si="4"/>
        <v>109.2</v>
      </c>
      <c r="F25" s="78">
        <f>VLOOKUP($B$3,'Data for Bill Impacts'!$A$3:$Y$15,24,0)</f>
        <v>4.7000000000000002E-3</v>
      </c>
      <c r="G25" s="22">
        <f>E25*F25</f>
        <v>0.51324000000000003</v>
      </c>
      <c r="H25" s="22">
        <f t="shared" si="2"/>
        <v>-7.6439999999999841E-3</v>
      </c>
      <c r="I25" s="23">
        <f t="shared" si="3"/>
        <v>-1.4675052410901437E-2</v>
      </c>
      <c r="J25" s="125">
        <f t="shared" si="0"/>
        <v>8.982262604018203E-3</v>
      </c>
    </row>
    <row r="26" spans="1:10" s="1" customFormat="1" x14ac:dyDescent="0.2">
      <c r="A26" s="107" t="s">
        <v>41</v>
      </c>
      <c r="B26" s="73">
        <f>B8</f>
        <v>109.2</v>
      </c>
      <c r="C26" s="126">
        <f>VLOOKUP($B$3,'Data for Bill Impacts'!$A$3:$Y$15,16,0)</f>
        <v>3.7950000000000002E-3</v>
      </c>
      <c r="D26" s="22">
        <f>B26*C26</f>
        <v>0.414414</v>
      </c>
      <c r="E26" s="73">
        <f t="shared" si="4"/>
        <v>109.2</v>
      </c>
      <c r="F26" s="78">
        <f>VLOOKUP($B$3,'Data for Bill Impacts'!$A$3:$Y$15,25,0)</f>
        <v>3.8E-3</v>
      </c>
      <c r="G26" s="22">
        <f>E26*F26</f>
        <v>0.41496</v>
      </c>
      <c r="H26" s="22">
        <f t="shared" si="2"/>
        <v>5.4599999999999094E-4</v>
      </c>
      <c r="I26" s="23">
        <f t="shared" si="3"/>
        <v>1.3175230566534696E-3</v>
      </c>
      <c r="J26" s="125">
        <f t="shared" si="0"/>
        <v>7.2622548713338663E-3</v>
      </c>
    </row>
    <row r="27" spans="1:10" s="1" customFormat="1" x14ac:dyDescent="0.2">
      <c r="A27" s="110" t="s">
        <v>76</v>
      </c>
      <c r="B27" s="74"/>
      <c r="C27" s="35"/>
      <c r="D27" s="35">
        <f>SUM(D25:D26)</f>
        <v>0.93529799999999996</v>
      </c>
      <c r="E27" s="73"/>
      <c r="F27" s="35"/>
      <c r="G27" s="35">
        <f>SUM(G25:G26)</f>
        <v>0.92820000000000003</v>
      </c>
      <c r="H27" s="35">
        <f t="shared" si="2"/>
        <v>-7.0979999999999377E-3</v>
      </c>
      <c r="I27" s="36">
        <f t="shared" si="3"/>
        <v>-7.5890251021598866E-3</v>
      </c>
      <c r="J27" s="111">
        <f t="shared" si="0"/>
        <v>1.624451747535207E-2</v>
      </c>
    </row>
    <row r="28" spans="1:10" s="1" customFormat="1" x14ac:dyDescent="0.2">
      <c r="A28" s="110" t="s">
        <v>80</v>
      </c>
      <c r="B28" s="74"/>
      <c r="C28" s="35"/>
      <c r="D28" s="35">
        <f>D24+D27</f>
        <v>41.772898000000012</v>
      </c>
      <c r="E28" s="73"/>
      <c r="F28" s="35"/>
      <c r="G28" s="35">
        <f>G24+G27</f>
        <v>42.425800000000002</v>
      </c>
      <c r="H28" s="35">
        <f t="shared" si="2"/>
        <v>0.65290199999999032</v>
      </c>
      <c r="I28" s="36">
        <f t="shared" si="3"/>
        <v>1.5629799014662334E-2</v>
      </c>
      <c r="J28" s="111">
        <f t="shared" si="0"/>
        <v>0.74249800636262864</v>
      </c>
    </row>
    <row r="29" spans="1:10" x14ac:dyDescent="0.2">
      <c r="A29" s="107" t="s">
        <v>42</v>
      </c>
      <c r="B29" s="73">
        <f>B8</f>
        <v>109.2</v>
      </c>
      <c r="C29" s="34">
        <v>3.5999999999999999E-3</v>
      </c>
      <c r="D29" s="22">
        <f>B29*C29</f>
        <v>0.39312000000000002</v>
      </c>
      <c r="E29" s="73">
        <f t="shared" si="4"/>
        <v>109.2</v>
      </c>
      <c r="F29" s="34">
        <v>3.5999999999999999E-3</v>
      </c>
      <c r="G29" s="22">
        <f>E29*F29</f>
        <v>0.39312000000000002</v>
      </c>
      <c r="H29" s="22">
        <f t="shared" si="2"/>
        <v>0</v>
      </c>
      <c r="I29" s="23">
        <f t="shared" si="3"/>
        <v>0</v>
      </c>
      <c r="J29" s="125">
        <f t="shared" si="0"/>
        <v>6.8800309307373471E-3</v>
      </c>
    </row>
    <row r="30" spans="1:10" s="1" customFormat="1" x14ac:dyDescent="0.2">
      <c r="A30" s="107" t="s">
        <v>43</v>
      </c>
      <c r="B30" s="73">
        <f>B8</f>
        <v>109.2</v>
      </c>
      <c r="C30" s="34">
        <v>2.0999999999999999E-3</v>
      </c>
      <c r="D30" s="22">
        <f>B30*C30</f>
        <v>0.22932</v>
      </c>
      <c r="E30" s="73">
        <f t="shared" si="4"/>
        <v>109.2</v>
      </c>
      <c r="F30" s="34">
        <v>2.0999999999999999E-3</v>
      </c>
      <c r="G30" s="22">
        <f>E30*F30</f>
        <v>0.22932</v>
      </c>
      <c r="H30" s="22">
        <f>G30-D30</f>
        <v>0</v>
      </c>
      <c r="I30" s="23">
        <f t="shared" si="3"/>
        <v>0</v>
      </c>
      <c r="J30" s="125">
        <f t="shared" si="0"/>
        <v>4.0133513762634528E-3</v>
      </c>
    </row>
    <row r="31" spans="1:10" s="1" customFormat="1" x14ac:dyDescent="0.2">
      <c r="A31" s="107" t="s">
        <v>100</v>
      </c>
      <c r="B31" s="73">
        <f>B8</f>
        <v>109.2</v>
      </c>
      <c r="C31" s="34">
        <v>1.1000000000000001E-3</v>
      </c>
      <c r="D31" s="22">
        <f>B31*C31</f>
        <v>0.12012</v>
      </c>
      <c r="E31" s="73">
        <f t="shared" si="4"/>
        <v>109.2</v>
      </c>
      <c r="F31" s="34">
        <v>1.1000000000000001E-3</v>
      </c>
      <c r="G31" s="22">
        <f>E31*F31</f>
        <v>0.12012</v>
      </c>
      <c r="H31" s="22">
        <f>G31-D31</f>
        <v>0</v>
      </c>
      <c r="I31" s="23">
        <f t="shared" ref="I31" si="7">IF(ISERROR(H31/D31),0,(H31/D31))</f>
        <v>0</v>
      </c>
      <c r="J31" s="125">
        <f t="shared" ref="J31" si="8">G31/$G$39</f>
        <v>2.102231673280856E-3</v>
      </c>
    </row>
    <row r="32" spans="1:10" x14ac:dyDescent="0.2">
      <c r="A32" s="107" t="s">
        <v>44</v>
      </c>
      <c r="B32" s="73">
        <v>1</v>
      </c>
      <c r="C32" s="22">
        <v>0.25</v>
      </c>
      <c r="D32" s="22">
        <f>B32*C32</f>
        <v>0.25</v>
      </c>
      <c r="E32" s="73">
        <f t="shared" si="4"/>
        <v>1</v>
      </c>
      <c r="F32" s="22">
        <f>C32</f>
        <v>0.25</v>
      </c>
      <c r="G32" s="22">
        <f>E32*F32</f>
        <v>0.25</v>
      </c>
      <c r="H32" s="22">
        <f t="shared" si="2"/>
        <v>0</v>
      </c>
      <c r="I32" s="23">
        <f t="shared" si="3"/>
        <v>0</v>
      </c>
      <c r="J32" s="125">
        <f t="shared" ref="J32:J39" si="9">G32/$G$39</f>
        <v>4.3752740452898268E-3</v>
      </c>
    </row>
    <row r="33" spans="1:10" s="1" customFormat="1" x14ac:dyDescent="0.2">
      <c r="A33" s="110" t="s">
        <v>45</v>
      </c>
      <c r="B33" s="74"/>
      <c r="C33" s="35"/>
      <c r="D33" s="35">
        <f>SUM(D29:D32)</f>
        <v>0.99256</v>
      </c>
      <c r="E33" s="73"/>
      <c r="F33" s="35"/>
      <c r="G33" s="35">
        <f>SUM(G29:G32)</f>
        <v>0.99256</v>
      </c>
      <c r="H33" s="35">
        <f t="shared" si="2"/>
        <v>0</v>
      </c>
      <c r="I33" s="36">
        <f t="shared" si="3"/>
        <v>0</v>
      </c>
      <c r="J33" s="111">
        <f t="shared" si="9"/>
        <v>1.7370888025571483E-2</v>
      </c>
    </row>
    <row r="34" spans="1:10" ht="13.5" thickBot="1" x14ac:dyDescent="0.25">
      <c r="A34" s="112" t="s">
        <v>46</v>
      </c>
      <c r="B34" s="113">
        <f>B4</f>
        <v>100</v>
      </c>
      <c r="C34" s="114">
        <v>7.0000000000000001E-3</v>
      </c>
      <c r="D34" s="115">
        <f>B34*C34</f>
        <v>0.70000000000000007</v>
      </c>
      <c r="E34" s="116">
        <f t="shared" si="4"/>
        <v>100</v>
      </c>
      <c r="F34" s="114">
        <f>C34</f>
        <v>7.0000000000000001E-3</v>
      </c>
      <c r="G34" s="115">
        <f>E34*F34</f>
        <v>0.70000000000000007</v>
      </c>
      <c r="H34" s="115">
        <f t="shared" si="2"/>
        <v>0</v>
      </c>
      <c r="I34" s="117">
        <f t="shared" si="3"/>
        <v>0</v>
      </c>
      <c r="J34" s="118">
        <f t="shared" si="9"/>
        <v>1.2250767326811516E-2</v>
      </c>
    </row>
    <row r="35" spans="1:10" x14ac:dyDescent="0.2">
      <c r="A35" s="37" t="s">
        <v>146</v>
      </c>
      <c r="B35" s="38"/>
      <c r="C35" s="39"/>
      <c r="D35" s="39">
        <f>SUM(D14,D24,D27,D33,D34)</f>
        <v>53.76545800000001</v>
      </c>
      <c r="E35" s="38"/>
      <c r="F35" s="39"/>
      <c r="G35" s="39">
        <f>SUM(G14,G24,G27,G33,G34)</f>
        <v>54.41836</v>
      </c>
      <c r="H35" s="39">
        <f t="shared" si="2"/>
        <v>0.65290199999999032</v>
      </c>
      <c r="I35" s="40">
        <f>IF(ISERROR(H35/D35),0,(H35/D35))</f>
        <v>1.2143521589642001E-2</v>
      </c>
      <c r="J35" s="41">
        <f t="shared" si="9"/>
        <v>0.95238095238095244</v>
      </c>
    </row>
    <row r="36" spans="1:10" x14ac:dyDescent="0.2">
      <c r="A36" s="46" t="s">
        <v>138</v>
      </c>
      <c r="B36" s="43"/>
      <c r="C36" s="26">
        <v>0.13</v>
      </c>
      <c r="D36" s="26">
        <f>D35*C36</f>
        <v>6.9895095400000011</v>
      </c>
      <c r="E36" s="26"/>
      <c r="F36" s="26">
        <f>C36</f>
        <v>0.13</v>
      </c>
      <c r="G36" s="26">
        <f>G35*F36</f>
        <v>7.0743868000000001</v>
      </c>
      <c r="H36" s="26">
        <f t="shared" si="2"/>
        <v>8.4877259999998955E-2</v>
      </c>
      <c r="I36" s="44">
        <f t="shared" si="3"/>
        <v>1.2143521589642031E-2</v>
      </c>
      <c r="J36" s="45">
        <f t="shared" si="9"/>
        <v>0.12380952380952381</v>
      </c>
    </row>
    <row r="37" spans="1:10" x14ac:dyDescent="0.2">
      <c r="A37" s="46" t="s">
        <v>139</v>
      </c>
      <c r="B37" s="24"/>
      <c r="C37" s="25"/>
      <c r="D37" s="25">
        <f>SUM(D35:D36)</f>
        <v>60.75496754000001</v>
      </c>
      <c r="E37" s="25"/>
      <c r="F37" s="25"/>
      <c r="G37" s="25">
        <f>SUM(G35:G36)</f>
        <v>61.492746799999999</v>
      </c>
      <c r="H37" s="25">
        <f t="shared" si="2"/>
        <v>0.73777925999998928</v>
      </c>
      <c r="I37" s="27">
        <f t="shared" si="3"/>
        <v>1.2143521589642004E-2</v>
      </c>
      <c r="J37" s="47">
        <f t="shared" si="9"/>
        <v>1.0761904761904761</v>
      </c>
    </row>
    <row r="38" spans="1:10" x14ac:dyDescent="0.2">
      <c r="A38" s="46" t="s">
        <v>140</v>
      </c>
      <c r="B38" s="43"/>
      <c r="C38" s="26">
        <v>-0.08</v>
      </c>
      <c r="D38" s="26">
        <f>D35*C38</f>
        <v>-4.3012366400000008</v>
      </c>
      <c r="E38" s="26"/>
      <c r="F38" s="26">
        <f>C38</f>
        <v>-0.08</v>
      </c>
      <c r="G38" s="26">
        <f>G35*F38</f>
        <v>-4.3534687999999999</v>
      </c>
      <c r="H38" s="26">
        <f t="shared" si="2"/>
        <v>-5.2232159999999084E-2</v>
      </c>
      <c r="I38" s="44">
        <f t="shared" si="3"/>
        <v>1.2143521589641966E-2</v>
      </c>
      <c r="J38" s="45">
        <f t="shared" si="9"/>
        <v>-7.6190476190476197E-2</v>
      </c>
    </row>
    <row r="39" spans="1:10" ht="13.5" thickBot="1" x14ac:dyDescent="0.25">
      <c r="A39" s="46" t="s">
        <v>141</v>
      </c>
      <c r="B39" s="49"/>
      <c r="C39" s="50"/>
      <c r="D39" s="50">
        <f>SUM(D37:D38)</f>
        <v>56.453730900000011</v>
      </c>
      <c r="E39" s="50"/>
      <c r="F39" s="50"/>
      <c r="G39" s="50">
        <f>SUM(G37:G38)</f>
        <v>57.139277999999997</v>
      </c>
      <c r="H39" s="50">
        <f t="shared" si="2"/>
        <v>0.68554709999998664</v>
      </c>
      <c r="I39" s="51">
        <f t="shared" si="3"/>
        <v>1.2143521589641944E-2</v>
      </c>
      <c r="J39" s="52">
        <f t="shared" si="9"/>
        <v>1</v>
      </c>
    </row>
    <row r="40" spans="1:10" x14ac:dyDescent="0.2">
      <c r="D40" s="72"/>
      <c r="F40" s="69"/>
    </row>
    <row r="41" spans="1:10" x14ac:dyDescent="0.2">
      <c r="F41" s="69"/>
    </row>
    <row r="42" spans="1:10" x14ac:dyDescent="0.2">
      <c r="A42" s="70"/>
      <c r="B42" s="71"/>
      <c r="F42" s="69"/>
    </row>
    <row r="43" spans="1:10" x14ac:dyDescent="0.2">
      <c r="B43" s="72"/>
      <c r="D43" s="72"/>
      <c r="F43" s="69"/>
    </row>
    <row r="44" spans="1:10" x14ac:dyDescent="0.2">
      <c r="F44" s="69"/>
    </row>
    <row r="45" spans="1:10" x14ac:dyDescent="0.2">
      <c r="F45" s="69"/>
    </row>
    <row r="46" spans="1:10" x14ac:dyDescent="0.2">
      <c r="F46" s="69"/>
    </row>
    <row r="47" spans="1:10" x14ac:dyDescent="0.2">
      <c r="F47" s="69"/>
    </row>
    <row r="48" spans="1:10" x14ac:dyDescent="0.2">
      <c r="F48" s="69"/>
    </row>
    <row r="49" spans="6:6" x14ac:dyDescent="0.2">
      <c r="F49" s="69"/>
    </row>
    <row r="50" spans="6:6" x14ac:dyDescent="0.2">
      <c r="F50" s="69"/>
    </row>
  </sheetData>
  <mergeCells count="1">
    <mergeCell ref="A1:J1"/>
  </mergeCell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Impacts'!$A$3:$A$11</xm:f>
          </x14:formula1>
          <xm:sqref>B3</xm:sqref>
        </x14:dataValidation>
      </x14:dataValidation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tabColor theme="1" tint="0.499984740745262"/>
    <pageSetUpPr fitToPage="1"/>
  </sheetPr>
  <dimension ref="A1:J50"/>
  <sheetViews>
    <sheetView topLeftCell="A7" workbookViewId="0">
      <selection activeCell="C19" sqref="C19"/>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48" t="s">
        <v>112</v>
      </c>
      <c r="B1" s="349"/>
      <c r="C1" s="349"/>
      <c r="D1" s="349"/>
      <c r="E1" s="349"/>
      <c r="F1" s="349"/>
      <c r="G1" s="349"/>
      <c r="H1" s="349"/>
      <c r="I1" s="349"/>
      <c r="J1" s="350"/>
    </row>
    <row r="3" spans="1:10" x14ac:dyDescent="0.2">
      <c r="A3" s="13" t="s">
        <v>13</v>
      </c>
      <c r="B3" s="13" t="s">
        <v>12</v>
      </c>
    </row>
    <row r="4" spans="1:10" x14ac:dyDescent="0.2">
      <c r="A4" s="15" t="s">
        <v>62</v>
      </c>
      <c r="B4" s="79">
        <f>'Data for Bill Impacts_HONI Avg '!C11</f>
        <v>364</v>
      </c>
    </row>
    <row r="5" spans="1:10" x14ac:dyDescent="0.2">
      <c r="A5" s="15" t="s">
        <v>16</v>
      </c>
      <c r="B5" s="15">
        <f>VLOOKUP($B$3,'Data for Bill Impacts'!$A$3:$Y$15,5,0)</f>
        <v>0</v>
      </c>
    </row>
    <row r="6" spans="1:10" x14ac:dyDescent="0.2">
      <c r="A6" s="15" t="s">
        <v>20</v>
      </c>
      <c r="B6" s="15">
        <f>VLOOKUP($B$3,'Data for Bill Impacts'!$A$3:$Y$15,2,0)</f>
        <v>1.0920000000000001</v>
      </c>
    </row>
    <row r="7" spans="1:10" x14ac:dyDescent="0.2">
      <c r="A7" s="15" t="s">
        <v>15</v>
      </c>
      <c r="B7" s="15">
        <f>VLOOKUP($B$3,'Data for Bill Impacts'!$A$3:$Y$15,4,0)</f>
        <v>750</v>
      </c>
    </row>
    <row r="8" spans="1:10" x14ac:dyDescent="0.2">
      <c r="A8" s="15" t="s">
        <v>82</v>
      </c>
      <c r="B8" s="193">
        <f>B4*B6</f>
        <v>397.48800000000006</v>
      </c>
    </row>
    <row r="9" spans="1:10" x14ac:dyDescent="0.2">
      <c r="A9" s="15" t="s">
        <v>21</v>
      </c>
      <c r="B9" s="16" t="str">
        <f>VLOOKUP($B$3,'Data for Bill Impacts'!$A$3:$Y$15,6,0)</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3" t="s">
        <v>29</v>
      </c>
    </row>
    <row r="12" spans="1:10" x14ac:dyDescent="0.2">
      <c r="A12" s="101" t="s">
        <v>31</v>
      </c>
      <c r="B12" s="102">
        <f>IF(B4&gt;B7,B7,B4)</f>
        <v>364</v>
      </c>
      <c r="C12" s="103">
        <v>0.10299999999999999</v>
      </c>
      <c r="D12" s="104">
        <f>B12*C12</f>
        <v>37.491999999999997</v>
      </c>
      <c r="E12" s="102">
        <f>B12</f>
        <v>364</v>
      </c>
      <c r="F12" s="103">
        <f>C12</f>
        <v>0.10299999999999999</v>
      </c>
      <c r="G12" s="104">
        <f>E12*F12</f>
        <v>37.491999999999997</v>
      </c>
      <c r="H12" s="104">
        <f>G12-D12</f>
        <v>0</v>
      </c>
      <c r="I12" s="105">
        <f>IF(ISERROR(H12/D12),0,(H12/D12))</f>
        <v>0</v>
      </c>
      <c r="J12" s="124">
        <f t="shared" ref="J12:J39" si="0">G12/$G$39</f>
        <v>0.36269117108981141</v>
      </c>
    </row>
    <row r="13" spans="1:10" x14ac:dyDescent="0.2">
      <c r="A13" s="107" t="s">
        <v>32</v>
      </c>
      <c r="B13" s="73">
        <f>IF(B4&gt;B7,(B4)-B7,0)</f>
        <v>0</v>
      </c>
      <c r="C13" s="21">
        <v>0.121</v>
      </c>
      <c r="D13" s="22">
        <f>B13*C13</f>
        <v>0</v>
      </c>
      <c r="E13" s="73">
        <f t="shared" ref="E13" si="1">B13</f>
        <v>0</v>
      </c>
      <c r="F13" s="21">
        <f>C13</f>
        <v>0.121</v>
      </c>
      <c r="G13" s="22">
        <f>E13*F13</f>
        <v>0</v>
      </c>
      <c r="H13" s="22">
        <f t="shared" ref="H13:H39" si="2">G13-D13</f>
        <v>0</v>
      </c>
      <c r="I13" s="23">
        <f t="shared" ref="I13:I39" si="3">IF(ISERROR(H13/D13),0,(H13/D13))</f>
        <v>0</v>
      </c>
      <c r="J13" s="125">
        <f t="shared" si="0"/>
        <v>0</v>
      </c>
    </row>
    <row r="14" spans="1:10" s="1" customFormat="1" x14ac:dyDescent="0.2">
      <c r="A14" s="46" t="s">
        <v>33</v>
      </c>
      <c r="B14" s="24"/>
      <c r="C14" s="25"/>
      <c r="D14" s="25">
        <f>SUM(D12:D13)</f>
        <v>37.491999999999997</v>
      </c>
      <c r="E14" s="76"/>
      <c r="F14" s="25"/>
      <c r="G14" s="25">
        <f>SUM(G12:G13)</f>
        <v>37.491999999999997</v>
      </c>
      <c r="H14" s="25">
        <f t="shared" si="2"/>
        <v>0</v>
      </c>
      <c r="I14" s="27">
        <f t="shared" si="3"/>
        <v>0</v>
      </c>
      <c r="J14" s="47">
        <f t="shared" si="0"/>
        <v>0.36269117108981141</v>
      </c>
    </row>
    <row r="15" spans="1:10" x14ac:dyDescent="0.2">
      <c r="A15" s="107" t="s">
        <v>38</v>
      </c>
      <c r="B15" s="73">
        <v>1</v>
      </c>
      <c r="C15" s="78">
        <f>VLOOKUP($B$3,'Data for Bill Impacts'!$A$3:$Y$15,7,0)</f>
        <v>36.880000000000003</v>
      </c>
      <c r="D15" s="22">
        <f>B15*C15</f>
        <v>36.880000000000003</v>
      </c>
      <c r="E15" s="73">
        <f t="shared" ref="E15:E34" si="4">B15</f>
        <v>1</v>
      </c>
      <c r="F15" s="78">
        <f>VLOOKUP($B$3,'Data for Bill Impacts'!$A$3:$Y$15,17,0)</f>
        <v>37.5</v>
      </c>
      <c r="G15" s="22">
        <f>E15*F15</f>
        <v>37.5</v>
      </c>
      <c r="H15" s="22">
        <f t="shared" si="2"/>
        <v>0.61999999999999744</v>
      </c>
      <c r="I15" s="23">
        <f t="shared" si="3"/>
        <v>1.6811279826464139E-2</v>
      </c>
      <c r="J15" s="125">
        <f t="shared" si="0"/>
        <v>0.36276856171631094</v>
      </c>
    </row>
    <row r="16" spans="1:10" hidden="1" x14ac:dyDescent="0.2">
      <c r="A16" s="107" t="s">
        <v>90</v>
      </c>
      <c r="B16" s="73">
        <v>1</v>
      </c>
      <c r="C16" s="78">
        <v>0</v>
      </c>
      <c r="D16" s="22">
        <f>B16*C16</f>
        <v>0</v>
      </c>
      <c r="E16" s="73">
        <f t="shared" si="4"/>
        <v>1</v>
      </c>
      <c r="F16" s="78">
        <v>0</v>
      </c>
      <c r="G16" s="22">
        <f t="shared" ref="G16:G18" si="5">E16*F16</f>
        <v>0</v>
      </c>
      <c r="H16" s="22">
        <f t="shared" si="2"/>
        <v>0</v>
      </c>
      <c r="I16" s="23">
        <f t="shared" si="3"/>
        <v>0</v>
      </c>
      <c r="J16" s="125">
        <f t="shared" si="0"/>
        <v>0</v>
      </c>
    </row>
    <row r="17" spans="1:10" hidden="1" x14ac:dyDescent="0.2">
      <c r="A17" s="107" t="s">
        <v>84</v>
      </c>
      <c r="B17" s="73">
        <v>1</v>
      </c>
      <c r="C17" s="78">
        <v>0</v>
      </c>
      <c r="D17" s="22">
        <f t="shared" ref="D17:D18" si="6">B17*C17</f>
        <v>0</v>
      </c>
      <c r="E17" s="73">
        <f t="shared" si="4"/>
        <v>1</v>
      </c>
      <c r="F17" s="78">
        <v>0</v>
      </c>
      <c r="G17" s="22">
        <f t="shared" si="5"/>
        <v>0</v>
      </c>
      <c r="H17" s="22">
        <f t="shared" si="2"/>
        <v>0</v>
      </c>
      <c r="I17" s="23">
        <f t="shared" si="3"/>
        <v>0</v>
      </c>
      <c r="J17" s="125">
        <f t="shared" si="0"/>
        <v>0</v>
      </c>
    </row>
    <row r="18" spans="1:10" x14ac:dyDescent="0.2">
      <c r="A18" s="107" t="s">
        <v>85</v>
      </c>
      <c r="B18" s="73">
        <v>1</v>
      </c>
      <c r="C18" s="78">
        <f>VLOOKUP($B$3,'Data for Bill Impacts'!$A$3:$Y$15,13,0)</f>
        <v>-0.01</v>
      </c>
      <c r="D18" s="22">
        <f t="shared" si="6"/>
        <v>-0.01</v>
      </c>
      <c r="E18" s="73">
        <f t="shared" si="4"/>
        <v>1</v>
      </c>
      <c r="F18" s="78">
        <f>VLOOKUP($B$3,'Data for Bill Impacts'!$A$3:$Y$15,22,0)</f>
        <v>-0.01</v>
      </c>
      <c r="G18" s="22">
        <f t="shared" si="5"/>
        <v>-0.01</v>
      </c>
      <c r="H18" s="22">
        <f t="shared" si="2"/>
        <v>0</v>
      </c>
      <c r="I18" s="23">
        <f t="shared" si="3"/>
        <v>0</v>
      </c>
      <c r="J18" s="125">
        <f t="shared" si="0"/>
        <v>-9.6738283124349575E-5</v>
      </c>
    </row>
    <row r="19" spans="1:10" x14ac:dyDescent="0.2">
      <c r="A19" s="107" t="s">
        <v>39</v>
      </c>
      <c r="B19" s="73">
        <f>IF($B$9="kWh",$B$4,$B$5)</f>
        <v>364</v>
      </c>
      <c r="C19" s="126">
        <f>VLOOKUP($B$3,'Data for Bill Impacts'!$A$3:$Y$15,10,0)</f>
        <v>0.03</v>
      </c>
      <c r="D19" s="22">
        <f>B19*C19</f>
        <v>10.92</v>
      </c>
      <c r="E19" s="73">
        <f t="shared" si="4"/>
        <v>364</v>
      </c>
      <c r="F19" s="78">
        <f>VLOOKUP($B$3,'Data for Bill Impacts'!$A$3:$Y$15,19,0)</f>
        <v>3.04E-2</v>
      </c>
      <c r="G19" s="22">
        <f>E19*F19</f>
        <v>11.0656</v>
      </c>
      <c r="H19" s="22">
        <f t="shared" si="2"/>
        <v>0.14559999999999995</v>
      </c>
      <c r="I19" s="23">
        <f t="shared" si="3"/>
        <v>1.3333333333333329E-2</v>
      </c>
      <c r="J19" s="125">
        <f t="shared" si="0"/>
        <v>0.10704671457408027</v>
      </c>
    </row>
    <row r="20" spans="1:10" s="1" customFormat="1" x14ac:dyDescent="0.2">
      <c r="A20" s="107" t="s">
        <v>194</v>
      </c>
      <c r="B20" s="73">
        <f>IF($B$9="kWh",$B$4,$B$5)</f>
        <v>364</v>
      </c>
      <c r="C20" s="126">
        <f>VLOOKUP($B$3,'Data for Bill Impacts'!$A$3:$Y$15,14,0)</f>
        <v>2.0000000000000001E-4</v>
      </c>
      <c r="D20" s="22">
        <f>B20*C20</f>
        <v>7.2800000000000004E-2</v>
      </c>
      <c r="E20" s="73">
        <f>B20</f>
        <v>364</v>
      </c>
      <c r="F20" s="126">
        <f>VLOOKUP($B$3,'Data for Bill Impacts'!$A$3:$Y$15,23,0)</f>
        <v>2.0000000000000001E-4</v>
      </c>
      <c r="G20" s="22">
        <f>E20*F20</f>
        <v>7.2800000000000004E-2</v>
      </c>
      <c r="H20" s="22">
        <f>G20-D20</f>
        <v>0</v>
      </c>
      <c r="I20" s="23">
        <f>IF(ISERROR(H20/D20),0,(H20/D20))</f>
        <v>0</v>
      </c>
      <c r="J20" s="125">
        <f t="shared" si="0"/>
        <v>7.0425470114526497E-4</v>
      </c>
    </row>
    <row r="21" spans="1:10" hidden="1" x14ac:dyDescent="0.2">
      <c r="A21" s="107" t="s">
        <v>86</v>
      </c>
      <c r="B21" s="73">
        <f>IF($B$9="kWh",$B$4,$B$5)</f>
        <v>364</v>
      </c>
      <c r="C21" s="126">
        <v>0</v>
      </c>
      <c r="D21" s="22">
        <f>B21*C21</f>
        <v>0</v>
      </c>
      <c r="E21" s="73">
        <f t="shared" si="4"/>
        <v>364</v>
      </c>
      <c r="F21" s="78">
        <v>0</v>
      </c>
      <c r="G21" s="22">
        <f>E21*F21</f>
        <v>0</v>
      </c>
      <c r="H21" s="22">
        <f t="shared" si="2"/>
        <v>0</v>
      </c>
      <c r="I21" s="23">
        <f>IF(ISERROR(H21/D21),0,(H21/D21))</f>
        <v>0</v>
      </c>
      <c r="J21" s="125">
        <f t="shared" si="0"/>
        <v>0</v>
      </c>
    </row>
    <row r="22" spans="1:10" x14ac:dyDescent="0.2">
      <c r="A22" s="110" t="s">
        <v>72</v>
      </c>
      <c r="B22" s="74"/>
      <c r="C22" s="35"/>
      <c r="D22" s="35">
        <f>SUM(D15:D21)</f>
        <v>47.862800000000007</v>
      </c>
      <c r="E22" s="73"/>
      <c r="F22" s="35"/>
      <c r="G22" s="35">
        <f>SUM(G15:G21)</f>
        <v>48.628399999999999</v>
      </c>
      <c r="H22" s="35">
        <f t="shared" si="2"/>
        <v>0.76559999999999206</v>
      </c>
      <c r="I22" s="36">
        <f t="shared" si="3"/>
        <v>1.5995721102818723E-2</v>
      </c>
      <c r="J22" s="111">
        <f t="shared" si="0"/>
        <v>0.47042279270841209</v>
      </c>
    </row>
    <row r="23" spans="1:10" s="1" customFormat="1" x14ac:dyDescent="0.2">
      <c r="A23" s="119" t="s">
        <v>81</v>
      </c>
      <c r="B23" s="120">
        <f>B8-B4</f>
        <v>33.488000000000056</v>
      </c>
      <c r="C23" s="121">
        <f>IF(B4&gt;B7,C13,C12)</f>
        <v>0.10299999999999999</v>
      </c>
      <c r="D23" s="22">
        <f>B23*C23</f>
        <v>3.4492640000000057</v>
      </c>
      <c r="E23" s="73">
        <f>B23</f>
        <v>33.488000000000056</v>
      </c>
      <c r="F23" s="121">
        <f>C23</f>
        <v>0.10299999999999999</v>
      </c>
      <c r="G23" s="22">
        <f>E23*F23</f>
        <v>3.4492640000000057</v>
      </c>
      <c r="H23" s="22">
        <f t="shared" si="2"/>
        <v>0</v>
      </c>
      <c r="I23" s="23">
        <f>IF(ISERROR(H23/D23),0,(H23/D23))</f>
        <v>0</v>
      </c>
      <c r="J23" s="125">
        <f t="shared" si="0"/>
        <v>3.3367587740262709E-2</v>
      </c>
    </row>
    <row r="24" spans="1:10" x14ac:dyDescent="0.2">
      <c r="A24" s="110" t="s">
        <v>79</v>
      </c>
      <c r="B24" s="74"/>
      <c r="C24" s="35"/>
      <c r="D24" s="35">
        <f>SUM(D22,D23:D23)</f>
        <v>51.312064000000014</v>
      </c>
      <c r="E24" s="73"/>
      <c r="F24" s="35"/>
      <c r="G24" s="35">
        <f>SUM(G22,G23:G23)</f>
        <v>52.077664000000006</v>
      </c>
      <c r="H24" s="35">
        <f t="shared" si="2"/>
        <v>0.76559999999999206</v>
      </c>
      <c r="I24" s="36">
        <f>IF(ISERROR(H24/D24),0,(H24/D24))</f>
        <v>1.4920467826045584E-2</v>
      </c>
      <c r="J24" s="111">
        <f t="shared" si="0"/>
        <v>0.50379038044867486</v>
      </c>
    </row>
    <row r="25" spans="1:10" x14ac:dyDescent="0.2">
      <c r="A25" s="107" t="s">
        <v>40</v>
      </c>
      <c r="B25" s="73">
        <f>B8</f>
        <v>397.48800000000006</v>
      </c>
      <c r="C25" s="126">
        <f>VLOOKUP($B$3,'Data for Bill Impacts'!$A$3:$Y$15,15,0)</f>
        <v>4.7699999999999999E-3</v>
      </c>
      <c r="D25" s="22">
        <f>B25*C25</f>
        <v>1.8960177600000003</v>
      </c>
      <c r="E25" s="73">
        <f t="shared" si="4"/>
        <v>397.48800000000006</v>
      </c>
      <c r="F25" s="78">
        <f>VLOOKUP($B$3,'Data for Bill Impacts'!$A$3:$Y$15,24,0)</f>
        <v>4.7000000000000002E-3</v>
      </c>
      <c r="G25" s="22">
        <f>E25*F25</f>
        <v>1.8681936000000003</v>
      </c>
      <c r="H25" s="22">
        <f t="shared" si="2"/>
        <v>-2.7824159999999987E-2</v>
      </c>
      <c r="I25" s="23">
        <f t="shared" si="3"/>
        <v>-1.4675052410901458E-2</v>
      </c>
      <c r="J25" s="125">
        <f t="shared" si="0"/>
        <v>1.8072584140789792E-2</v>
      </c>
    </row>
    <row r="26" spans="1:10" s="1" customFormat="1" x14ac:dyDescent="0.2">
      <c r="A26" s="107" t="s">
        <v>41</v>
      </c>
      <c r="B26" s="73">
        <f>B8</f>
        <v>397.48800000000006</v>
      </c>
      <c r="C26" s="126">
        <f>VLOOKUP($B$3,'Data for Bill Impacts'!$A$3:$Y$15,16,0)</f>
        <v>3.7950000000000002E-3</v>
      </c>
      <c r="D26" s="22">
        <f>B26*C26</f>
        <v>1.5084669600000002</v>
      </c>
      <c r="E26" s="73">
        <f t="shared" si="4"/>
        <v>397.48800000000006</v>
      </c>
      <c r="F26" s="78">
        <f>VLOOKUP($B$3,'Data for Bill Impacts'!$A$3:$Y$15,25,0)</f>
        <v>3.8E-3</v>
      </c>
      <c r="G26" s="22">
        <f>E26*F26</f>
        <v>1.5104544000000002</v>
      </c>
      <c r="H26" s="22">
        <f t="shared" si="2"/>
        <v>1.9874399999999515E-3</v>
      </c>
      <c r="I26" s="23">
        <f t="shared" si="3"/>
        <v>1.317523056653459E-3</v>
      </c>
      <c r="J26" s="125">
        <f t="shared" si="0"/>
        <v>1.4611876539361959E-2</v>
      </c>
    </row>
    <row r="27" spans="1:10" s="1" customFormat="1" x14ac:dyDescent="0.2">
      <c r="A27" s="110" t="s">
        <v>76</v>
      </c>
      <c r="B27" s="74"/>
      <c r="C27" s="35"/>
      <c r="D27" s="35">
        <f>SUM(D25:D26)</f>
        <v>3.4044847200000006</v>
      </c>
      <c r="E27" s="73"/>
      <c r="F27" s="35"/>
      <c r="G27" s="35">
        <f>SUM(G25:G26)</f>
        <v>3.3786480000000005</v>
      </c>
      <c r="H27" s="35">
        <f t="shared" si="2"/>
        <v>-2.5836720000000035E-2</v>
      </c>
      <c r="I27" s="36">
        <f t="shared" si="3"/>
        <v>-7.589025102159962E-3</v>
      </c>
      <c r="J27" s="111">
        <f t="shared" si="0"/>
        <v>3.2684460680151753E-2</v>
      </c>
    </row>
    <row r="28" spans="1:10" s="1" customFormat="1" x14ac:dyDescent="0.2">
      <c r="A28" s="110" t="s">
        <v>80</v>
      </c>
      <c r="B28" s="74"/>
      <c r="C28" s="35"/>
      <c r="D28" s="35">
        <f>D24+D27</f>
        <v>54.716548720000013</v>
      </c>
      <c r="E28" s="73"/>
      <c r="F28" s="35"/>
      <c r="G28" s="35">
        <f>G24+G27</f>
        <v>55.456312000000004</v>
      </c>
      <c r="H28" s="35">
        <f t="shared" si="2"/>
        <v>0.73976327999999114</v>
      </c>
      <c r="I28" s="36">
        <f t="shared" si="3"/>
        <v>1.3519918512872004E-2</v>
      </c>
      <c r="J28" s="111">
        <f t="shared" si="0"/>
        <v>0.53647484112882649</v>
      </c>
    </row>
    <row r="29" spans="1:10" x14ac:dyDescent="0.2">
      <c r="A29" s="107" t="s">
        <v>42</v>
      </c>
      <c r="B29" s="73">
        <f>B8</f>
        <v>397.48800000000006</v>
      </c>
      <c r="C29" s="34">
        <v>3.5999999999999999E-3</v>
      </c>
      <c r="D29" s="22">
        <f>B29*C29</f>
        <v>1.4309568000000001</v>
      </c>
      <c r="E29" s="73">
        <f t="shared" si="4"/>
        <v>397.48800000000006</v>
      </c>
      <c r="F29" s="34">
        <v>3.5999999999999999E-3</v>
      </c>
      <c r="G29" s="22">
        <f>E29*F29</f>
        <v>1.4309568000000001</v>
      </c>
      <c r="H29" s="22">
        <f t="shared" si="2"/>
        <v>0</v>
      </c>
      <c r="I29" s="23">
        <f t="shared" si="3"/>
        <v>0</v>
      </c>
      <c r="J29" s="125">
        <f t="shared" si="0"/>
        <v>1.384283040571133E-2</v>
      </c>
    </row>
    <row r="30" spans="1:10" s="1" customFormat="1" x14ac:dyDescent="0.2">
      <c r="A30" s="107" t="s">
        <v>43</v>
      </c>
      <c r="B30" s="73">
        <f>B8</f>
        <v>397.48800000000006</v>
      </c>
      <c r="C30" s="34">
        <v>2.0999999999999999E-3</v>
      </c>
      <c r="D30" s="22">
        <f>B30*C30</f>
        <v>0.83472480000000004</v>
      </c>
      <c r="E30" s="73">
        <f t="shared" si="4"/>
        <v>397.48800000000006</v>
      </c>
      <c r="F30" s="34">
        <v>2.0999999999999999E-3</v>
      </c>
      <c r="G30" s="22">
        <f>E30*F30</f>
        <v>0.83472480000000004</v>
      </c>
      <c r="H30" s="22">
        <f>G30-D30</f>
        <v>0</v>
      </c>
      <c r="I30" s="23">
        <f t="shared" si="3"/>
        <v>0</v>
      </c>
      <c r="J30" s="125">
        <f t="shared" si="0"/>
        <v>8.074984403331608E-3</v>
      </c>
    </row>
    <row r="31" spans="1:10" s="1" customFormat="1" x14ac:dyDescent="0.2">
      <c r="A31" s="107" t="s">
        <v>100</v>
      </c>
      <c r="B31" s="73">
        <f>B8</f>
        <v>397.48800000000006</v>
      </c>
      <c r="C31" s="34">
        <v>1.1000000000000001E-3</v>
      </c>
      <c r="D31" s="22">
        <f>B31*C31</f>
        <v>0.43723680000000009</v>
      </c>
      <c r="E31" s="73">
        <f t="shared" si="4"/>
        <v>397.48800000000006</v>
      </c>
      <c r="F31" s="34">
        <v>1.1000000000000001E-3</v>
      </c>
      <c r="G31" s="22">
        <f>E31*F31</f>
        <v>0.43723680000000009</v>
      </c>
      <c r="H31" s="22">
        <f>G31-D31</f>
        <v>0</v>
      </c>
      <c r="I31" s="23">
        <f t="shared" si="3"/>
        <v>0</v>
      </c>
      <c r="J31" s="125">
        <f t="shared" si="0"/>
        <v>4.2297537350784618E-3</v>
      </c>
    </row>
    <row r="32" spans="1:10" x14ac:dyDescent="0.2">
      <c r="A32" s="107" t="s">
        <v>44</v>
      </c>
      <c r="B32" s="73">
        <v>1</v>
      </c>
      <c r="C32" s="22">
        <v>0.25</v>
      </c>
      <c r="D32" s="22">
        <f>B32*C32</f>
        <v>0.25</v>
      </c>
      <c r="E32" s="73">
        <f t="shared" si="4"/>
        <v>1</v>
      </c>
      <c r="F32" s="22">
        <f>C32</f>
        <v>0.25</v>
      </c>
      <c r="G32" s="22">
        <f>E32*F32</f>
        <v>0.25</v>
      </c>
      <c r="H32" s="22">
        <f t="shared" si="2"/>
        <v>0</v>
      </c>
      <c r="I32" s="23">
        <f t="shared" si="3"/>
        <v>0</v>
      </c>
      <c r="J32" s="125">
        <f t="shared" si="0"/>
        <v>2.4184570781087393E-3</v>
      </c>
    </row>
    <row r="33" spans="1:10" s="1" customFormat="1" x14ac:dyDescent="0.2">
      <c r="A33" s="110" t="s">
        <v>45</v>
      </c>
      <c r="B33" s="74"/>
      <c r="C33" s="35"/>
      <c r="D33" s="35">
        <f>SUM(D29:D32)</f>
        <v>2.9529184000000002</v>
      </c>
      <c r="E33" s="73"/>
      <c r="F33" s="35"/>
      <c r="G33" s="35">
        <f>SUM(G29:G32)</f>
        <v>2.9529184000000002</v>
      </c>
      <c r="H33" s="35">
        <f t="shared" si="2"/>
        <v>0</v>
      </c>
      <c r="I33" s="36">
        <f t="shared" si="3"/>
        <v>0</v>
      </c>
      <c r="J33" s="111">
        <f t="shared" si="0"/>
        <v>2.8566025622230137E-2</v>
      </c>
    </row>
    <row r="34" spans="1:10" ht="13.5" thickBot="1" x14ac:dyDescent="0.25">
      <c r="A34" s="112" t="s">
        <v>46</v>
      </c>
      <c r="B34" s="113">
        <f>B4</f>
        <v>364</v>
      </c>
      <c r="C34" s="114">
        <v>7.0000000000000001E-3</v>
      </c>
      <c r="D34" s="115">
        <f>B34*C34</f>
        <v>2.548</v>
      </c>
      <c r="E34" s="116">
        <f t="shared" si="4"/>
        <v>364</v>
      </c>
      <c r="F34" s="114">
        <f>C34</f>
        <v>7.0000000000000001E-3</v>
      </c>
      <c r="G34" s="115">
        <f>E34*F34</f>
        <v>2.548</v>
      </c>
      <c r="H34" s="115">
        <f t="shared" si="2"/>
        <v>0</v>
      </c>
      <c r="I34" s="117">
        <f t="shared" si="3"/>
        <v>0</v>
      </c>
      <c r="J34" s="118">
        <f t="shared" si="0"/>
        <v>2.4648914540084273E-2</v>
      </c>
    </row>
    <row r="35" spans="1:10" x14ac:dyDescent="0.2">
      <c r="A35" s="37" t="s">
        <v>146</v>
      </c>
      <c r="B35" s="38"/>
      <c r="C35" s="39"/>
      <c r="D35" s="39">
        <f>SUM(D14,D24,D27,D33,D34)</f>
        <v>97.709467120000014</v>
      </c>
      <c r="E35" s="38"/>
      <c r="F35" s="39"/>
      <c r="G35" s="39">
        <f>SUM(G14,G24,G27,G33,G34)</f>
        <v>98.449230400000005</v>
      </c>
      <c r="H35" s="39">
        <f t="shared" si="2"/>
        <v>0.73976327999999114</v>
      </c>
      <c r="I35" s="40">
        <f>IF(ISERROR(H35/D35),0,(H35/D35))</f>
        <v>7.5710501940560683E-3</v>
      </c>
      <c r="J35" s="41">
        <f t="shared" si="0"/>
        <v>0.95238095238095244</v>
      </c>
    </row>
    <row r="36" spans="1:10" x14ac:dyDescent="0.2">
      <c r="A36" s="46" t="s">
        <v>138</v>
      </c>
      <c r="B36" s="43"/>
      <c r="C36" s="26">
        <v>0.13</v>
      </c>
      <c r="D36" s="26">
        <f>D35*C36</f>
        <v>12.702230725600002</v>
      </c>
      <c r="E36" s="26"/>
      <c r="F36" s="26">
        <f>C36</f>
        <v>0.13</v>
      </c>
      <c r="G36" s="26">
        <f>G35*F36</f>
        <v>12.798399952</v>
      </c>
      <c r="H36" s="26">
        <f t="shared" si="2"/>
        <v>9.6169226399998919E-2</v>
      </c>
      <c r="I36" s="44">
        <f t="shared" si="3"/>
        <v>7.5710501940560743E-3</v>
      </c>
      <c r="J36" s="45">
        <f t="shared" si="0"/>
        <v>0.12380952380952381</v>
      </c>
    </row>
    <row r="37" spans="1:10" x14ac:dyDescent="0.2">
      <c r="A37" s="46" t="s">
        <v>139</v>
      </c>
      <c r="B37" s="24"/>
      <c r="C37" s="25"/>
      <c r="D37" s="25">
        <f>SUM(D35:D36)</f>
        <v>110.41169784560002</v>
      </c>
      <c r="E37" s="25"/>
      <c r="F37" s="25"/>
      <c r="G37" s="25">
        <f>SUM(G35:G36)</f>
        <v>111.247630352</v>
      </c>
      <c r="H37" s="25">
        <f t="shared" si="2"/>
        <v>0.83593250639998473</v>
      </c>
      <c r="I37" s="27">
        <f t="shared" si="3"/>
        <v>7.5710501940560206E-3</v>
      </c>
      <c r="J37" s="47">
        <f t="shared" si="0"/>
        <v>1.0761904761904761</v>
      </c>
    </row>
    <row r="38" spans="1:10" x14ac:dyDescent="0.2">
      <c r="A38" s="46" t="s">
        <v>140</v>
      </c>
      <c r="B38" s="43"/>
      <c r="C38" s="26">
        <v>-0.08</v>
      </c>
      <c r="D38" s="26">
        <f>D35*C38</f>
        <v>-7.8167573696000012</v>
      </c>
      <c r="E38" s="26"/>
      <c r="F38" s="26">
        <f>C38</f>
        <v>-0.08</v>
      </c>
      <c r="G38" s="26">
        <f>G35*F38</f>
        <v>-7.8759384320000008</v>
      </c>
      <c r="H38" s="26">
        <f t="shared" si="2"/>
        <v>-5.918106239999954E-2</v>
      </c>
      <c r="I38" s="44">
        <f t="shared" si="3"/>
        <v>7.5710501940561004E-3</v>
      </c>
      <c r="J38" s="45">
        <f t="shared" si="0"/>
        <v>-7.6190476190476197E-2</v>
      </c>
    </row>
    <row r="39" spans="1:10" ht="13.5" thickBot="1" x14ac:dyDescent="0.25">
      <c r="A39" s="46" t="s">
        <v>141</v>
      </c>
      <c r="B39" s="49"/>
      <c r="C39" s="50"/>
      <c r="D39" s="50">
        <f>SUM(D37:D38)</f>
        <v>102.59494047600002</v>
      </c>
      <c r="E39" s="50"/>
      <c r="F39" s="50"/>
      <c r="G39" s="50">
        <f>SUM(G37:G38)</f>
        <v>103.37169192</v>
      </c>
      <c r="H39" s="50">
        <f t="shared" si="2"/>
        <v>0.7767514439999843</v>
      </c>
      <c r="I39" s="51">
        <f t="shared" si="3"/>
        <v>7.5710501940560058E-3</v>
      </c>
      <c r="J39" s="52">
        <f t="shared" si="0"/>
        <v>1</v>
      </c>
    </row>
    <row r="40" spans="1:10" x14ac:dyDescent="0.2">
      <c r="D40" s="72"/>
      <c r="F40" s="69"/>
    </row>
    <row r="41" spans="1:10" x14ac:dyDescent="0.2">
      <c r="F41" s="69"/>
    </row>
    <row r="42" spans="1:10" x14ac:dyDescent="0.2">
      <c r="A42" s="70"/>
      <c r="B42" s="71"/>
      <c r="F42" s="69"/>
    </row>
    <row r="43" spans="1:10" x14ac:dyDescent="0.2">
      <c r="B43" s="72"/>
      <c r="D43" s="72"/>
      <c r="F43" s="69"/>
    </row>
    <row r="44" spans="1:10" x14ac:dyDescent="0.2">
      <c r="F44" s="69"/>
    </row>
    <row r="45" spans="1:10" x14ac:dyDescent="0.2">
      <c r="F45" s="69"/>
    </row>
    <row r="46" spans="1:10" x14ac:dyDescent="0.2">
      <c r="F46" s="69"/>
    </row>
    <row r="47" spans="1:10" x14ac:dyDescent="0.2">
      <c r="F47" s="69"/>
    </row>
    <row r="48" spans="1:10" x14ac:dyDescent="0.2">
      <c r="F48" s="69"/>
    </row>
    <row r="49" spans="6:6" x14ac:dyDescent="0.2">
      <c r="F49" s="69"/>
    </row>
    <row r="50" spans="6:6" x14ac:dyDescent="0.2">
      <c r="F50" s="69"/>
    </row>
  </sheetData>
  <mergeCells count="1">
    <mergeCell ref="A1:J1"/>
  </mergeCell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Impacts'!$A$3:$A$11</xm:f>
          </x14:formula1>
          <xm:sqref>B3</xm:sqref>
        </x14:dataValidation>
      </x14:dataValidation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tabColor theme="1" tint="0.499984740745262"/>
    <pageSetUpPr fitToPage="1"/>
  </sheetPr>
  <dimension ref="A1:J50"/>
  <sheetViews>
    <sheetView view="pageBreakPreview" topLeftCell="A7" zoomScaleNormal="100" zoomScaleSheetLayoutView="100" workbookViewId="0">
      <selection activeCell="C19" sqref="C19"/>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48" t="s">
        <v>111</v>
      </c>
      <c r="B1" s="349"/>
      <c r="C1" s="349"/>
      <c r="D1" s="349"/>
      <c r="E1" s="349"/>
      <c r="F1" s="349"/>
      <c r="G1" s="349"/>
      <c r="H1" s="349"/>
      <c r="I1" s="349"/>
      <c r="J1" s="350"/>
    </row>
    <row r="3" spans="1:10" x14ac:dyDescent="0.2">
      <c r="A3" s="13" t="s">
        <v>13</v>
      </c>
      <c r="B3" s="13" t="s">
        <v>12</v>
      </c>
    </row>
    <row r="4" spans="1:10" x14ac:dyDescent="0.2">
      <c r="A4" s="15" t="s">
        <v>62</v>
      </c>
      <c r="B4" s="15">
        <v>1000</v>
      </c>
    </row>
    <row r="5" spans="1:10" x14ac:dyDescent="0.2">
      <c r="A5" s="15" t="s">
        <v>16</v>
      </c>
      <c r="B5" s="15">
        <f>VLOOKUP($B$3,'Data for Bill Impacts'!$A$3:$Y$15,5,0)</f>
        <v>0</v>
      </c>
    </row>
    <row r="6" spans="1:10" x14ac:dyDescent="0.2">
      <c r="A6" s="15" t="s">
        <v>20</v>
      </c>
      <c r="B6" s="15">
        <f>VLOOKUP($B$3,'Data for Bill Impacts'!$A$3:$Y$15,2,0)</f>
        <v>1.0920000000000001</v>
      </c>
    </row>
    <row r="7" spans="1:10" x14ac:dyDescent="0.2">
      <c r="A7" s="15" t="s">
        <v>15</v>
      </c>
      <c r="B7" s="15">
        <f>VLOOKUP($B$3,'Data for Bill Impacts'!$A$3:$Y$15,4,0)</f>
        <v>750</v>
      </c>
    </row>
    <row r="8" spans="1:10" x14ac:dyDescent="0.2">
      <c r="A8" s="15" t="s">
        <v>82</v>
      </c>
      <c r="B8" s="15">
        <f>B4*B6</f>
        <v>1092</v>
      </c>
    </row>
    <row r="9" spans="1:10" x14ac:dyDescent="0.2">
      <c r="A9" s="15" t="s">
        <v>21</v>
      </c>
      <c r="B9" s="16" t="str">
        <f>VLOOKUP($B$3,'Data for Bill Impacts'!$A$3:$Y$15,6,0)</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3" t="s">
        <v>29</v>
      </c>
    </row>
    <row r="12" spans="1:10" x14ac:dyDescent="0.2">
      <c r="A12" s="101" t="s">
        <v>31</v>
      </c>
      <c r="B12" s="102">
        <f>IF(B4&gt;B7,B7,B4)</f>
        <v>750</v>
      </c>
      <c r="C12" s="103">
        <v>0.10299999999999999</v>
      </c>
      <c r="D12" s="104">
        <f>B12*C12</f>
        <v>77.25</v>
      </c>
      <c r="E12" s="102">
        <f>B12</f>
        <v>750</v>
      </c>
      <c r="F12" s="103">
        <f>C12</f>
        <v>0.10299999999999999</v>
      </c>
      <c r="G12" s="104">
        <f>E12*F12</f>
        <v>77.25</v>
      </c>
      <c r="H12" s="104">
        <f>G12-D12</f>
        <v>0</v>
      </c>
      <c r="I12" s="105">
        <f>IF(ISERROR(H12/D12),0,(H12/D12))</f>
        <v>0</v>
      </c>
      <c r="J12" s="124">
        <f t="shared" ref="J12:J30" si="0">G12/$G$39</f>
        <v>0.3492100258944319</v>
      </c>
    </row>
    <row r="13" spans="1:10" x14ac:dyDescent="0.2">
      <c r="A13" s="107" t="s">
        <v>32</v>
      </c>
      <c r="B13" s="73">
        <f>IF(B4&gt;B7,(B4)-B7,0)</f>
        <v>250</v>
      </c>
      <c r="C13" s="21">
        <v>0.121</v>
      </c>
      <c r="D13" s="22">
        <f>B13*C13</f>
        <v>30.25</v>
      </c>
      <c r="E13" s="73">
        <f t="shared" ref="E13" si="1">B13</f>
        <v>250</v>
      </c>
      <c r="F13" s="21">
        <f>C13</f>
        <v>0.121</v>
      </c>
      <c r="G13" s="22">
        <f>E13*F13</f>
        <v>30.25</v>
      </c>
      <c r="H13" s="22">
        <f t="shared" ref="H13:H39" si="2">G13-D13</f>
        <v>0</v>
      </c>
      <c r="I13" s="23">
        <f t="shared" ref="I13:I39" si="3">IF(ISERROR(H13/D13),0,(H13/D13))</f>
        <v>0</v>
      </c>
      <c r="J13" s="125">
        <f t="shared" si="0"/>
        <v>0.13674567357031153</v>
      </c>
    </row>
    <row r="14" spans="1:10" s="1" customFormat="1" x14ac:dyDescent="0.2">
      <c r="A14" s="46" t="s">
        <v>33</v>
      </c>
      <c r="B14" s="24"/>
      <c r="C14" s="25"/>
      <c r="D14" s="25">
        <f>SUM(D12:D13)</f>
        <v>107.5</v>
      </c>
      <c r="E14" s="76"/>
      <c r="F14" s="25"/>
      <c r="G14" s="25">
        <f>SUM(G12:G13)</f>
        <v>107.5</v>
      </c>
      <c r="H14" s="25">
        <f t="shared" si="2"/>
        <v>0</v>
      </c>
      <c r="I14" s="27">
        <f t="shared" si="3"/>
        <v>0</v>
      </c>
      <c r="J14" s="47">
        <f t="shared" si="0"/>
        <v>0.48595569946474343</v>
      </c>
    </row>
    <row r="15" spans="1:10" x14ac:dyDescent="0.2">
      <c r="A15" s="107" t="s">
        <v>38</v>
      </c>
      <c r="B15" s="73">
        <v>1</v>
      </c>
      <c r="C15" s="78">
        <f>VLOOKUP($B$3,'Data for Bill Impacts'!$A$3:$Y$15,7,0)</f>
        <v>36.880000000000003</v>
      </c>
      <c r="D15" s="22">
        <f>B15*C15</f>
        <v>36.880000000000003</v>
      </c>
      <c r="E15" s="73">
        <f t="shared" ref="E15:E34" si="4">B15</f>
        <v>1</v>
      </c>
      <c r="F15" s="122">
        <f>VLOOKUP($B$3,'Data for Bill Impacts'!$A$3:$Y$15,17,0)</f>
        <v>37.5</v>
      </c>
      <c r="G15" s="22">
        <f>E15*F15</f>
        <v>37.5</v>
      </c>
      <c r="H15" s="22">
        <f t="shared" si="2"/>
        <v>0.61999999999999744</v>
      </c>
      <c r="I15" s="23">
        <f t="shared" si="3"/>
        <v>1.6811279826464139E-2</v>
      </c>
      <c r="J15" s="125">
        <f t="shared" si="0"/>
        <v>0.16951943004584075</v>
      </c>
    </row>
    <row r="16" spans="1:10" hidden="1" x14ac:dyDescent="0.2">
      <c r="A16" s="107" t="s">
        <v>90</v>
      </c>
      <c r="B16" s="73">
        <v>1</v>
      </c>
      <c r="C16" s="78">
        <v>0</v>
      </c>
      <c r="D16" s="22">
        <f>B16*C16</f>
        <v>0</v>
      </c>
      <c r="E16" s="73">
        <f t="shared" si="4"/>
        <v>1</v>
      </c>
      <c r="F16" s="78">
        <v>0</v>
      </c>
      <c r="G16" s="22">
        <f t="shared" ref="G16:G18" si="5">E16*F16</f>
        <v>0</v>
      </c>
      <c r="H16" s="22">
        <f t="shared" si="2"/>
        <v>0</v>
      </c>
      <c r="I16" s="23">
        <f t="shared" si="3"/>
        <v>0</v>
      </c>
      <c r="J16" s="125">
        <f t="shared" si="0"/>
        <v>0</v>
      </c>
    </row>
    <row r="17" spans="1:10" hidden="1" x14ac:dyDescent="0.2">
      <c r="A17" s="107" t="s">
        <v>84</v>
      </c>
      <c r="B17" s="73">
        <v>1</v>
      </c>
      <c r="C17" s="78">
        <v>0</v>
      </c>
      <c r="D17" s="22">
        <f t="shared" ref="D17:D18" si="6">B17*C17</f>
        <v>0</v>
      </c>
      <c r="E17" s="73">
        <f t="shared" si="4"/>
        <v>1</v>
      </c>
      <c r="F17" s="78">
        <v>0</v>
      </c>
      <c r="G17" s="22">
        <f t="shared" si="5"/>
        <v>0</v>
      </c>
      <c r="H17" s="22">
        <f t="shared" si="2"/>
        <v>0</v>
      </c>
      <c r="I17" s="23">
        <f t="shared" si="3"/>
        <v>0</v>
      </c>
      <c r="J17" s="125">
        <f t="shared" si="0"/>
        <v>0</v>
      </c>
    </row>
    <row r="18" spans="1:10" x14ac:dyDescent="0.2">
      <c r="A18" s="107" t="s">
        <v>85</v>
      </c>
      <c r="B18" s="73">
        <v>1</v>
      </c>
      <c r="C18" s="78">
        <f>VLOOKUP($B$3,'Data for Bill Impacts'!$A$3:$Y$15,13,0)</f>
        <v>-0.01</v>
      </c>
      <c r="D18" s="22">
        <f t="shared" si="6"/>
        <v>-0.01</v>
      </c>
      <c r="E18" s="73">
        <f t="shared" si="4"/>
        <v>1</v>
      </c>
      <c r="F18" s="78">
        <f>VLOOKUP($B$3,'Data for Bill Impacts'!$A$3:$Y$15,22,0)</f>
        <v>-0.01</v>
      </c>
      <c r="G18" s="22">
        <f t="shared" si="5"/>
        <v>-0.01</v>
      </c>
      <c r="H18" s="22">
        <f t="shared" si="2"/>
        <v>0</v>
      </c>
      <c r="I18" s="23">
        <f t="shared" si="3"/>
        <v>0</v>
      </c>
      <c r="J18" s="125">
        <f t="shared" si="0"/>
        <v>-4.5205181345557533E-5</v>
      </c>
    </row>
    <row r="19" spans="1:10" x14ac:dyDescent="0.2">
      <c r="A19" s="107" t="s">
        <v>39</v>
      </c>
      <c r="B19" s="73">
        <f>IF($B$9="kWh",$B$4,$B$5)</f>
        <v>1000</v>
      </c>
      <c r="C19" s="126">
        <f>VLOOKUP($B$3,'Data for Bill Impacts'!$A$3:$Y$15,10,0)</f>
        <v>0.03</v>
      </c>
      <c r="D19" s="22">
        <f>B19*C19</f>
        <v>30</v>
      </c>
      <c r="E19" s="73">
        <f t="shared" si="4"/>
        <v>1000</v>
      </c>
      <c r="F19" s="78">
        <f>VLOOKUP($B$3,'Data for Bill Impacts'!$A$3:$Y$15,19,0)</f>
        <v>3.04E-2</v>
      </c>
      <c r="G19" s="22">
        <f>E19*F19</f>
        <v>30.4</v>
      </c>
      <c r="H19" s="22">
        <f t="shared" si="2"/>
        <v>0.39999999999999858</v>
      </c>
      <c r="I19" s="23">
        <f t="shared" si="3"/>
        <v>1.3333333333333286E-2</v>
      </c>
      <c r="J19" s="125">
        <f t="shared" si="0"/>
        <v>0.13742375129049489</v>
      </c>
    </row>
    <row r="20" spans="1:10" s="1" customFormat="1" x14ac:dyDescent="0.2">
      <c r="A20" s="107" t="s">
        <v>194</v>
      </c>
      <c r="B20" s="73">
        <f>IF($B$9="kWh",$B$4,$B$5)</f>
        <v>1000</v>
      </c>
      <c r="C20" s="126">
        <f>VLOOKUP($B$3,'Data for Bill Impacts'!$A$3:$Y$15,14,0)</f>
        <v>2.0000000000000001E-4</v>
      </c>
      <c r="D20" s="22">
        <f>B20*C20</f>
        <v>0.2</v>
      </c>
      <c r="E20" s="73">
        <f>B20</f>
        <v>1000</v>
      </c>
      <c r="F20" s="126">
        <f>VLOOKUP($B$3,'Data for Bill Impacts'!$A$3:$Y$15,23,0)</f>
        <v>2.0000000000000001E-4</v>
      </c>
      <c r="G20" s="22">
        <f>E20*F20</f>
        <v>0.2</v>
      </c>
      <c r="H20" s="22">
        <f>G20-D20</f>
        <v>0</v>
      </c>
      <c r="I20" s="23">
        <f>IF(ISERROR(H20/D20),0,(H20/D20))</f>
        <v>0</v>
      </c>
      <c r="J20" s="125">
        <f t="shared" si="0"/>
        <v>9.0410362691115066E-4</v>
      </c>
    </row>
    <row r="21" spans="1:10" hidden="1" x14ac:dyDescent="0.2">
      <c r="A21" s="107" t="s">
        <v>86</v>
      </c>
      <c r="B21" s="73">
        <f>IF($B$9="kWh",$B$4,$B$5)</f>
        <v>1000</v>
      </c>
      <c r="C21" s="126">
        <v>0</v>
      </c>
      <c r="D21" s="22">
        <f>B21*C21</f>
        <v>0</v>
      </c>
      <c r="E21" s="73">
        <f t="shared" si="4"/>
        <v>1000</v>
      </c>
      <c r="F21" s="78">
        <v>0</v>
      </c>
      <c r="G21" s="22">
        <f>E21*F21</f>
        <v>0</v>
      </c>
      <c r="H21" s="22">
        <f t="shared" si="2"/>
        <v>0</v>
      </c>
      <c r="I21" s="23">
        <f>IF(ISERROR(H21/D21),0,(H21/D21))</f>
        <v>0</v>
      </c>
      <c r="J21" s="125">
        <f t="shared" si="0"/>
        <v>0</v>
      </c>
    </row>
    <row r="22" spans="1:10" x14ac:dyDescent="0.2">
      <c r="A22" s="110" t="s">
        <v>72</v>
      </c>
      <c r="B22" s="74"/>
      <c r="C22" s="35"/>
      <c r="D22" s="35">
        <f>SUM(D15:D21)</f>
        <v>67.070000000000007</v>
      </c>
      <c r="E22" s="73"/>
      <c r="F22" s="35"/>
      <c r="G22" s="35">
        <f>SUM(G15:G21)</f>
        <v>68.09</v>
      </c>
      <c r="H22" s="35">
        <f t="shared" si="2"/>
        <v>1.019999999999996</v>
      </c>
      <c r="I22" s="36">
        <f t="shared" si="3"/>
        <v>1.5207991650514327E-2</v>
      </c>
      <c r="J22" s="111">
        <f t="shared" si="0"/>
        <v>0.30780207978190122</v>
      </c>
    </row>
    <row r="23" spans="1:10" s="1" customFormat="1" x14ac:dyDescent="0.2">
      <c r="A23" s="119" t="s">
        <v>81</v>
      </c>
      <c r="B23" s="120">
        <f>B8-B4</f>
        <v>92</v>
      </c>
      <c r="C23" s="121">
        <f>IF(B4&gt;B7,C13,C12)</f>
        <v>0.121</v>
      </c>
      <c r="D23" s="22">
        <f>B23*C23</f>
        <v>11.132</v>
      </c>
      <c r="E23" s="73">
        <f>B23</f>
        <v>92</v>
      </c>
      <c r="F23" s="121">
        <f>C23</f>
        <v>0.121</v>
      </c>
      <c r="G23" s="22">
        <f>E23*F23</f>
        <v>11.132</v>
      </c>
      <c r="H23" s="22">
        <f t="shared" si="2"/>
        <v>0</v>
      </c>
      <c r="I23" s="23">
        <f>IF(ISERROR(H23/D23),0,(H23/D23))</f>
        <v>0</v>
      </c>
      <c r="J23" s="125">
        <f t="shared" si="0"/>
        <v>5.0322407873874639E-2</v>
      </c>
    </row>
    <row r="24" spans="1:10" x14ac:dyDescent="0.2">
      <c r="A24" s="110" t="s">
        <v>79</v>
      </c>
      <c r="B24" s="74"/>
      <c r="C24" s="35"/>
      <c r="D24" s="35">
        <f>SUM(D22,D23:D23)</f>
        <v>78.202000000000012</v>
      </c>
      <c r="E24" s="73"/>
      <c r="F24" s="35"/>
      <c r="G24" s="35">
        <f>SUM(G22,G23:G23)</f>
        <v>79.222000000000008</v>
      </c>
      <c r="H24" s="35">
        <f t="shared" si="2"/>
        <v>1.019999999999996</v>
      </c>
      <c r="I24" s="36">
        <f>IF(ISERROR(H24/D24),0,(H24/D24))</f>
        <v>1.3043144676606683E-2</v>
      </c>
      <c r="J24" s="111">
        <f t="shared" si="0"/>
        <v>0.35812448765577592</v>
      </c>
    </row>
    <row r="25" spans="1:10" x14ac:dyDescent="0.2">
      <c r="A25" s="107" t="s">
        <v>40</v>
      </c>
      <c r="B25" s="73">
        <f>B8</f>
        <v>1092</v>
      </c>
      <c r="C25" s="126">
        <f>VLOOKUP($B$3,'Data for Bill Impacts'!$A$3:$Y$15,15,0)</f>
        <v>4.7699999999999999E-3</v>
      </c>
      <c r="D25" s="22">
        <f>B25*C25</f>
        <v>5.2088400000000004</v>
      </c>
      <c r="E25" s="73">
        <f t="shared" si="4"/>
        <v>1092</v>
      </c>
      <c r="F25" s="78">
        <f>VLOOKUP($B$3,'Data for Bill Impacts'!$A$3:$Y$15,24,0)</f>
        <v>4.7000000000000002E-3</v>
      </c>
      <c r="G25" s="22">
        <f>E25*F25</f>
        <v>5.1324000000000005</v>
      </c>
      <c r="H25" s="22">
        <f t="shared" si="2"/>
        <v>-7.6439999999999841E-2</v>
      </c>
      <c r="I25" s="23">
        <f t="shared" si="3"/>
        <v>-1.4675052410901435E-2</v>
      </c>
      <c r="J25" s="125">
        <f t="shared" si="0"/>
        <v>2.3201107273793948E-2</v>
      </c>
    </row>
    <row r="26" spans="1:10" s="1" customFormat="1" x14ac:dyDescent="0.2">
      <c r="A26" s="107" t="s">
        <v>41</v>
      </c>
      <c r="B26" s="73">
        <f>B8</f>
        <v>1092</v>
      </c>
      <c r="C26" s="126">
        <f>VLOOKUP($B$3,'Data for Bill Impacts'!$A$3:$Y$15,16,0)</f>
        <v>3.7950000000000002E-3</v>
      </c>
      <c r="D26" s="22">
        <f>B26*C26</f>
        <v>4.1441400000000002</v>
      </c>
      <c r="E26" s="73">
        <f t="shared" si="4"/>
        <v>1092</v>
      </c>
      <c r="F26" s="78">
        <f>VLOOKUP($B$3,'Data for Bill Impacts'!$A$3:$Y$15,25,0)</f>
        <v>3.8E-3</v>
      </c>
      <c r="G26" s="22">
        <f>E26*F26</f>
        <v>4.1496000000000004</v>
      </c>
      <c r="H26" s="22">
        <f t="shared" si="2"/>
        <v>5.4600000000002424E-3</v>
      </c>
      <c r="I26" s="23">
        <f t="shared" si="3"/>
        <v>1.3175230566535498E-3</v>
      </c>
      <c r="J26" s="125">
        <f t="shared" si="0"/>
        <v>1.8758342051152555E-2</v>
      </c>
    </row>
    <row r="27" spans="1:10" s="1" customFormat="1" x14ac:dyDescent="0.2">
      <c r="A27" s="110" t="s">
        <v>76</v>
      </c>
      <c r="B27" s="74"/>
      <c r="C27" s="35"/>
      <c r="D27" s="35">
        <f>SUM(D25:D26)</f>
        <v>9.3529800000000005</v>
      </c>
      <c r="E27" s="73"/>
      <c r="F27" s="35"/>
      <c r="G27" s="35">
        <f>SUM(G25:G26)</f>
        <v>9.282</v>
      </c>
      <c r="H27" s="35">
        <f t="shared" si="2"/>
        <v>-7.0980000000000487E-2</v>
      </c>
      <c r="I27" s="36">
        <f t="shared" si="3"/>
        <v>-7.5890251021600054E-3</v>
      </c>
      <c r="J27" s="111">
        <f t="shared" si="0"/>
        <v>4.1959449324946503E-2</v>
      </c>
    </row>
    <row r="28" spans="1:10" s="1" customFormat="1" x14ac:dyDescent="0.2">
      <c r="A28" s="110" t="s">
        <v>80</v>
      </c>
      <c r="B28" s="74"/>
      <c r="C28" s="35"/>
      <c r="D28" s="35">
        <f>D24+D27</f>
        <v>87.554980000000015</v>
      </c>
      <c r="E28" s="73"/>
      <c r="F28" s="35"/>
      <c r="G28" s="35">
        <f>G24+G27</f>
        <v>88.504000000000005</v>
      </c>
      <c r="H28" s="35">
        <f t="shared" si="2"/>
        <v>0.9490199999999902</v>
      </c>
      <c r="I28" s="36">
        <f t="shared" si="3"/>
        <v>1.0839132165868692E-2</v>
      </c>
      <c r="J28" s="111">
        <f t="shared" si="0"/>
        <v>0.40008393698072237</v>
      </c>
    </row>
    <row r="29" spans="1:10" x14ac:dyDescent="0.2">
      <c r="A29" s="107" t="s">
        <v>42</v>
      </c>
      <c r="B29" s="73">
        <f>B8</f>
        <v>1092</v>
      </c>
      <c r="C29" s="34">
        <v>3.5999999999999999E-3</v>
      </c>
      <c r="D29" s="22">
        <f>B29*C29</f>
        <v>3.9312</v>
      </c>
      <c r="E29" s="73">
        <f t="shared" si="4"/>
        <v>1092</v>
      </c>
      <c r="F29" s="34">
        <v>3.5999999999999999E-3</v>
      </c>
      <c r="G29" s="22">
        <f>E29*F29</f>
        <v>3.9312</v>
      </c>
      <c r="H29" s="22">
        <f t="shared" si="2"/>
        <v>0</v>
      </c>
      <c r="I29" s="23">
        <f t="shared" si="3"/>
        <v>0</v>
      </c>
      <c r="J29" s="125">
        <f t="shared" si="0"/>
        <v>1.7771060890565578E-2</v>
      </c>
    </row>
    <row r="30" spans="1:10" s="1" customFormat="1" x14ac:dyDescent="0.2">
      <c r="A30" s="107" t="s">
        <v>43</v>
      </c>
      <c r="B30" s="73">
        <f>B8</f>
        <v>1092</v>
      </c>
      <c r="C30" s="34">
        <v>2.0999999999999999E-3</v>
      </c>
      <c r="D30" s="22">
        <f>B30*C30</f>
        <v>2.2931999999999997</v>
      </c>
      <c r="E30" s="73">
        <f t="shared" si="4"/>
        <v>1092</v>
      </c>
      <c r="F30" s="34">
        <v>2.0999999999999999E-3</v>
      </c>
      <c r="G30" s="22">
        <f>E30*F30</f>
        <v>2.2931999999999997</v>
      </c>
      <c r="H30" s="22">
        <f>G30-D30</f>
        <v>0</v>
      </c>
      <c r="I30" s="23">
        <f t="shared" si="3"/>
        <v>0</v>
      </c>
      <c r="J30" s="125">
        <f t="shared" si="0"/>
        <v>1.0366452186163251E-2</v>
      </c>
    </row>
    <row r="31" spans="1:10" s="1" customFormat="1" x14ac:dyDescent="0.2">
      <c r="A31" s="107" t="s">
        <v>100</v>
      </c>
      <c r="B31" s="73">
        <f>B8</f>
        <v>1092</v>
      </c>
      <c r="C31" s="34">
        <v>1.1000000000000001E-3</v>
      </c>
      <c r="D31" s="22">
        <f>B31*C31</f>
        <v>1.2012</v>
      </c>
      <c r="E31" s="73">
        <f t="shared" si="4"/>
        <v>1092</v>
      </c>
      <c r="F31" s="34">
        <v>1.1000000000000001E-3</v>
      </c>
      <c r="G31" s="22">
        <f>E31*F31</f>
        <v>1.2012</v>
      </c>
      <c r="H31" s="22">
        <f>G31-D31</f>
        <v>0</v>
      </c>
      <c r="I31" s="23">
        <f t="shared" ref="I31" si="7">IF(ISERROR(H31/D31),0,(H31/D31))</f>
        <v>0</v>
      </c>
      <c r="J31" s="125">
        <f t="shared" ref="J31" si="8">G31/$G$39</f>
        <v>5.4300463832283709E-3</v>
      </c>
    </row>
    <row r="32" spans="1:10" x14ac:dyDescent="0.2">
      <c r="A32" s="107" t="s">
        <v>44</v>
      </c>
      <c r="B32" s="73">
        <v>1</v>
      </c>
      <c r="C32" s="22">
        <v>0.25</v>
      </c>
      <c r="D32" s="22">
        <f>B32*C32</f>
        <v>0.25</v>
      </c>
      <c r="E32" s="73">
        <f t="shared" si="4"/>
        <v>1</v>
      </c>
      <c r="F32" s="22">
        <f>C32</f>
        <v>0.25</v>
      </c>
      <c r="G32" s="22">
        <f>E32*F32</f>
        <v>0.25</v>
      </c>
      <c r="H32" s="22">
        <f t="shared" si="2"/>
        <v>0</v>
      </c>
      <c r="I32" s="23">
        <f t="shared" si="3"/>
        <v>0</v>
      </c>
      <c r="J32" s="125">
        <f t="shared" ref="J32:J39" si="9">G32/$G$39</f>
        <v>1.1301295336389383E-3</v>
      </c>
    </row>
    <row r="33" spans="1:10" s="1" customFormat="1" x14ac:dyDescent="0.2">
      <c r="A33" s="110" t="s">
        <v>45</v>
      </c>
      <c r="B33" s="74"/>
      <c r="C33" s="35"/>
      <c r="D33" s="35">
        <f>SUM(D29:D32)</f>
        <v>7.6755999999999993</v>
      </c>
      <c r="E33" s="73"/>
      <c r="F33" s="35"/>
      <c r="G33" s="35">
        <f>SUM(G29:G32)</f>
        <v>7.6755999999999993</v>
      </c>
      <c r="H33" s="35">
        <f t="shared" si="2"/>
        <v>0</v>
      </c>
      <c r="I33" s="36">
        <f t="shared" si="3"/>
        <v>0</v>
      </c>
      <c r="J33" s="111">
        <f t="shared" si="9"/>
        <v>3.4697688993596133E-2</v>
      </c>
    </row>
    <row r="34" spans="1:10" ht="13.5" thickBot="1" x14ac:dyDescent="0.25">
      <c r="A34" s="112" t="s">
        <v>46</v>
      </c>
      <c r="B34" s="113">
        <f>B4</f>
        <v>1000</v>
      </c>
      <c r="C34" s="114">
        <v>7.0000000000000001E-3</v>
      </c>
      <c r="D34" s="115">
        <f>B34*C34</f>
        <v>7</v>
      </c>
      <c r="E34" s="116">
        <f t="shared" si="4"/>
        <v>1000</v>
      </c>
      <c r="F34" s="114">
        <f>C34</f>
        <v>7.0000000000000001E-3</v>
      </c>
      <c r="G34" s="115">
        <f>E34*F34</f>
        <v>7</v>
      </c>
      <c r="H34" s="115">
        <f t="shared" si="2"/>
        <v>0</v>
      </c>
      <c r="I34" s="117">
        <f t="shared" si="3"/>
        <v>0</v>
      </c>
      <c r="J34" s="118">
        <f t="shared" si="9"/>
        <v>3.1643626941890268E-2</v>
      </c>
    </row>
    <row r="35" spans="1:10" x14ac:dyDescent="0.2">
      <c r="A35" s="37" t="s">
        <v>146</v>
      </c>
      <c r="B35" s="38"/>
      <c r="C35" s="39"/>
      <c r="D35" s="39">
        <f>SUM(D14,D24,D27,D33,D34)</f>
        <v>209.73058</v>
      </c>
      <c r="E35" s="38"/>
      <c r="F35" s="39"/>
      <c r="G35" s="39">
        <f>SUM(G14,G24,G27,G33,G34)</f>
        <v>210.67960000000002</v>
      </c>
      <c r="H35" s="39">
        <f t="shared" si="2"/>
        <v>0.94902000000001863</v>
      </c>
      <c r="I35" s="40">
        <f>IF(ISERROR(H35/D35),0,(H35/D35))</f>
        <v>4.5249481501458619E-3</v>
      </c>
      <c r="J35" s="41">
        <f t="shared" si="9"/>
        <v>0.95238095238095233</v>
      </c>
    </row>
    <row r="36" spans="1:10" x14ac:dyDescent="0.2">
      <c r="A36" s="46" t="s">
        <v>138</v>
      </c>
      <c r="B36" s="43"/>
      <c r="C36" s="26">
        <v>0.13</v>
      </c>
      <c r="D36" s="26">
        <f>D35*C36</f>
        <v>27.264975400000001</v>
      </c>
      <c r="E36" s="26"/>
      <c r="F36" s="26">
        <f>C36</f>
        <v>0.13</v>
      </c>
      <c r="G36" s="26">
        <f>G35*F36</f>
        <v>27.388348000000004</v>
      </c>
      <c r="H36" s="26">
        <f t="shared" si="2"/>
        <v>0.12337260000000327</v>
      </c>
      <c r="I36" s="44">
        <f t="shared" si="3"/>
        <v>4.5249481501458931E-3</v>
      </c>
      <c r="J36" s="45">
        <f t="shared" si="9"/>
        <v>0.12380952380952381</v>
      </c>
    </row>
    <row r="37" spans="1:10" x14ac:dyDescent="0.2">
      <c r="A37" s="46" t="s">
        <v>139</v>
      </c>
      <c r="B37" s="24"/>
      <c r="C37" s="25"/>
      <c r="D37" s="25">
        <f>SUM(D35:D36)</f>
        <v>236.9955554</v>
      </c>
      <c r="E37" s="25"/>
      <c r="F37" s="25"/>
      <c r="G37" s="25">
        <f>SUM(G35:G36)</f>
        <v>238.06794800000003</v>
      </c>
      <c r="H37" s="25">
        <f t="shared" si="2"/>
        <v>1.072392600000029</v>
      </c>
      <c r="I37" s="27">
        <f t="shared" si="3"/>
        <v>4.5249481501458948E-3</v>
      </c>
      <c r="J37" s="47">
        <f t="shared" si="9"/>
        <v>1.0761904761904761</v>
      </c>
    </row>
    <row r="38" spans="1:10" x14ac:dyDescent="0.2">
      <c r="A38" s="46" t="s">
        <v>140</v>
      </c>
      <c r="B38" s="43"/>
      <c r="C38" s="26">
        <v>-0.08</v>
      </c>
      <c r="D38" s="26">
        <f>D35*C38</f>
        <v>-16.7784464</v>
      </c>
      <c r="E38" s="26"/>
      <c r="F38" s="26">
        <f>C38</f>
        <v>-0.08</v>
      </c>
      <c r="G38" s="26">
        <f>G35*F38</f>
        <v>-16.854368000000001</v>
      </c>
      <c r="H38" s="26">
        <f t="shared" si="2"/>
        <v>-7.5921600000000922E-2</v>
      </c>
      <c r="I38" s="44">
        <f t="shared" si="3"/>
        <v>4.5249481501458281E-3</v>
      </c>
      <c r="J38" s="45">
        <f t="shared" si="9"/>
        <v>-7.6190476190476183E-2</v>
      </c>
    </row>
    <row r="39" spans="1:10" ht="13.5" thickBot="1" x14ac:dyDescent="0.25">
      <c r="A39" s="46" t="s">
        <v>141</v>
      </c>
      <c r="B39" s="49"/>
      <c r="C39" s="50"/>
      <c r="D39" s="50">
        <f>SUM(D37:D38)</f>
        <v>220.21710899999999</v>
      </c>
      <c r="E39" s="50"/>
      <c r="F39" s="50"/>
      <c r="G39" s="50">
        <f>SUM(G37:G38)</f>
        <v>221.21358000000004</v>
      </c>
      <c r="H39" s="50">
        <f t="shared" si="2"/>
        <v>0.9964710000000423</v>
      </c>
      <c r="I39" s="51">
        <f t="shared" si="3"/>
        <v>4.5249481501459651E-3</v>
      </c>
      <c r="J39" s="52">
        <f t="shared" si="9"/>
        <v>1</v>
      </c>
    </row>
    <row r="40" spans="1:10" x14ac:dyDescent="0.2">
      <c r="D40" s="72"/>
      <c r="F40" s="69"/>
    </row>
    <row r="41" spans="1:10" x14ac:dyDescent="0.2">
      <c r="F41" s="69"/>
    </row>
    <row r="42" spans="1:10" x14ac:dyDescent="0.2">
      <c r="A42" s="70"/>
      <c r="B42" s="71"/>
      <c r="F42" s="69"/>
    </row>
    <row r="43" spans="1:10" x14ac:dyDescent="0.2">
      <c r="B43" s="72"/>
      <c r="D43" s="72"/>
      <c r="F43" s="69"/>
    </row>
    <row r="44" spans="1:10" x14ac:dyDescent="0.2">
      <c r="F44" s="69"/>
    </row>
    <row r="45" spans="1:10" x14ac:dyDescent="0.2">
      <c r="F45" s="69"/>
    </row>
    <row r="46" spans="1:10" x14ac:dyDescent="0.2">
      <c r="F46" s="69"/>
    </row>
    <row r="47" spans="1:10" x14ac:dyDescent="0.2">
      <c r="F47" s="69"/>
    </row>
    <row r="48" spans="1:10" x14ac:dyDescent="0.2">
      <c r="F48" s="69"/>
    </row>
    <row r="49" spans="6:6" x14ac:dyDescent="0.2">
      <c r="F49" s="69"/>
    </row>
    <row r="50" spans="6:6" x14ac:dyDescent="0.2">
      <c r="F50" s="69"/>
    </row>
  </sheetData>
  <mergeCells count="1">
    <mergeCell ref="A1:J1"/>
  </mergeCell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tabColor theme="1" tint="0.499984740745262"/>
    <pageSetUpPr fitToPage="1"/>
  </sheetPr>
  <dimension ref="A1:J50"/>
  <sheetViews>
    <sheetView view="pageBreakPreview" topLeftCell="A7" zoomScaleNormal="100" zoomScaleSheetLayoutView="100" workbookViewId="0">
      <selection activeCell="C19" sqref="C19"/>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48" t="s">
        <v>109</v>
      </c>
      <c r="B1" s="349"/>
      <c r="C1" s="349"/>
      <c r="D1" s="349"/>
      <c r="E1" s="349"/>
      <c r="F1" s="349"/>
      <c r="G1" s="349"/>
      <c r="H1" s="349"/>
      <c r="I1" s="349"/>
      <c r="J1" s="350"/>
    </row>
    <row r="3" spans="1:10" x14ac:dyDescent="0.2">
      <c r="A3" s="13" t="s">
        <v>13</v>
      </c>
      <c r="B3" s="13" t="s">
        <v>9</v>
      </c>
    </row>
    <row r="4" spans="1:10" x14ac:dyDescent="0.2">
      <c r="A4" s="15" t="s">
        <v>62</v>
      </c>
      <c r="B4" s="15">
        <v>20</v>
      </c>
    </row>
    <row r="5" spans="1:10" x14ac:dyDescent="0.2">
      <c r="A5" s="15" t="s">
        <v>16</v>
      </c>
      <c r="B5" s="15">
        <f>VLOOKUP($B$3,'Data for Bill Impacts'!$A$3:$Y$15,5,0)</f>
        <v>0</v>
      </c>
    </row>
    <row r="6" spans="1:10" x14ac:dyDescent="0.2">
      <c r="A6" s="15" t="s">
        <v>20</v>
      </c>
      <c r="B6" s="15">
        <f>VLOOKUP($B$3,'Data for Bill Impacts'!$A$3:$Y$15,2,0)</f>
        <v>1.0920000000000001</v>
      </c>
    </row>
    <row r="7" spans="1:10" x14ac:dyDescent="0.2">
      <c r="A7" s="15" t="s">
        <v>15</v>
      </c>
      <c r="B7" s="15">
        <f>VLOOKUP($B$3,'Data for Bill Impacts'!$A$3:$Y$15,4,0)</f>
        <v>750</v>
      </c>
    </row>
    <row r="8" spans="1:10" x14ac:dyDescent="0.2">
      <c r="A8" s="15" t="s">
        <v>82</v>
      </c>
      <c r="B8" s="15">
        <f>B4*B6</f>
        <v>21.840000000000003</v>
      </c>
    </row>
    <row r="9" spans="1:10" x14ac:dyDescent="0.2">
      <c r="A9" s="15" t="s">
        <v>21</v>
      </c>
      <c r="B9" s="16" t="str">
        <f>VLOOKUP($B$3,'Data for Bill Impacts'!$A$3:$Y$15,6,0)</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3" t="s">
        <v>29</v>
      </c>
    </row>
    <row r="12" spans="1:10" x14ac:dyDescent="0.2">
      <c r="A12" s="101" t="s">
        <v>31</v>
      </c>
      <c r="B12" s="102">
        <f>IF(B4&gt;B7,B7,B4)</f>
        <v>20</v>
      </c>
      <c r="C12" s="103">
        <v>0.10299999999999999</v>
      </c>
      <c r="D12" s="104">
        <f>B12*C12</f>
        <v>2.06</v>
      </c>
      <c r="E12" s="102">
        <f>B12</f>
        <v>20</v>
      </c>
      <c r="F12" s="103">
        <f>C12</f>
        <v>0.10299999999999999</v>
      </c>
      <c r="G12" s="104">
        <f>E12*F12</f>
        <v>2.06</v>
      </c>
      <c r="H12" s="104">
        <f>G12-D12</f>
        <v>0</v>
      </c>
      <c r="I12" s="105">
        <f>IF(ISERROR(H12/D12),0,(H12/D12))</f>
        <v>0</v>
      </c>
      <c r="J12" s="124">
        <f t="shared" ref="J12:J30" si="0">G12/$G$39</f>
        <v>0.21258138533864906</v>
      </c>
    </row>
    <row r="13" spans="1:10" x14ac:dyDescent="0.2">
      <c r="A13" s="107" t="s">
        <v>32</v>
      </c>
      <c r="B13" s="73">
        <f>IF(B4&gt;B7,(B4)-B7,0)</f>
        <v>0</v>
      </c>
      <c r="C13" s="21">
        <v>0.121</v>
      </c>
      <c r="D13" s="22">
        <f>B13*C13</f>
        <v>0</v>
      </c>
      <c r="E13" s="73">
        <f t="shared" ref="E13" si="1">B13</f>
        <v>0</v>
      </c>
      <c r="F13" s="21">
        <f>C13</f>
        <v>0.121</v>
      </c>
      <c r="G13" s="22">
        <f>E13*F13</f>
        <v>0</v>
      </c>
      <c r="H13" s="22">
        <f t="shared" ref="H13:H39" si="2">G13-D13</f>
        <v>0</v>
      </c>
      <c r="I13" s="23">
        <f t="shared" ref="I13:I39" si="3">IF(ISERROR(H13/D13),0,(H13/D13))</f>
        <v>0</v>
      </c>
      <c r="J13" s="125">
        <f t="shared" si="0"/>
        <v>0</v>
      </c>
    </row>
    <row r="14" spans="1:10" s="1" customFormat="1" x14ac:dyDescent="0.2">
      <c r="A14" s="46" t="s">
        <v>33</v>
      </c>
      <c r="B14" s="24"/>
      <c r="C14" s="25"/>
      <c r="D14" s="25">
        <f>SUM(D12:D13)</f>
        <v>2.06</v>
      </c>
      <c r="E14" s="76"/>
      <c r="F14" s="25"/>
      <c r="G14" s="25">
        <f>SUM(G12:G13)</f>
        <v>2.06</v>
      </c>
      <c r="H14" s="25">
        <f t="shared" si="2"/>
        <v>0</v>
      </c>
      <c r="I14" s="27">
        <f t="shared" si="3"/>
        <v>0</v>
      </c>
      <c r="J14" s="47">
        <f t="shared" si="0"/>
        <v>0.21258138533864906</v>
      </c>
    </row>
    <row r="15" spans="1:10" x14ac:dyDescent="0.2">
      <c r="A15" s="107" t="s">
        <v>38</v>
      </c>
      <c r="B15" s="73">
        <v>1</v>
      </c>
      <c r="C15" s="78">
        <f>VLOOKUP($B$3,'Data for Bill Impacts'!$A$3:$Y$15,7,0)</f>
        <v>3.45</v>
      </c>
      <c r="D15" s="22">
        <f>B15*C15</f>
        <v>3.45</v>
      </c>
      <c r="E15" s="73">
        <f t="shared" ref="E15:E34" si="4">B15</f>
        <v>1</v>
      </c>
      <c r="F15" s="122">
        <f>VLOOKUP($B$3,'Data for Bill Impacts'!$A$3:$Y$15,17,0)</f>
        <v>3.6</v>
      </c>
      <c r="G15" s="22">
        <f>E15*F15</f>
        <v>3.6</v>
      </c>
      <c r="H15" s="22">
        <f t="shared" si="2"/>
        <v>0.14999999999999991</v>
      </c>
      <c r="I15" s="23">
        <f t="shared" si="3"/>
        <v>4.3478260869565188E-2</v>
      </c>
      <c r="J15" s="125">
        <f t="shared" si="0"/>
        <v>0.37150145010637703</v>
      </c>
    </row>
    <row r="16" spans="1:10" hidden="1" x14ac:dyDescent="0.2">
      <c r="A16" s="107" t="s">
        <v>90</v>
      </c>
      <c r="B16" s="73">
        <v>1</v>
      </c>
      <c r="C16" s="78">
        <v>0</v>
      </c>
      <c r="D16" s="22">
        <f>B16*C16</f>
        <v>0</v>
      </c>
      <c r="E16" s="73">
        <f t="shared" si="4"/>
        <v>1</v>
      </c>
      <c r="F16" s="78">
        <v>0</v>
      </c>
      <c r="G16" s="22">
        <f t="shared" ref="G16:G18" si="5">E16*F16</f>
        <v>0</v>
      </c>
      <c r="H16" s="22">
        <f t="shared" si="2"/>
        <v>0</v>
      </c>
      <c r="I16" s="23">
        <f t="shared" si="3"/>
        <v>0</v>
      </c>
      <c r="J16" s="125">
        <f t="shared" si="0"/>
        <v>0</v>
      </c>
    </row>
    <row r="17" spans="1:10" hidden="1" x14ac:dyDescent="0.2">
      <c r="A17" s="107" t="s">
        <v>84</v>
      </c>
      <c r="B17" s="73">
        <v>1</v>
      </c>
      <c r="C17" s="78">
        <v>0</v>
      </c>
      <c r="D17" s="22">
        <f t="shared" ref="D17:D18" si="6">B17*C17</f>
        <v>0</v>
      </c>
      <c r="E17" s="73">
        <f t="shared" si="4"/>
        <v>1</v>
      </c>
      <c r="F17" s="78">
        <v>0</v>
      </c>
      <c r="G17" s="22">
        <f t="shared" si="5"/>
        <v>0</v>
      </c>
      <c r="H17" s="22">
        <f t="shared" si="2"/>
        <v>0</v>
      </c>
      <c r="I17" s="23">
        <f t="shared" si="3"/>
        <v>0</v>
      </c>
      <c r="J17" s="125">
        <f t="shared" si="0"/>
        <v>0</v>
      </c>
    </row>
    <row r="18" spans="1:10" x14ac:dyDescent="0.2">
      <c r="A18" s="107" t="s">
        <v>85</v>
      </c>
      <c r="B18" s="73">
        <v>1</v>
      </c>
      <c r="C18" s="122">
        <f>VLOOKUP($B$3,'Data for Bill Impacts'!$A$3:$Y$15,13,0)</f>
        <v>0</v>
      </c>
      <c r="D18" s="22">
        <f t="shared" si="6"/>
        <v>0</v>
      </c>
      <c r="E18" s="73">
        <f t="shared" si="4"/>
        <v>1</v>
      </c>
      <c r="F18" s="122">
        <f>VLOOKUP($B$3,'Data for Bill Impacts'!$A$3:$Y$15,22,0)</f>
        <v>0</v>
      </c>
      <c r="G18" s="22">
        <f t="shared" si="5"/>
        <v>0</v>
      </c>
      <c r="H18" s="22">
        <f t="shared" si="2"/>
        <v>0</v>
      </c>
      <c r="I18" s="23">
        <f t="shared" si="3"/>
        <v>0</v>
      </c>
      <c r="J18" s="125">
        <f t="shared" si="0"/>
        <v>0</v>
      </c>
    </row>
    <row r="19" spans="1:10" x14ac:dyDescent="0.2">
      <c r="A19" s="107" t="s">
        <v>39</v>
      </c>
      <c r="B19" s="73">
        <f>IF($B$9="kWh",$B$4,$B$5)</f>
        <v>20</v>
      </c>
      <c r="C19" s="126">
        <f>VLOOKUP($B$3,'Data for Bill Impacts'!$A$3:$Y$15,10,0)</f>
        <v>0.13120000000000001</v>
      </c>
      <c r="D19" s="22">
        <f>B19*C19</f>
        <v>2.6240000000000001</v>
      </c>
      <c r="E19" s="73">
        <f t="shared" si="4"/>
        <v>20</v>
      </c>
      <c r="F19" s="126">
        <f>VLOOKUP($B$3,'Data for Bill Impacts'!$A$3:$Y$15,19,0)</f>
        <v>0.1338</v>
      </c>
      <c r="G19" s="22">
        <f>E19*F19</f>
        <v>2.6760000000000002</v>
      </c>
      <c r="H19" s="22">
        <f t="shared" si="2"/>
        <v>5.2000000000000046E-2</v>
      </c>
      <c r="I19" s="23">
        <f t="shared" si="3"/>
        <v>1.9817073170731725E-2</v>
      </c>
      <c r="J19" s="125">
        <f t="shared" si="0"/>
        <v>0.27614941124574027</v>
      </c>
    </row>
    <row r="20" spans="1:10" s="1" customFormat="1" x14ac:dyDescent="0.2">
      <c r="A20" s="107" t="s">
        <v>194</v>
      </c>
      <c r="B20" s="73">
        <f>IF($B$9="kWh",$B$4,$B$5)</f>
        <v>20</v>
      </c>
      <c r="C20" s="126">
        <f>VLOOKUP($B$3,'Data for Bill Impacts'!$A$3:$Y$15,14,0)</f>
        <v>1E-4</v>
      </c>
      <c r="D20" s="22">
        <f>B20*C20</f>
        <v>2E-3</v>
      </c>
      <c r="E20" s="73">
        <f>B20</f>
        <v>20</v>
      </c>
      <c r="F20" s="126">
        <f>VLOOKUP($B$3,'Data for Bill Impacts'!$A$3:$Y$15,23,0)</f>
        <v>1E-4</v>
      </c>
      <c r="G20" s="22">
        <f>E20*F20</f>
        <v>2E-3</v>
      </c>
      <c r="H20" s="22">
        <f>G20-D20</f>
        <v>0</v>
      </c>
      <c r="I20" s="23">
        <f>IF(ISERROR(H20/D20),0,(H20/D20))</f>
        <v>0</v>
      </c>
      <c r="J20" s="125">
        <f t="shared" si="0"/>
        <v>2.0638969450354277E-4</v>
      </c>
    </row>
    <row r="21" spans="1:10" hidden="1" x14ac:dyDescent="0.2">
      <c r="A21" s="107" t="s">
        <v>86</v>
      </c>
      <c r="B21" s="73">
        <f>IF($B$9="kWh",$B$4,$B$5)</f>
        <v>20</v>
      </c>
      <c r="C21" s="126">
        <v>0</v>
      </c>
      <c r="D21" s="22">
        <f>B21*C21</f>
        <v>0</v>
      </c>
      <c r="E21" s="73">
        <f t="shared" si="4"/>
        <v>20</v>
      </c>
      <c r="F21" s="78">
        <v>0</v>
      </c>
      <c r="G21" s="22">
        <f>E21*F21</f>
        <v>0</v>
      </c>
      <c r="H21" s="22">
        <f t="shared" si="2"/>
        <v>0</v>
      </c>
      <c r="I21" s="23">
        <f>IF(ISERROR(H21/D21),0,(H21/D21))</f>
        <v>0</v>
      </c>
      <c r="J21" s="125">
        <f t="shared" si="0"/>
        <v>0</v>
      </c>
    </row>
    <row r="22" spans="1:10" x14ac:dyDescent="0.2">
      <c r="A22" s="110" t="s">
        <v>72</v>
      </c>
      <c r="B22" s="74"/>
      <c r="C22" s="35"/>
      <c r="D22" s="35">
        <f>SUM(D15:D21)</f>
        <v>6.0759999999999996</v>
      </c>
      <c r="E22" s="73"/>
      <c r="F22" s="35"/>
      <c r="G22" s="35">
        <f>SUM(G15:G21)</f>
        <v>6.2779999999999996</v>
      </c>
      <c r="H22" s="35">
        <f t="shared" si="2"/>
        <v>0.20199999999999996</v>
      </c>
      <c r="I22" s="36">
        <f t="shared" si="3"/>
        <v>3.3245556287030936E-2</v>
      </c>
      <c r="J22" s="111">
        <f t="shared" si="0"/>
        <v>0.64785725104662073</v>
      </c>
    </row>
    <row r="23" spans="1:10" s="1" customFormat="1" x14ac:dyDescent="0.2">
      <c r="A23" s="119" t="s">
        <v>81</v>
      </c>
      <c r="B23" s="120">
        <f>B8-B4</f>
        <v>1.8400000000000034</v>
      </c>
      <c r="C23" s="121">
        <f>IF(B4&gt;B7,C13,C12)</f>
        <v>0.10299999999999999</v>
      </c>
      <c r="D23" s="22">
        <f>B23*C23</f>
        <v>0.18952000000000033</v>
      </c>
      <c r="E23" s="73">
        <f>B23</f>
        <v>1.8400000000000034</v>
      </c>
      <c r="F23" s="121">
        <f>C23</f>
        <v>0.10299999999999999</v>
      </c>
      <c r="G23" s="22">
        <f>E23*F23</f>
        <v>0.18952000000000033</v>
      </c>
      <c r="H23" s="22">
        <f t="shared" si="2"/>
        <v>0</v>
      </c>
      <c r="I23" s="23">
        <f>IF(ISERROR(H23/D23),0,(H23/D23))</f>
        <v>0</v>
      </c>
      <c r="J23" s="125">
        <f t="shared" si="0"/>
        <v>1.9557487451155747E-2</v>
      </c>
    </row>
    <row r="24" spans="1:10" x14ac:dyDescent="0.2">
      <c r="A24" s="110" t="s">
        <v>79</v>
      </c>
      <c r="B24" s="74"/>
      <c r="C24" s="35"/>
      <c r="D24" s="35">
        <f>SUM(D22,D23:D23)</f>
        <v>6.2655199999999995</v>
      </c>
      <c r="E24" s="73"/>
      <c r="F24" s="35"/>
      <c r="G24" s="35">
        <f>SUM(G22,G23:G23)</f>
        <v>6.4675199999999995</v>
      </c>
      <c r="H24" s="35">
        <f t="shared" si="2"/>
        <v>0.20199999999999996</v>
      </c>
      <c r="I24" s="36">
        <f>IF(ISERROR(H24/D24),0,(H24/D24))</f>
        <v>3.2239941776580391E-2</v>
      </c>
      <c r="J24" s="111">
        <f t="shared" si="0"/>
        <v>0.66741473849777644</v>
      </c>
    </row>
    <row r="25" spans="1:10" x14ac:dyDescent="0.2">
      <c r="A25" s="107" t="s">
        <v>40</v>
      </c>
      <c r="B25" s="73">
        <f>B8</f>
        <v>21.840000000000003</v>
      </c>
      <c r="C25" s="126">
        <f>VLOOKUP($B$3,'Data for Bill Impacts'!$A$3:$Y$15,15,0)</f>
        <v>4.6979999999999999E-3</v>
      </c>
      <c r="D25" s="22">
        <f>B25*C25</f>
        <v>0.10260432000000001</v>
      </c>
      <c r="E25" s="73">
        <f t="shared" si="4"/>
        <v>21.840000000000003</v>
      </c>
      <c r="F25" s="126">
        <f>VLOOKUP($B$3,'Data for Bill Impacts'!$A$3:$Y$15,24,0)</f>
        <v>3.836E-3</v>
      </c>
      <c r="G25" s="22">
        <f>E25*F25</f>
        <v>8.3778240000000018E-2</v>
      </c>
      <c r="H25" s="22">
        <f t="shared" si="2"/>
        <v>-1.8826079999999995E-2</v>
      </c>
      <c r="I25" s="23">
        <f t="shared" si="3"/>
        <v>-0.1834823329076202</v>
      </c>
      <c r="J25" s="125">
        <f t="shared" si="0"/>
        <v>8.6454826798222448E-3</v>
      </c>
    </row>
    <row r="26" spans="1:10" s="1" customFormat="1" x14ac:dyDescent="0.2">
      <c r="A26" s="107" t="s">
        <v>41</v>
      </c>
      <c r="B26" s="73">
        <f>B8</f>
        <v>21.840000000000003</v>
      </c>
      <c r="C26" s="126">
        <f>VLOOKUP($B$3,'Data for Bill Impacts'!$A$3:$Y$15,16,0)</f>
        <v>4.2899999999999995E-3</v>
      </c>
      <c r="D26" s="22">
        <f>B26*C26</f>
        <v>9.3693600000000002E-2</v>
      </c>
      <c r="E26" s="73">
        <f t="shared" si="4"/>
        <v>21.840000000000003</v>
      </c>
      <c r="F26" s="126">
        <f>VLOOKUP($B$3,'Data for Bill Impacts'!$A$3:$Y$15,25,0)</f>
        <v>3.6240000000000001E-3</v>
      </c>
      <c r="G26" s="22">
        <f>E26*F26</f>
        <v>7.9148160000000009E-2</v>
      </c>
      <c r="H26" s="22">
        <f t="shared" si="2"/>
        <v>-1.4545439999999993E-2</v>
      </c>
      <c r="I26" s="23">
        <f t="shared" si="3"/>
        <v>-0.15524475524475517</v>
      </c>
      <c r="J26" s="125">
        <f t="shared" si="0"/>
        <v>8.1676822814587633E-3</v>
      </c>
    </row>
    <row r="27" spans="1:10" s="1" customFormat="1" x14ac:dyDescent="0.2">
      <c r="A27" s="110" t="s">
        <v>76</v>
      </c>
      <c r="B27" s="74"/>
      <c r="C27" s="35"/>
      <c r="D27" s="35">
        <f>SUM(D25:D26)</f>
        <v>0.19629792000000001</v>
      </c>
      <c r="E27" s="73"/>
      <c r="F27" s="35"/>
      <c r="G27" s="35">
        <f>SUM(G25:G26)</f>
        <v>0.16292640000000003</v>
      </c>
      <c r="H27" s="35">
        <f t="shared" si="2"/>
        <v>-3.3371519999999988E-2</v>
      </c>
      <c r="I27" s="36">
        <f t="shared" si="3"/>
        <v>-0.17000445037828207</v>
      </c>
      <c r="J27" s="111">
        <f t="shared" si="0"/>
        <v>1.6813164961281008E-2</v>
      </c>
    </row>
    <row r="28" spans="1:10" s="1" customFormat="1" x14ac:dyDescent="0.2">
      <c r="A28" s="110" t="s">
        <v>80</v>
      </c>
      <c r="B28" s="74"/>
      <c r="C28" s="35"/>
      <c r="D28" s="35">
        <f>D24+D27</f>
        <v>6.4618179199999997</v>
      </c>
      <c r="E28" s="73"/>
      <c r="F28" s="35"/>
      <c r="G28" s="35">
        <f>G24+G27</f>
        <v>6.6304463999999994</v>
      </c>
      <c r="H28" s="35">
        <f t="shared" si="2"/>
        <v>0.16862847999999975</v>
      </c>
      <c r="I28" s="36">
        <f t="shared" si="3"/>
        <v>2.6096136116444419E-2</v>
      </c>
      <c r="J28" s="111">
        <f t="shared" si="0"/>
        <v>0.68422790345905737</v>
      </c>
    </row>
    <row r="29" spans="1:10" x14ac:dyDescent="0.2">
      <c r="A29" s="107" t="s">
        <v>42</v>
      </c>
      <c r="B29" s="73">
        <f>B8</f>
        <v>21.840000000000003</v>
      </c>
      <c r="C29" s="34">
        <v>3.5999999999999999E-3</v>
      </c>
      <c r="D29" s="22">
        <f>B29*C29</f>
        <v>7.8624000000000013E-2</v>
      </c>
      <c r="E29" s="73">
        <f t="shared" si="4"/>
        <v>21.840000000000003</v>
      </c>
      <c r="F29" s="34">
        <v>3.5999999999999999E-3</v>
      </c>
      <c r="G29" s="22">
        <f>E29*F29</f>
        <v>7.8624000000000013E-2</v>
      </c>
      <c r="H29" s="22">
        <f t="shared" si="2"/>
        <v>0</v>
      </c>
      <c r="I29" s="23">
        <f t="shared" si="3"/>
        <v>0</v>
      </c>
      <c r="J29" s="125">
        <f t="shared" si="0"/>
        <v>8.1135916703232742E-3</v>
      </c>
    </row>
    <row r="30" spans="1:10" s="1" customFormat="1" x14ac:dyDescent="0.2">
      <c r="A30" s="107" t="s">
        <v>43</v>
      </c>
      <c r="B30" s="73">
        <f>B8</f>
        <v>21.840000000000003</v>
      </c>
      <c r="C30" s="34">
        <v>2.0999999999999999E-3</v>
      </c>
      <c r="D30" s="22">
        <f>B30*C30</f>
        <v>4.5864000000000002E-2</v>
      </c>
      <c r="E30" s="73">
        <f t="shared" si="4"/>
        <v>21.840000000000003</v>
      </c>
      <c r="F30" s="34">
        <v>2.0999999999999999E-3</v>
      </c>
      <c r="G30" s="22">
        <f>E30*F30</f>
        <v>4.5864000000000002E-2</v>
      </c>
      <c r="H30" s="22">
        <f>G30-D30</f>
        <v>0</v>
      </c>
      <c r="I30" s="23">
        <f t="shared" si="3"/>
        <v>0</v>
      </c>
      <c r="J30" s="125">
        <f t="shared" si="0"/>
        <v>4.7329284743552434E-3</v>
      </c>
    </row>
    <row r="31" spans="1:10" s="1" customFormat="1" x14ac:dyDescent="0.2">
      <c r="A31" s="107" t="s">
        <v>100</v>
      </c>
      <c r="B31" s="73">
        <f>B8</f>
        <v>21.840000000000003</v>
      </c>
      <c r="C31" s="34">
        <v>1.1000000000000001E-3</v>
      </c>
      <c r="D31" s="22">
        <f>B31*C31</f>
        <v>2.4024000000000004E-2</v>
      </c>
      <c r="E31" s="73">
        <f t="shared" si="4"/>
        <v>21.840000000000003</v>
      </c>
      <c r="F31" s="34">
        <v>1.1000000000000001E-3</v>
      </c>
      <c r="G31" s="22">
        <f>E31*F31</f>
        <v>2.4024000000000004E-2</v>
      </c>
      <c r="H31" s="22">
        <f>G31-D31</f>
        <v>0</v>
      </c>
      <c r="I31" s="23">
        <f t="shared" ref="I31" si="7">IF(ISERROR(H31/D31),0,(H31/D31))</f>
        <v>0</v>
      </c>
      <c r="J31" s="125">
        <f t="shared" ref="J31" si="8">G31/$G$39</f>
        <v>2.4791530103765564E-3</v>
      </c>
    </row>
    <row r="32" spans="1:10" x14ac:dyDescent="0.2">
      <c r="A32" s="107" t="s">
        <v>44</v>
      </c>
      <c r="B32" s="73">
        <v>1</v>
      </c>
      <c r="C32" s="22">
        <v>0.25</v>
      </c>
      <c r="D32" s="22">
        <f>B32*C32</f>
        <v>0.25</v>
      </c>
      <c r="E32" s="73">
        <f t="shared" si="4"/>
        <v>1</v>
      </c>
      <c r="F32" s="22">
        <f>C32</f>
        <v>0.25</v>
      </c>
      <c r="G32" s="22">
        <f>E32*F32</f>
        <v>0.25</v>
      </c>
      <c r="H32" s="22">
        <f t="shared" si="2"/>
        <v>0</v>
      </c>
      <c r="I32" s="23">
        <f t="shared" si="3"/>
        <v>0</v>
      </c>
      <c r="J32" s="125">
        <f t="shared" ref="J32:J39" si="9">G32/$G$39</f>
        <v>2.5798711812942847E-2</v>
      </c>
    </row>
    <row r="33" spans="1:10" s="1" customFormat="1" x14ac:dyDescent="0.2">
      <c r="A33" s="110" t="s">
        <v>45</v>
      </c>
      <c r="B33" s="74"/>
      <c r="C33" s="35"/>
      <c r="D33" s="35">
        <f>SUM(D29:D32)</f>
        <v>0.39851200000000003</v>
      </c>
      <c r="E33" s="73"/>
      <c r="F33" s="35"/>
      <c r="G33" s="35">
        <f>SUM(G29:G32)</f>
        <v>0.39851200000000003</v>
      </c>
      <c r="H33" s="35">
        <f t="shared" si="2"/>
        <v>0</v>
      </c>
      <c r="I33" s="36">
        <f t="shared" si="3"/>
        <v>0</v>
      </c>
      <c r="J33" s="111">
        <f t="shared" si="9"/>
        <v>4.1124384967997925E-2</v>
      </c>
    </row>
    <row r="34" spans="1:10" ht="13.5" thickBot="1" x14ac:dyDescent="0.25">
      <c r="A34" s="112" t="s">
        <v>46</v>
      </c>
      <c r="B34" s="113">
        <f>B4</f>
        <v>20</v>
      </c>
      <c r="C34" s="114">
        <v>7.0000000000000001E-3</v>
      </c>
      <c r="D34" s="115">
        <f>B34*C34</f>
        <v>0.14000000000000001</v>
      </c>
      <c r="E34" s="116">
        <f t="shared" si="4"/>
        <v>20</v>
      </c>
      <c r="F34" s="114">
        <f>C34</f>
        <v>7.0000000000000001E-3</v>
      </c>
      <c r="G34" s="115">
        <f>E34*F34</f>
        <v>0.14000000000000001</v>
      </c>
      <c r="H34" s="115">
        <f t="shared" si="2"/>
        <v>0</v>
      </c>
      <c r="I34" s="117">
        <f t="shared" si="3"/>
        <v>0</v>
      </c>
      <c r="J34" s="118">
        <f t="shared" si="9"/>
        <v>1.4447278615247996E-2</v>
      </c>
    </row>
    <row r="35" spans="1:10" x14ac:dyDescent="0.2">
      <c r="A35" s="37" t="s">
        <v>146</v>
      </c>
      <c r="B35" s="38"/>
      <c r="C35" s="39"/>
      <c r="D35" s="39">
        <f>SUM(D14,D24,D27,D33,D34)</f>
        <v>9.0603299199999991</v>
      </c>
      <c r="E35" s="38"/>
      <c r="F35" s="39"/>
      <c r="G35" s="39">
        <f>SUM(G14,G24,G27,G33,G34)</f>
        <v>9.2289583999999998</v>
      </c>
      <c r="H35" s="39">
        <f t="shared" si="2"/>
        <v>0.16862848000000064</v>
      </c>
      <c r="I35" s="40">
        <f>IF(ISERROR(H35/D35),0,(H35/D35))</f>
        <v>1.8611737264419687E-2</v>
      </c>
      <c r="J35" s="41">
        <f t="shared" si="9"/>
        <v>0.95238095238095244</v>
      </c>
    </row>
    <row r="36" spans="1:10" x14ac:dyDescent="0.2">
      <c r="A36" s="46" t="s">
        <v>138</v>
      </c>
      <c r="B36" s="43"/>
      <c r="C36" s="26">
        <v>0.13</v>
      </c>
      <c r="D36" s="26">
        <f>D35*C36</f>
        <v>1.1778428895999999</v>
      </c>
      <c r="E36" s="26"/>
      <c r="F36" s="26">
        <f>C36</f>
        <v>0.13</v>
      </c>
      <c r="G36" s="26">
        <f>G35*F36</f>
        <v>1.199764592</v>
      </c>
      <c r="H36" s="26">
        <f t="shared" si="2"/>
        <v>2.192170240000002E-2</v>
      </c>
      <c r="I36" s="44">
        <f t="shared" si="3"/>
        <v>1.8611737264419635E-2</v>
      </c>
      <c r="J36" s="45">
        <f t="shared" si="9"/>
        <v>0.12380952380952381</v>
      </c>
    </row>
    <row r="37" spans="1:10" x14ac:dyDescent="0.2">
      <c r="A37" s="46" t="s">
        <v>139</v>
      </c>
      <c r="B37" s="24"/>
      <c r="C37" s="25"/>
      <c r="D37" s="25">
        <f>SUM(D35:D36)</f>
        <v>10.238172809599998</v>
      </c>
      <c r="E37" s="25"/>
      <c r="F37" s="25"/>
      <c r="G37" s="25">
        <f>SUM(G35:G36)</f>
        <v>10.428722991999999</v>
      </c>
      <c r="H37" s="25">
        <f t="shared" si="2"/>
        <v>0.19055018240000088</v>
      </c>
      <c r="I37" s="27">
        <f t="shared" si="3"/>
        <v>1.8611737264419705E-2</v>
      </c>
      <c r="J37" s="47">
        <f t="shared" si="9"/>
        <v>1.0761904761904761</v>
      </c>
    </row>
    <row r="38" spans="1:10" x14ac:dyDescent="0.2">
      <c r="A38" s="46" t="s">
        <v>140</v>
      </c>
      <c r="B38" s="43"/>
      <c r="C38" s="26">
        <v>-0.08</v>
      </c>
      <c r="D38" s="26">
        <f>D35*C38</f>
        <v>-0.7248263935999999</v>
      </c>
      <c r="E38" s="26"/>
      <c r="F38" s="26">
        <f>C38</f>
        <v>-0.08</v>
      </c>
      <c r="G38" s="26">
        <f>G35*F38</f>
        <v>-0.73831667199999995</v>
      </c>
      <c r="H38" s="26">
        <f t="shared" si="2"/>
        <v>-1.3490278400000055E-2</v>
      </c>
      <c r="I38" s="44">
        <f t="shared" si="3"/>
        <v>1.8611737264419694E-2</v>
      </c>
      <c r="J38" s="45">
        <f t="shared" si="9"/>
        <v>-7.6190476190476197E-2</v>
      </c>
    </row>
    <row r="39" spans="1:10" ht="13.5" thickBot="1" x14ac:dyDescent="0.25">
      <c r="A39" s="46" t="s">
        <v>141</v>
      </c>
      <c r="B39" s="49"/>
      <c r="C39" s="50"/>
      <c r="D39" s="50">
        <f>SUM(D37:D38)</f>
        <v>9.5133464159999974</v>
      </c>
      <c r="E39" s="50"/>
      <c r="F39" s="50"/>
      <c r="G39" s="50">
        <f>SUM(G37:G38)</f>
        <v>9.6904063199999992</v>
      </c>
      <c r="H39" s="50">
        <f t="shared" si="2"/>
        <v>0.17705990400000182</v>
      </c>
      <c r="I39" s="51">
        <f t="shared" si="3"/>
        <v>1.8611737264419812E-2</v>
      </c>
      <c r="J39" s="52">
        <f t="shared" si="9"/>
        <v>1</v>
      </c>
    </row>
    <row r="40" spans="1:10" x14ac:dyDescent="0.2">
      <c r="D40" s="72"/>
      <c r="F40" s="69"/>
    </row>
    <row r="41" spans="1:10" x14ac:dyDescent="0.2">
      <c r="F41" s="69"/>
    </row>
    <row r="42" spans="1:10" x14ac:dyDescent="0.2">
      <c r="A42" s="70"/>
      <c r="B42" s="71"/>
      <c r="F42" s="69"/>
    </row>
    <row r="43" spans="1:10" x14ac:dyDescent="0.2">
      <c r="B43" s="72"/>
      <c r="D43" s="72"/>
      <c r="F43" s="69"/>
    </row>
    <row r="44" spans="1:10" x14ac:dyDescent="0.2">
      <c r="F44" s="69"/>
    </row>
    <row r="45" spans="1:10" x14ac:dyDescent="0.2">
      <c r="F45" s="69"/>
    </row>
    <row r="46" spans="1:10" x14ac:dyDescent="0.2">
      <c r="F46" s="69"/>
    </row>
    <row r="47" spans="1:10" x14ac:dyDescent="0.2">
      <c r="F47" s="69"/>
    </row>
    <row r="48" spans="1:10" x14ac:dyDescent="0.2">
      <c r="F48" s="69"/>
    </row>
    <row r="49" spans="6:6" x14ac:dyDescent="0.2">
      <c r="F49" s="69"/>
    </row>
    <row r="50" spans="6:6" x14ac:dyDescent="0.2">
      <c r="F50" s="69"/>
    </row>
  </sheetData>
  <mergeCells count="1">
    <mergeCell ref="A1:J1"/>
  </mergeCell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Impacts'!$A$3:$A$11</xm:f>
          </x14:formula1>
          <xm:sqref>B3</xm:sqref>
        </x14:dataValidation>
      </x14:dataValidations>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tabColor theme="1" tint="0.499984740745262"/>
    <pageSetUpPr fitToPage="1"/>
  </sheetPr>
  <dimension ref="A1:J50"/>
  <sheetViews>
    <sheetView topLeftCell="A7" workbookViewId="0">
      <selection activeCell="C19" sqref="C19"/>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48" t="s">
        <v>112</v>
      </c>
      <c r="B1" s="349"/>
      <c r="C1" s="349"/>
      <c r="D1" s="349"/>
      <c r="E1" s="349"/>
      <c r="F1" s="349"/>
      <c r="G1" s="349"/>
      <c r="H1" s="349"/>
      <c r="I1" s="349"/>
      <c r="J1" s="350"/>
    </row>
    <row r="3" spans="1:10" x14ac:dyDescent="0.2">
      <c r="A3" s="13" t="s">
        <v>13</v>
      </c>
      <c r="B3" s="13" t="s">
        <v>9</v>
      </c>
    </row>
    <row r="4" spans="1:10" x14ac:dyDescent="0.2">
      <c r="A4" s="15" t="s">
        <v>62</v>
      </c>
      <c r="B4" s="79">
        <f>'Data for Bill Impacts_HONI Avg '!C10</f>
        <v>71</v>
      </c>
    </row>
    <row r="5" spans="1:10" x14ac:dyDescent="0.2">
      <c r="A5" s="15" t="s">
        <v>16</v>
      </c>
      <c r="B5" s="15">
        <f>VLOOKUP($B$3,'Data for Bill Impacts'!$A$3:$Y$15,5,0)</f>
        <v>0</v>
      </c>
    </row>
    <row r="6" spans="1:10" x14ac:dyDescent="0.2">
      <c r="A6" s="15" t="s">
        <v>20</v>
      </c>
      <c r="B6" s="15">
        <f>VLOOKUP($B$3,'Data for Bill Impacts'!$A$3:$Y$15,2,0)</f>
        <v>1.0920000000000001</v>
      </c>
    </row>
    <row r="7" spans="1:10" x14ac:dyDescent="0.2">
      <c r="A7" s="15" t="s">
        <v>15</v>
      </c>
      <c r="B7" s="15">
        <f>VLOOKUP($B$3,'Data for Bill Impacts'!$A$3:$Y$15,4,0)</f>
        <v>750</v>
      </c>
    </row>
    <row r="8" spans="1:10" x14ac:dyDescent="0.2">
      <c r="A8" s="15" t="s">
        <v>82</v>
      </c>
      <c r="B8" s="15">
        <f>B4*B6</f>
        <v>77.532000000000011</v>
      </c>
    </row>
    <row r="9" spans="1:10" x14ac:dyDescent="0.2">
      <c r="A9" s="15" t="s">
        <v>21</v>
      </c>
      <c r="B9" s="16" t="str">
        <f>VLOOKUP($B$3,'Data for Bill Impacts'!$A$3:$Y$15,6,0)</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3" t="s">
        <v>29</v>
      </c>
    </row>
    <row r="12" spans="1:10" x14ac:dyDescent="0.2">
      <c r="A12" s="101" t="s">
        <v>31</v>
      </c>
      <c r="B12" s="102">
        <f>IF(B4&gt;B7,B7,B4)</f>
        <v>71</v>
      </c>
      <c r="C12" s="103">
        <v>0.10299999999999999</v>
      </c>
      <c r="D12" s="104">
        <f>B12*C12</f>
        <v>7.3129999999999997</v>
      </c>
      <c r="E12" s="102">
        <f>B12</f>
        <v>71</v>
      </c>
      <c r="F12" s="103">
        <f>C12</f>
        <v>0.10299999999999999</v>
      </c>
      <c r="G12" s="104">
        <f>E12*F12</f>
        <v>7.3129999999999997</v>
      </c>
      <c r="H12" s="104">
        <f>G12-D12</f>
        <v>0</v>
      </c>
      <c r="I12" s="105">
        <f>IF(ISERROR(H12/D12),0,(H12/D12))</f>
        <v>0</v>
      </c>
      <c r="J12" s="124">
        <f t="shared" ref="J12:J39" si="0">G12/$G$39</f>
        <v>0.30353759595885355</v>
      </c>
    </row>
    <row r="13" spans="1:10" x14ac:dyDescent="0.2">
      <c r="A13" s="107" t="s">
        <v>32</v>
      </c>
      <c r="B13" s="73">
        <f>IF(B4&gt;B7,(B4)-B7,0)</f>
        <v>0</v>
      </c>
      <c r="C13" s="21">
        <v>0.121</v>
      </c>
      <c r="D13" s="22">
        <f>B13*C13</f>
        <v>0</v>
      </c>
      <c r="E13" s="73">
        <f t="shared" ref="E13" si="1">B13</f>
        <v>0</v>
      </c>
      <c r="F13" s="21">
        <f>C13</f>
        <v>0.121</v>
      </c>
      <c r="G13" s="22">
        <f>E13*F13</f>
        <v>0</v>
      </c>
      <c r="H13" s="22">
        <f t="shared" ref="H13:H39" si="2">G13-D13</f>
        <v>0</v>
      </c>
      <c r="I13" s="23">
        <f t="shared" ref="I13:I39" si="3">IF(ISERROR(H13/D13),0,(H13/D13))</f>
        <v>0</v>
      </c>
      <c r="J13" s="125">
        <f t="shared" si="0"/>
        <v>0</v>
      </c>
    </row>
    <row r="14" spans="1:10" s="1" customFormat="1" x14ac:dyDescent="0.2">
      <c r="A14" s="46" t="s">
        <v>33</v>
      </c>
      <c r="B14" s="24"/>
      <c r="C14" s="25"/>
      <c r="D14" s="25">
        <f>SUM(D12:D13)</f>
        <v>7.3129999999999997</v>
      </c>
      <c r="E14" s="76"/>
      <c r="F14" s="25"/>
      <c r="G14" s="25">
        <f>SUM(G12:G13)</f>
        <v>7.3129999999999997</v>
      </c>
      <c r="H14" s="25">
        <f t="shared" si="2"/>
        <v>0</v>
      </c>
      <c r="I14" s="27">
        <f t="shared" si="3"/>
        <v>0</v>
      </c>
      <c r="J14" s="47">
        <f t="shared" si="0"/>
        <v>0.30353759595885355</v>
      </c>
    </row>
    <row r="15" spans="1:10" x14ac:dyDescent="0.2">
      <c r="A15" s="107" t="s">
        <v>38</v>
      </c>
      <c r="B15" s="73">
        <v>1</v>
      </c>
      <c r="C15" s="78">
        <f>VLOOKUP($B$3,'Data for Bill Impacts'!$A$3:$Y$15,7,0)</f>
        <v>3.45</v>
      </c>
      <c r="D15" s="22">
        <f>B15*C15</f>
        <v>3.45</v>
      </c>
      <c r="E15" s="73">
        <f t="shared" ref="E15:E34" si="4">B15</f>
        <v>1</v>
      </c>
      <c r="F15" s="122">
        <f>VLOOKUP($B$3,'Data for Bill Impacts'!$A$3:$Y$15,17,0)</f>
        <v>3.6</v>
      </c>
      <c r="G15" s="22">
        <f>E15*F15</f>
        <v>3.6</v>
      </c>
      <c r="H15" s="22">
        <f t="shared" si="2"/>
        <v>0.14999999999999991</v>
      </c>
      <c r="I15" s="23">
        <f t="shared" si="3"/>
        <v>4.3478260869565188E-2</v>
      </c>
      <c r="J15" s="125">
        <f t="shared" si="0"/>
        <v>0.14942367639161394</v>
      </c>
    </row>
    <row r="16" spans="1:10" hidden="1" x14ac:dyDescent="0.2">
      <c r="A16" s="107" t="s">
        <v>90</v>
      </c>
      <c r="B16" s="73">
        <v>1</v>
      </c>
      <c r="C16" s="78">
        <v>0</v>
      </c>
      <c r="D16" s="22">
        <f>B16*C16</f>
        <v>0</v>
      </c>
      <c r="E16" s="73">
        <f t="shared" si="4"/>
        <v>1</v>
      </c>
      <c r="F16" s="78">
        <v>0</v>
      </c>
      <c r="G16" s="22">
        <f t="shared" ref="G16:G18" si="5">E16*F16</f>
        <v>0</v>
      </c>
      <c r="H16" s="22">
        <f t="shared" si="2"/>
        <v>0</v>
      </c>
      <c r="I16" s="23">
        <f t="shared" si="3"/>
        <v>0</v>
      </c>
      <c r="J16" s="125">
        <f t="shared" si="0"/>
        <v>0</v>
      </c>
    </row>
    <row r="17" spans="1:10" hidden="1" x14ac:dyDescent="0.2">
      <c r="A17" s="107" t="s">
        <v>84</v>
      </c>
      <c r="B17" s="73">
        <v>1</v>
      </c>
      <c r="C17" s="78">
        <v>0</v>
      </c>
      <c r="D17" s="22">
        <f t="shared" ref="D17:D18" si="6">B17*C17</f>
        <v>0</v>
      </c>
      <c r="E17" s="73">
        <f t="shared" si="4"/>
        <v>1</v>
      </c>
      <c r="F17" s="78">
        <v>0</v>
      </c>
      <c r="G17" s="22">
        <f t="shared" si="5"/>
        <v>0</v>
      </c>
      <c r="H17" s="22">
        <f t="shared" si="2"/>
        <v>0</v>
      </c>
      <c r="I17" s="23">
        <f t="shared" si="3"/>
        <v>0</v>
      </c>
      <c r="J17" s="125">
        <f t="shared" si="0"/>
        <v>0</v>
      </c>
    </row>
    <row r="18" spans="1:10" x14ac:dyDescent="0.2">
      <c r="A18" s="107" t="s">
        <v>85</v>
      </c>
      <c r="B18" s="73">
        <v>1</v>
      </c>
      <c r="C18" s="122">
        <f>VLOOKUP($B$3,'Data for Bill Impacts'!$A$3:$Y$15,13,0)</f>
        <v>0</v>
      </c>
      <c r="D18" s="22">
        <f t="shared" si="6"/>
        <v>0</v>
      </c>
      <c r="E18" s="73">
        <f t="shared" si="4"/>
        <v>1</v>
      </c>
      <c r="F18" s="122">
        <f>VLOOKUP($B$3,'Data for Bill Impacts'!$A$3:$Y$15,22,0)</f>
        <v>0</v>
      </c>
      <c r="G18" s="22">
        <f t="shared" si="5"/>
        <v>0</v>
      </c>
      <c r="H18" s="22">
        <f t="shared" si="2"/>
        <v>0</v>
      </c>
      <c r="I18" s="23">
        <f t="shared" si="3"/>
        <v>0</v>
      </c>
      <c r="J18" s="125">
        <f t="shared" si="0"/>
        <v>0</v>
      </c>
    </row>
    <row r="19" spans="1:10" x14ac:dyDescent="0.2">
      <c r="A19" s="107" t="s">
        <v>39</v>
      </c>
      <c r="B19" s="73">
        <f>IF($B$9="kWh",$B$4,$B$5)</f>
        <v>71</v>
      </c>
      <c r="C19" s="126">
        <f>VLOOKUP($B$3,'Data for Bill Impacts'!$A$3:$Y$15,10,0)</f>
        <v>0.13120000000000001</v>
      </c>
      <c r="D19" s="22">
        <f>B19*C19</f>
        <v>9.3152000000000008</v>
      </c>
      <c r="E19" s="73">
        <f t="shared" si="4"/>
        <v>71</v>
      </c>
      <c r="F19" s="126">
        <f>VLOOKUP($B$3,'Data for Bill Impacts'!$A$3:$Y$15,19,0)</f>
        <v>0.1338</v>
      </c>
      <c r="G19" s="22">
        <f>E19*F19</f>
        <v>9.4998000000000005</v>
      </c>
      <c r="H19" s="22">
        <f t="shared" si="2"/>
        <v>0.18459999999999965</v>
      </c>
      <c r="I19" s="23">
        <f t="shared" si="3"/>
        <v>1.9817073170731669E-2</v>
      </c>
      <c r="J19" s="125">
        <f t="shared" si="0"/>
        <v>0.39430417805140394</v>
      </c>
    </row>
    <row r="20" spans="1:10" s="1" customFormat="1" x14ac:dyDescent="0.2">
      <c r="A20" s="107" t="s">
        <v>194</v>
      </c>
      <c r="B20" s="73">
        <f>IF($B$9="kWh",$B$4,$B$5)</f>
        <v>71</v>
      </c>
      <c r="C20" s="126">
        <f>VLOOKUP($B$3,'Data for Bill Impacts'!$A$3:$Y$15,14,0)</f>
        <v>1E-4</v>
      </c>
      <c r="D20" s="22">
        <f>B20*C20</f>
        <v>7.1000000000000004E-3</v>
      </c>
      <c r="E20" s="73">
        <f>B20</f>
        <v>71</v>
      </c>
      <c r="F20" s="126">
        <f>VLOOKUP($B$3,'Data for Bill Impacts'!$A$3:$Y$15,23,0)</f>
        <v>1E-4</v>
      </c>
      <c r="G20" s="22">
        <f>E20*F20</f>
        <v>7.1000000000000004E-3</v>
      </c>
      <c r="H20" s="22">
        <f>G20-D20</f>
        <v>0</v>
      </c>
      <c r="I20" s="23">
        <f>IF(ISERROR(H20/D20),0,(H20/D20))</f>
        <v>0</v>
      </c>
      <c r="J20" s="125">
        <f t="shared" si="0"/>
        <v>2.9469669510568308E-4</v>
      </c>
    </row>
    <row r="21" spans="1:10" hidden="1" x14ac:dyDescent="0.2">
      <c r="A21" s="107" t="s">
        <v>86</v>
      </c>
      <c r="B21" s="73">
        <f>IF($B$9="kWh",$B$4,$B$5)</f>
        <v>71</v>
      </c>
      <c r="C21" s="126">
        <v>0</v>
      </c>
      <c r="D21" s="22">
        <f>B21*C21</f>
        <v>0</v>
      </c>
      <c r="E21" s="73">
        <f t="shared" si="4"/>
        <v>71</v>
      </c>
      <c r="F21" s="78">
        <v>0</v>
      </c>
      <c r="G21" s="22">
        <f>E21*F21</f>
        <v>0</v>
      </c>
      <c r="H21" s="22">
        <f t="shared" si="2"/>
        <v>0</v>
      </c>
      <c r="I21" s="23">
        <f>IF(ISERROR(H21/D21),0,(H21/D21))</f>
        <v>0</v>
      </c>
      <c r="J21" s="125">
        <f t="shared" si="0"/>
        <v>0</v>
      </c>
    </row>
    <row r="22" spans="1:10" x14ac:dyDescent="0.2">
      <c r="A22" s="110" t="s">
        <v>72</v>
      </c>
      <c r="B22" s="74"/>
      <c r="C22" s="35"/>
      <c r="D22" s="35">
        <f>SUM(D15:D21)</f>
        <v>12.7723</v>
      </c>
      <c r="E22" s="73"/>
      <c r="F22" s="35"/>
      <c r="G22" s="35">
        <f>SUM(G15:G21)</f>
        <v>13.1069</v>
      </c>
      <c r="H22" s="35">
        <f t="shared" si="2"/>
        <v>0.33460000000000001</v>
      </c>
      <c r="I22" s="36">
        <f t="shared" si="3"/>
        <v>2.6197317632689492E-2</v>
      </c>
      <c r="J22" s="111">
        <f t="shared" si="0"/>
        <v>0.54402255113812359</v>
      </c>
    </row>
    <row r="23" spans="1:10" s="1" customFormat="1" x14ac:dyDescent="0.2">
      <c r="A23" s="119" t="s">
        <v>81</v>
      </c>
      <c r="B23" s="120">
        <f>B8-B4</f>
        <v>6.5320000000000107</v>
      </c>
      <c r="C23" s="121">
        <f>IF(B4&gt;B7,C13,C12)</f>
        <v>0.10299999999999999</v>
      </c>
      <c r="D23" s="22">
        <f>B23*C23</f>
        <v>0.67279600000000106</v>
      </c>
      <c r="E23" s="73">
        <f>B23</f>
        <v>6.5320000000000107</v>
      </c>
      <c r="F23" s="121">
        <f>C23</f>
        <v>0.10299999999999999</v>
      </c>
      <c r="G23" s="22">
        <f>E23*F23</f>
        <v>0.67279600000000106</v>
      </c>
      <c r="H23" s="22">
        <f t="shared" si="2"/>
        <v>0</v>
      </c>
      <c r="I23" s="23">
        <f>IF(ISERROR(H23/D23),0,(H23/D23))</f>
        <v>0</v>
      </c>
      <c r="J23" s="125">
        <f t="shared" si="0"/>
        <v>2.792545882821457E-2</v>
      </c>
    </row>
    <row r="24" spans="1:10" x14ac:dyDescent="0.2">
      <c r="A24" s="110" t="s">
        <v>79</v>
      </c>
      <c r="B24" s="74"/>
      <c r="C24" s="35"/>
      <c r="D24" s="35">
        <f>SUM(D22,D23:D23)</f>
        <v>13.445096000000001</v>
      </c>
      <c r="E24" s="73"/>
      <c r="F24" s="35"/>
      <c r="G24" s="35">
        <f>SUM(G22,G23:G23)</f>
        <v>13.779696000000001</v>
      </c>
      <c r="H24" s="35">
        <f t="shared" si="2"/>
        <v>0.33460000000000001</v>
      </c>
      <c r="I24" s="36">
        <f>IF(ISERROR(H24/D24),0,(H24/D24))</f>
        <v>2.4886397241046101E-2</v>
      </c>
      <c r="J24" s="111">
        <f t="shared" si="0"/>
        <v>0.5719480099663381</v>
      </c>
    </row>
    <row r="25" spans="1:10" x14ac:dyDescent="0.2">
      <c r="A25" s="107" t="s">
        <v>40</v>
      </c>
      <c r="B25" s="73">
        <f>B8</f>
        <v>77.532000000000011</v>
      </c>
      <c r="C25" s="126">
        <f>VLOOKUP($B$3,'Data for Bill Impacts'!$A$3:$Y$15,15,0)</f>
        <v>4.6979999999999999E-3</v>
      </c>
      <c r="D25" s="22">
        <f>B25*C25</f>
        <v>0.36424533600000003</v>
      </c>
      <c r="E25" s="73">
        <f t="shared" si="4"/>
        <v>77.532000000000011</v>
      </c>
      <c r="F25" s="126">
        <f>VLOOKUP($B$3,'Data for Bill Impacts'!$A$3:$Y$15,24,0)</f>
        <v>3.836E-3</v>
      </c>
      <c r="G25" s="22">
        <f>E25*F25</f>
        <v>0.29741275200000006</v>
      </c>
      <c r="H25" s="22">
        <f t="shared" si="2"/>
        <v>-6.6832583999999973E-2</v>
      </c>
      <c r="I25" s="23">
        <f t="shared" si="3"/>
        <v>-0.18348233290762017</v>
      </c>
      <c r="J25" s="125">
        <f t="shared" si="0"/>
        <v>1.2344585224885372E-2</v>
      </c>
    </row>
    <row r="26" spans="1:10" s="1" customFormat="1" x14ac:dyDescent="0.2">
      <c r="A26" s="107" t="s">
        <v>41</v>
      </c>
      <c r="B26" s="73">
        <f>B8</f>
        <v>77.532000000000011</v>
      </c>
      <c r="C26" s="126">
        <f>VLOOKUP($B$3,'Data for Bill Impacts'!$A$3:$Y$15,16,0)</f>
        <v>4.2899999999999995E-3</v>
      </c>
      <c r="D26" s="22">
        <f>B26*C26</f>
        <v>0.33261228000000004</v>
      </c>
      <c r="E26" s="73">
        <f t="shared" si="4"/>
        <v>77.532000000000011</v>
      </c>
      <c r="F26" s="126">
        <f>VLOOKUP($B$3,'Data for Bill Impacts'!$A$3:$Y$15,25,0)</f>
        <v>3.6240000000000001E-3</v>
      </c>
      <c r="G26" s="22">
        <f>E26*F26</f>
        <v>0.28097596800000002</v>
      </c>
      <c r="H26" s="22">
        <f t="shared" si="2"/>
        <v>-5.1636312000000018E-2</v>
      </c>
      <c r="I26" s="23">
        <f t="shared" si="3"/>
        <v>-0.15524475524475528</v>
      </c>
      <c r="J26" s="125">
        <f t="shared" si="0"/>
        <v>1.1662350587847911E-2</v>
      </c>
    </row>
    <row r="27" spans="1:10" s="1" customFormat="1" x14ac:dyDescent="0.2">
      <c r="A27" s="110" t="s">
        <v>76</v>
      </c>
      <c r="B27" s="74"/>
      <c r="C27" s="35"/>
      <c r="D27" s="35">
        <f>SUM(D25:D26)</f>
        <v>0.69685761600000007</v>
      </c>
      <c r="E27" s="73"/>
      <c r="F27" s="35"/>
      <c r="G27" s="35">
        <f>SUM(G25:G26)</f>
        <v>0.57838872000000008</v>
      </c>
      <c r="H27" s="35">
        <f t="shared" si="2"/>
        <v>-0.11846889599999999</v>
      </c>
      <c r="I27" s="36">
        <f t="shared" si="3"/>
        <v>-0.17000445037828213</v>
      </c>
      <c r="J27" s="111">
        <f t="shared" si="0"/>
        <v>2.4006935812733284E-2</v>
      </c>
    </row>
    <row r="28" spans="1:10" s="1" customFormat="1" x14ac:dyDescent="0.2">
      <c r="A28" s="110" t="s">
        <v>80</v>
      </c>
      <c r="B28" s="74"/>
      <c r="C28" s="35"/>
      <c r="D28" s="35">
        <f>D24+D27</f>
        <v>14.141953616000002</v>
      </c>
      <c r="E28" s="73"/>
      <c r="F28" s="35"/>
      <c r="G28" s="35">
        <f>G24+G27</f>
        <v>14.358084720000001</v>
      </c>
      <c r="H28" s="35">
        <f t="shared" si="2"/>
        <v>0.21613110399999869</v>
      </c>
      <c r="I28" s="36">
        <f t="shared" si="3"/>
        <v>1.5282973616563915E-2</v>
      </c>
      <c r="J28" s="111">
        <f t="shared" si="0"/>
        <v>0.59595494577907138</v>
      </c>
    </row>
    <row r="29" spans="1:10" x14ac:dyDescent="0.2">
      <c r="A29" s="107" t="s">
        <v>42</v>
      </c>
      <c r="B29" s="73">
        <f>B8</f>
        <v>77.532000000000011</v>
      </c>
      <c r="C29" s="34">
        <v>3.5999999999999999E-3</v>
      </c>
      <c r="D29" s="22">
        <f>B29*C29</f>
        <v>0.27911520000000001</v>
      </c>
      <c r="E29" s="73">
        <f t="shared" si="4"/>
        <v>77.532000000000011</v>
      </c>
      <c r="F29" s="34">
        <v>3.5999999999999999E-3</v>
      </c>
      <c r="G29" s="22">
        <f>E29*F29</f>
        <v>0.27911520000000001</v>
      </c>
      <c r="H29" s="22">
        <f t="shared" si="2"/>
        <v>0</v>
      </c>
      <c r="I29" s="23">
        <f t="shared" si="3"/>
        <v>0</v>
      </c>
      <c r="J29" s="125">
        <f t="shared" si="0"/>
        <v>1.1585116477994612E-2</v>
      </c>
    </row>
    <row r="30" spans="1:10" s="1" customFormat="1" x14ac:dyDescent="0.2">
      <c r="A30" s="107" t="s">
        <v>43</v>
      </c>
      <c r="B30" s="73">
        <f>B8</f>
        <v>77.532000000000011</v>
      </c>
      <c r="C30" s="34">
        <v>2.0999999999999999E-3</v>
      </c>
      <c r="D30" s="22">
        <f>B30*C30</f>
        <v>0.16281720000000002</v>
      </c>
      <c r="E30" s="73">
        <f t="shared" si="4"/>
        <v>77.532000000000011</v>
      </c>
      <c r="F30" s="34">
        <v>2.0999999999999999E-3</v>
      </c>
      <c r="G30" s="22">
        <f>E30*F30</f>
        <v>0.16281720000000002</v>
      </c>
      <c r="H30" s="22">
        <f>G30-D30</f>
        <v>0</v>
      </c>
      <c r="I30" s="23">
        <f t="shared" si="3"/>
        <v>0</v>
      </c>
      <c r="J30" s="125">
        <f t="shared" si="0"/>
        <v>6.7579846121635246E-3</v>
      </c>
    </row>
    <row r="31" spans="1:10" s="1" customFormat="1" x14ac:dyDescent="0.2">
      <c r="A31" s="107" t="s">
        <v>100</v>
      </c>
      <c r="B31" s="73">
        <f>B8</f>
        <v>77.532000000000011</v>
      </c>
      <c r="C31" s="34">
        <v>1.1000000000000001E-3</v>
      </c>
      <c r="D31" s="22">
        <f>B31*C31</f>
        <v>8.5285200000000019E-2</v>
      </c>
      <c r="E31" s="73">
        <f t="shared" si="4"/>
        <v>77.532000000000011</v>
      </c>
      <c r="F31" s="34">
        <v>1.1000000000000001E-3</v>
      </c>
      <c r="G31" s="22">
        <f>E31*F31</f>
        <v>8.5285200000000019E-2</v>
      </c>
      <c r="H31" s="22">
        <f>G31-D31</f>
        <v>0</v>
      </c>
      <c r="I31" s="23">
        <f t="shared" si="3"/>
        <v>0</v>
      </c>
      <c r="J31" s="125">
        <f t="shared" si="0"/>
        <v>3.5398967016094657E-3</v>
      </c>
    </row>
    <row r="32" spans="1:10" x14ac:dyDescent="0.2">
      <c r="A32" s="107" t="s">
        <v>44</v>
      </c>
      <c r="B32" s="73">
        <v>1</v>
      </c>
      <c r="C32" s="22">
        <v>0.25</v>
      </c>
      <c r="D32" s="22">
        <f>B32*C32</f>
        <v>0.25</v>
      </c>
      <c r="E32" s="73">
        <f t="shared" si="4"/>
        <v>1</v>
      </c>
      <c r="F32" s="22">
        <f>C32</f>
        <v>0.25</v>
      </c>
      <c r="G32" s="22">
        <f>E32*F32</f>
        <v>0.25</v>
      </c>
      <c r="H32" s="22">
        <f t="shared" si="2"/>
        <v>0</v>
      </c>
      <c r="I32" s="23">
        <f t="shared" si="3"/>
        <v>0</v>
      </c>
      <c r="J32" s="125">
        <f t="shared" si="0"/>
        <v>1.037664419386208E-2</v>
      </c>
    </row>
    <row r="33" spans="1:10" s="1" customFormat="1" x14ac:dyDescent="0.2">
      <c r="A33" s="110" t="s">
        <v>45</v>
      </c>
      <c r="B33" s="74"/>
      <c r="C33" s="35"/>
      <c r="D33" s="35">
        <f>SUM(D29:D32)</f>
        <v>0.77721760000000006</v>
      </c>
      <c r="E33" s="73"/>
      <c r="F33" s="35"/>
      <c r="G33" s="35">
        <f>SUM(G29:G32)</f>
        <v>0.77721760000000006</v>
      </c>
      <c r="H33" s="35">
        <f t="shared" si="2"/>
        <v>0</v>
      </c>
      <c r="I33" s="36">
        <f t="shared" si="3"/>
        <v>0</v>
      </c>
      <c r="J33" s="111">
        <f t="shared" si="0"/>
        <v>3.2259641985629681E-2</v>
      </c>
    </row>
    <row r="34" spans="1:10" ht="13.5" thickBot="1" x14ac:dyDescent="0.25">
      <c r="A34" s="112" t="s">
        <v>46</v>
      </c>
      <c r="B34" s="113">
        <f>B4</f>
        <v>71</v>
      </c>
      <c r="C34" s="114">
        <v>7.0000000000000001E-3</v>
      </c>
      <c r="D34" s="115">
        <f>B34*C34</f>
        <v>0.497</v>
      </c>
      <c r="E34" s="116">
        <f t="shared" si="4"/>
        <v>71</v>
      </c>
      <c r="F34" s="114">
        <f>C34</f>
        <v>7.0000000000000001E-3</v>
      </c>
      <c r="G34" s="115">
        <f>E34*F34</f>
        <v>0.497</v>
      </c>
      <c r="H34" s="115">
        <f t="shared" si="2"/>
        <v>0</v>
      </c>
      <c r="I34" s="117">
        <f t="shared" si="3"/>
        <v>0</v>
      </c>
      <c r="J34" s="118">
        <f t="shared" si="0"/>
        <v>2.0628768657397815E-2</v>
      </c>
    </row>
    <row r="35" spans="1:10" x14ac:dyDescent="0.2">
      <c r="A35" s="37" t="s">
        <v>146</v>
      </c>
      <c r="B35" s="38"/>
      <c r="C35" s="39"/>
      <c r="D35" s="39">
        <f>SUM(D14,D24,D27,D33,D34)</f>
        <v>22.729171216000001</v>
      </c>
      <c r="E35" s="38"/>
      <c r="F35" s="39"/>
      <c r="G35" s="39">
        <f>SUM(G14,G24,G27,G33,G34)</f>
        <v>22.94530232</v>
      </c>
      <c r="H35" s="39">
        <f t="shared" si="2"/>
        <v>0.21613110399999869</v>
      </c>
      <c r="I35" s="40">
        <f>IF(ISERROR(H35/D35),0,(H35/D35))</f>
        <v>9.5089742580607203E-3</v>
      </c>
      <c r="J35" s="41">
        <f t="shared" si="0"/>
        <v>0.95238095238095244</v>
      </c>
    </row>
    <row r="36" spans="1:10" x14ac:dyDescent="0.2">
      <c r="A36" s="46" t="s">
        <v>138</v>
      </c>
      <c r="B36" s="43"/>
      <c r="C36" s="26">
        <v>0.13</v>
      </c>
      <c r="D36" s="26">
        <f>D35*C36</f>
        <v>2.9547922580800003</v>
      </c>
      <c r="E36" s="26"/>
      <c r="F36" s="26">
        <f>C36</f>
        <v>0.13</v>
      </c>
      <c r="G36" s="26">
        <f>G35*F36</f>
        <v>2.9828893016000002</v>
      </c>
      <c r="H36" s="26">
        <f t="shared" si="2"/>
        <v>2.8097043519999865E-2</v>
      </c>
      <c r="I36" s="44">
        <f t="shared" si="3"/>
        <v>9.5089742580607307E-3</v>
      </c>
      <c r="J36" s="45">
        <f t="shared" si="0"/>
        <v>0.12380952380952383</v>
      </c>
    </row>
    <row r="37" spans="1:10" x14ac:dyDescent="0.2">
      <c r="A37" s="46" t="s">
        <v>139</v>
      </c>
      <c r="B37" s="24"/>
      <c r="C37" s="25"/>
      <c r="D37" s="25">
        <f>SUM(D35:D36)</f>
        <v>25.683963474080002</v>
      </c>
      <c r="E37" s="25"/>
      <c r="F37" s="25"/>
      <c r="G37" s="25">
        <f>SUM(G35:G36)</f>
        <v>25.9281916216</v>
      </c>
      <c r="H37" s="25">
        <f t="shared" si="2"/>
        <v>0.24422814751999766</v>
      </c>
      <c r="I37" s="27">
        <f t="shared" si="3"/>
        <v>9.5089742580606873E-3</v>
      </c>
      <c r="J37" s="47">
        <f t="shared" si="0"/>
        <v>1.0761904761904761</v>
      </c>
    </row>
    <row r="38" spans="1:10" x14ac:dyDescent="0.2">
      <c r="A38" s="46" t="s">
        <v>140</v>
      </c>
      <c r="B38" s="43"/>
      <c r="C38" s="26">
        <v>-0.08</v>
      </c>
      <c r="D38" s="26">
        <f>D35*C38</f>
        <v>-1.8183336972800002</v>
      </c>
      <c r="E38" s="26"/>
      <c r="F38" s="26">
        <f>C38</f>
        <v>-0.08</v>
      </c>
      <c r="G38" s="26">
        <f>G35*F38</f>
        <v>-1.8356241856</v>
      </c>
      <c r="H38" s="26">
        <f t="shared" si="2"/>
        <v>-1.7290488319999797E-2</v>
      </c>
      <c r="I38" s="44">
        <f t="shared" si="3"/>
        <v>9.5089742580606665E-3</v>
      </c>
      <c r="J38" s="45">
        <f t="shared" si="0"/>
        <v>-7.6190476190476183E-2</v>
      </c>
    </row>
    <row r="39" spans="1:10" ht="13.5" thickBot="1" x14ac:dyDescent="0.25">
      <c r="A39" s="46" t="s">
        <v>141</v>
      </c>
      <c r="B39" s="49"/>
      <c r="C39" s="50"/>
      <c r="D39" s="50">
        <f>SUM(D37:D38)</f>
        <v>23.865629776800002</v>
      </c>
      <c r="E39" s="50"/>
      <c r="F39" s="50"/>
      <c r="G39" s="50">
        <f>SUM(G37:G38)</f>
        <v>24.092567436</v>
      </c>
      <c r="H39" s="50">
        <f t="shared" si="2"/>
        <v>0.2269376591999972</v>
      </c>
      <c r="I39" s="51">
        <f t="shared" si="3"/>
        <v>9.5089742580606595E-3</v>
      </c>
      <c r="J39" s="52">
        <f t="shared" si="0"/>
        <v>1</v>
      </c>
    </row>
    <row r="40" spans="1:10" x14ac:dyDescent="0.2">
      <c r="D40" s="72"/>
      <c r="F40" s="69"/>
    </row>
    <row r="41" spans="1:10" x14ac:dyDescent="0.2">
      <c r="F41" s="69"/>
    </row>
    <row r="42" spans="1:10" x14ac:dyDescent="0.2">
      <c r="A42" s="70"/>
      <c r="B42" s="71"/>
      <c r="F42" s="69"/>
    </row>
    <row r="43" spans="1:10" x14ac:dyDescent="0.2">
      <c r="B43" s="72"/>
      <c r="D43" s="72"/>
      <c r="F43" s="69"/>
    </row>
    <row r="44" spans="1:10" x14ac:dyDescent="0.2">
      <c r="F44" s="69"/>
    </row>
    <row r="45" spans="1:10" x14ac:dyDescent="0.2">
      <c r="F45" s="69"/>
    </row>
    <row r="46" spans="1:10" x14ac:dyDescent="0.2">
      <c r="F46" s="69"/>
    </row>
    <row r="47" spans="1:10" x14ac:dyDescent="0.2">
      <c r="F47" s="69"/>
    </row>
    <row r="48" spans="1:10" x14ac:dyDescent="0.2">
      <c r="F48" s="69"/>
    </row>
    <row r="49" spans="6:6" x14ac:dyDescent="0.2">
      <c r="F49" s="69"/>
    </row>
    <row r="50" spans="6:6" x14ac:dyDescent="0.2">
      <c r="F50" s="69"/>
    </row>
  </sheetData>
  <mergeCells count="1">
    <mergeCell ref="A1:J1"/>
  </mergeCell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tabColor theme="1" tint="0.499984740745262"/>
    <pageSetUpPr fitToPage="1"/>
  </sheetPr>
  <dimension ref="A1:J50"/>
  <sheetViews>
    <sheetView view="pageBreakPreview" topLeftCell="A10" zoomScaleNormal="100" zoomScaleSheetLayoutView="100" workbookViewId="0">
      <selection activeCell="C19" sqref="C19"/>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48" t="s">
        <v>111</v>
      </c>
      <c r="B1" s="349"/>
      <c r="C1" s="349"/>
      <c r="D1" s="349"/>
      <c r="E1" s="349"/>
      <c r="F1" s="349"/>
      <c r="G1" s="349"/>
      <c r="H1" s="349"/>
      <c r="I1" s="349"/>
      <c r="J1" s="350"/>
    </row>
    <row r="3" spans="1:10" x14ac:dyDescent="0.2">
      <c r="A3" s="13" t="s">
        <v>13</v>
      </c>
      <c r="B3" s="13" t="s">
        <v>9</v>
      </c>
    </row>
    <row r="4" spans="1:10" x14ac:dyDescent="0.2">
      <c r="A4" s="15" t="s">
        <v>62</v>
      </c>
      <c r="B4" s="15">
        <v>200</v>
      </c>
    </row>
    <row r="5" spans="1:10" x14ac:dyDescent="0.2">
      <c r="A5" s="15" t="s">
        <v>16</v>
      </c>
      <c r="B5" s="15">
        <f>VLOOKUP($B$3,'Data for Bill Impacts'!$A$3:$Y$15,5,0)</f>
        <v>0</v>
      </c>
    </row>
    <row r="6" spans="1:10" x14ac:dyDescent="0.2">
      <c r="A6" s="15" t="s">
        <v>20</v>
      </c>
      <c r="B6" s="15">
        <f>VLOOKUP($B$3,'Data for Bill Impacts'!$A$3:$Y$15,2,0)</f>
        <v>1.0920000000000001</v>
      </c>
    </row>
    <row r="7" spans="1:10" x14ac:dyDescent="0.2">
      <c r="A7" s="15" t="s">
        <v>15</v>
      </c>
      <c r="B7" s="15">
        <f>VLOOKUP($B$3,'Data for Bill Impacts'!$A$3:$Y$15,4,0)</f>
        <v>750</v>
      </c>
    </row>
    <row r="8" spans="1:10" x14ac:dyDescent="0.2">
      <c r="A8" s="15" t="s">
        <v>82</v>
      </c>
      <c r="B8" s="15">
        <f>B4*B6</f>
        <v>218.4</v>
      </c>
    </row>
    <row r="9" spans="1:10" x14ac:dyDescent="0.2">
      <c r="A9" s="15" t="s">
        <v>21</v>
      </c>
      <c r="B9" s="16" t="str">
        <f>VLOOKUP($B$3,'Data for Bill Impacts'!$A$3:$Y$15,6,0)</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3" t="s">
        <v>29</v>
      </c>
    </row>
    <row r="12" spans="1:10" x14ac:dyDescent="0.2">
      <c r="A12" s="101" t="s">
        <v>31</v>
      </c>
      <c r="B12" s="102">
        <f>IF(B4&gt;B7,B7,B4)</f>
        <v>200</v>
      </c>
      <c r="C12" s="103">
        <v>0.10299999999999999</v>
      </c>
      <c r="D12" s="104">
        <f>B12*C12</f>
        <v>20.599999999999998</v>
      </c>
      <c r="E12" s="102">
        <f>B12</f>
        <v>200</v>
      </c>
      <c r="F12" s="103">
        <f>C12</f>
        <v>0.10299999999999999</v>
      </c>
      <c r="G12" s="104">
        <f>E12*F12</f>
        <v>20.599999999999998</v>
      </c>
      <c r="H12" s="104">
        <f>G12-D12</f>
        <v>0</v>
      </c>
      <c r="I12" s="105">
        <f>IF(ISERROR(H12/D12),0,(H12/D12))</f>
        <v>0</v>
      </c>
      <c r="J12" s="124">
        <f t="shared" ref="J12:J30" si="0">G12/$G$39</f>
        <v>0.34037455265200417</v>
      </c>
    </row>
    <row r="13" spans="1:10" x14ac:dyDescent="0.2">
      <c r="A13" s="107" t="s">
        <v>32</v>
      </c>
      <c r="B13" s="73">
        <f>IF(B4&gt;B7,(B4)-B7,0)</f>
        <v>0</v>
      </c>
      <c r="C13" s="21">
        <v>0.121</v>
      </c>
      <c r="D13" s="22">
        <f>B13*C13</f>
        <v>0</v>
      </c>
      <c r="E13" s="73">
        <f t="shared" ref="E13" si="1">B13</f>
        <v>0</v>
      </c>
      <c r="F13" s="21">
        <f>C13</f>
        <v>0.121</v>
      </c>
      <c r="G13" s="22">
        <f>E13*F13</f>
        <v>0</v>
      </c>
      <c r="H13" s="22">
        <f t="shared" ref="H13:H39" si="2">G13-D13</f>
        <v>0</v>
      </c>
      <c r="I13" s="23">
        <f t="shared" ref="I13:I39" si="3">IF(ISERROR(H13/D13),0,(H13/D13))</f>
        <v>0</v>
      </c>
      <c r="J13" s="125">
        <f t="shared" si="0"/>
        <v>0</v>
      </c>
    </row>
    <row r="14" spans="1:10" s="1" customFormat="1" x14ac:dyDescent="0.2">
      <c r="A14" s="46" t="s">
        <v>33</v>
      </c>
      <c r="B14" s="24"/>
      <c r="C14" s="25"/>
      <c r="D14" s="25">
        <f>SUM(D12:D13)</f>
        <v>20.599999999999998</v>
      </c>
      <c r="E14" s="76"/>
      <c r="F14" s="25"/>
      <c r="G14" s="25">
        <f>SUM(G12:G13)</f>
        <v>20.599999999999998</v>
      </c>
      <c r="H14" s="25">
        <f t="shared" si="2"/>
        <v>0</v>
      </c>
      <c r="I14" s="27">
        <f t="shared" si="3"/>
        <v>0</v>
      </c>
      <c r="J14" s="47">
        <f t="shared" si="0"/>
        <v>0.34037455265200417</v>
      </c>
    </row>
    <row r="15" spans="1:10" x14ac:dyDescent="0.2">
      <c r="A15" s="107" t="s">
        <v>38</v>
      </c>
      <c r="B15" s="73">
        <v>1</v>
      </c>
      <c r="C15" s="78">
        <f>VLOOKUP($B$3,'Data for Bill Impacts'!$A$3:$Y$15,7,0)</f>
        <v>3.45</v>
      </c>
      <c r="D15" s="22">
        <f>B15*C15</f>
        <v>3.45</v>
      </c>
      <c r="E15" s="73">
        <f t="shared" ref="E15:E34" si="4">B15</f>
        <v>1</v>
      </c>
      <c r="F15" s="122">
        <f>VLOOKUP($B$3,'Data for Bill Impacts'!$A$3:$Y$15,17,0)</f>
        <v>3.6</v>
      </c>
      <c r="G15" s="22">
        <f>E15*F15</f>
        <v>3.6</v>
      </c>
      <c r="H15" s="22">
        <f t="shared" si="2"/>
        <v>0.14999999999999991</v>
      </c>
      <c r="I15" s="23">
        <f t="shared" si="3"/>
        <v>4.3478260869565188E-2</v>
      </c>
      <c r="J15" s="125">
        <f t="shared" si="0"/>
        <v>5.9482931531418211E-2</v>
      </c>
    </row>
    <row r="16" spans="1:10" hidden="1" x14ac:dyDescent="0.2">
      <c r="A16" s="107" t="s">
        <v>90</v>
      </c>
      <c r="B16" s="73">
        <v>1</v>
      </c>
      <c r="C16" s="78">
        <v>0</v>
      </c>
      <c r="D16" s="22">
        <f>B16*C16</f>
        <v>0</v>
      </c>
      <c r="E16" s="73">
        <f t="shared" si="4"/>
        <v>1</v>
      </c>
      <c r="F16" s="78">
        <v>0</v>
      </c>
      <c r="G16" s="22">
        <f t="shared" ref="G16:G18" si="5">E16*F16</f>
        <v>0</v>
      </c>
      <c r="H16" s="22">
        <f t="shared" si="2"/>
        <v>0</v>
      </c>
      <c r="I16" s="23">
        <f t="shared" si="3"/>
        <v>0</v>
      </c>
      <c r="J16" s="125">
        <f t="shared" si="0"/>
        <v>0</v>
      </c>
    </row>
    <row r="17" spans="1:10" hidden="1" x14ac:dyDescent="0.2">
      <c r="A17" s="107" t="s">
        <v>84</v>
      </c>
      <c r="B17" s="73">
        <v>1</v>
      </c>
      <c r="C17" s="78">
        <v>0</v>
      </c>
      <c r="D17" s="22">
        <f t="shared" ref="D17:D18" si="6">B17*C17</f>
        <v>0</v>
      </c>
      <c r="E17" s="73">
        <f t="shared" si="4"/>
        <v>1</v>
      </c>
      <c r="F17" s="78">
        <v>0</v>
      </c>
      <c r="G17" s="22">
        <f t="shared" si="5"/>
        <v>0</v>
      </c>
      <c r="H17" s="22">
        <f t="shared" si="2"/>
        <v>0</v>
      </c>
      <c r="I17" s="23">
        <f t="shared" si="3"/>
        <v>0</v>
      </c>
      <c r="J17" s="125">
        <f t="shared" si="0"/>
        <v>0</v>
      </c>
    </row>
    <row r="18" spans="1:10" x14ac:dyDescent="0.2">
      <c r="A18" s="107" t="s">
        <v>85</v>
      </c>
      <c r="B18" s="73">
        <v>1</v>
      </c>
      <c r="C18" s="122">
        <f>VLOOKUP($B$3,'Data for Bill Impacts'!$A$3:$Y$15,13,0)</f>
        <v>0</v>
      </c>
      <c r="D18" s="22">
        <f t="shared" si="6"/>
        <v>0</v>
      </c>
      <c r="E18" s="73">
        <f t="shared" si="4"/>
        <v>1</v>
      </c>
      <c r="F18" s="122">
        <f>VLOOKUP($B$3,'Data for Bill Impacts'!$A$3:$Y$15,22,0)</f>
        <v>0</v>
      </c>
      <c r="G18" s="22">
        <f t="shared" si="5"/>
        <v>0</v>
      </c>
      <c r="H18" s="22">
        <f t="shared" si="2"/>
        <v>0</v>
      </c>
      <c r="I18" s="23">
        <f t="shared" si="3"/>
        <v>0</v>
      </c>
      <c r="J18" s="125">
        <f t="shared" si="0"/>
        <v>0</v>
      </c>
    </row>
    <row r="19" spans="1:10" x14ac:dyDescent="0.2">
      <c r="A19" s="107" t="s">
        <v>39</v>
      </c>
      <c r="B19" s="73">
        <f>IF($B$9="kWh",$B$4,$B$5)</f>
        <v>200</v>
      </c>
      <c r="C19" s="126">
        <f>VLOOKUP($B$3,'Data for Bill Impacts'!$A$3:$Y$15,10,0)</f>
        <v>0.13120000000000001</v>
      </c>
      <c r="D19" s="22">
        <f>B19*C19</f>
        <v>26.240000000000002</v>
      </c>
      <c r="E19" s="73">
        <f t="shared" si="4"/>
        <v>200</v>
      </c>
      <c r="F19" s="126">
        <f>VLOOKUP($B$3,'Data for Bill Impacts'!$A$3:$Y$15,19,0)</f>
        <v>0.1338</v>
      </c>
      <c r="G19" s="22">
        <f>E19*F19</f>
        <v>26.76</v>
      </c>
      <c r="H19" s="22">
        <f t="shared" si="2"/>
        <v>0.51999999999999957</v>
      </c>
      <c r="I19" s="23">
        <f t="shared" si="3"/>
        <v>1.981707317073169E-2</v>
      </c>
      <c r="J19" s="125">
        <f t="shared" si="0"/>
        <v>0.4421564577168754</v>
      </c>
    </row>
    <row r="20" spans="1:10" s="1" customFormat="1" x14ac:dyDescent="0.2">
      <c r="A20" s="107" t="s">
        <v>194</v>
      </c>
      <c r="B20" s="73">
        <f>IF($B$9="kWh",$B$4,$B$5)</f>
        <v>200</v>
      </c>
      <c r="C20" s="126">
        <f>VLOOKUP($B$3,'Data for Bill Impacts'!$A$3:$Y$15,14,0)</f>
        <v>1E-4</v>
      </c>
      <c r="D20" s="22">
        <f>B20*C20</f>
        <v>0.02</v>
      </c>
      <c r="E20" s="73">
        <f>B20</f>
        <v>200</v>
      </c>
      <c r="F20" s="126">
        <f>VLOOKUP($B$3,'Data for Bill Impacts'!$A$3:$Y$15,23,0)</f>
        <v>1E-4</v>
      </c>
      <c r="G20" s="22">
        <f>E20*F20</f>
        <v>0.02</v>
      </c>
      <c r="H20" s="22">
        <f>G20-D20</f>
        <v>0</v>
      </c>
      <c r="I20" s="23">
        <f>IF(ISERROR(H20/D20),0,(H20/D20))</f>
        <v>0</v>
      </c>
      <c r="J20" s="125">
        <f t="shared" si="0"/>
        <v>3.3046073073010113E-4</v>
      </c>
    </row>
    <row r="21" spans="1:10" hidden="1" x14ac:dyDescent="0.2">
      <c r="A21" s="107" t="s">
        <v>86</v>
      </c>
      <c r="B21" s="73">
        <f>IF($B$9="kWh",$B$4,$B$5)</f>
        <v>200</v>
      </c>
      <c r="C21" s="126">
        <v>0</v>
      </c>
      <c r="D21" s="22">
        <f>B21*C21</f>
        <v>0</v>
      </c>
      <c r="E21" s="73">
        <f t="shared" si="4"/>
        <v>200</v>
      </c>
      <c r="F21" s="78">
        <v>0</v>
      </c>
      <c r="G21" s="22">
        <f>E21*F21</f>
        <v>0</v>
      </c>
      <c r="H21" s="22">
        <f t="shared" si="2"/>
        <v>0</v>
      </c>
      <c r="I21" s="23">
        <f>IF(ISERROR(H21/D21),0,(H21/D21))</f>
        <v>0</v>
      </c>
      <c r="J21" s="125">
        <f t="shared" si="0"/>
        <v>0</v>
      </c>
    </row>
    <row r="22" spans="1:10" x14ac:dyDescent="0.2">
      <c r="A22" s="110" t="s">
        <v>72</v>
      </c>
      <c r="B22" s="74"/>
      <c r="C22" s="35"/>
      <c r="D22" s="35">
        <f>SUM(D15:D21)</f>
        <v>29.71</v>
      </c>
      <c r="E22" s="73"/>
      <c r="F22" s="35"/>
      <c r="G22" s="35">
        <f>SUM(G15:G21)</f>
        <v>30.380000000000003</v>
      </c>
      <c r="H22" s="35">
        <f t="shared" si="2"/>
        <v>0.67000000000000171</v>
      </c>
      <c r="I22" s="36">
        <f t="shared" si="3"/>
        <v>2.2551329518680635E-2</v>
      </c>
      <c r="J22" s="111">
        <f t="shared" si="0"/>
        <v>0.50196984997902372</v>
      </c>
    </row>
    <row r="23" spans="1:10" s="1" customFormat="1" x14ac:dyDescent="0.2">
      <c r="A23" s="119" t="s">
        <v>81</v>
      </c>
      <c r="B23" s="120">
        <f>B8-B4</f>
        <v>18.400000000000006</v>
      </c>
      <c r="C23" s="121">
        <f>IF(B4&gt;B7,C13,C12)</f>
        <v>0.10299999999999999</v>
      </c>
      <c r="D23" s="22">
        <f>B23*C23</f>
        <v>1.8952000000000004</v>
      </c>
      <c r="E23" s="73">
        <f>B23</f>
        <v>18.400000000000006</v>
      </c>
      <c r="F23" s="121">
        <f>C23</f>
        <v>0.10299999999999999</v>
      </c>
      <c r="G23" s="22">
        <f>E23*F23</f>
        <v>1.8952000000000004</v>
      </c>
      <c r="H23" s="22">
        <f t="shared" si="2"/>
        <v>0</v>
      </c>
      <c r="I23" s="23">
        <f>IF(ISERROR(H23/D23),0,(H23/D23))</f>
        <v>0</v>
      </c>
      <c r="J23" s="125">
        <f t="shared" si="0"/>
        <v>3.1314458843984393E-2</v>
      </c>
    </row>
    <row r="24" spans="1:10" x14ac:dyDescent="0.2">
      <c r="A24" s="110" t="s">
        <v>79</v>
      </c>
      <c r="B24" s="74"/>
      <c r="C24" s="35"/>
      <c r="D24" s="35">
        <f>SUM(D22,D23:D23)</f>
        <v>31.6052</v>
      </c>
      <c r="E24" s="73"/>
      <c r="F24" s="35"/>
      <c r="G24" s="35">
        <f>SUM(G22,G23:G23)</f>
        <v>32.275200000000005</v>
      </c>
      <c r="H24" s="35">
        <f t="shared" si="2"/>
        <v>0.67000000000000526</v>
      </c>
      <c r="I24" s="36">
        <f>IF(ISERROR(H24/D24),0,(H24/D24))</f>
        <v>2.1199043195423706E-2</v>
      </c>
      <c r="J24" s="111">
        <f t="shared" si="0"/>
        <v>0.53328430882300815</v>
      </c>
    </row>
    <row r="25" spans="1:10" x14ac:dyDescent="0.2">
      <c r="A25" s="107" t="s">
        <v>40</v>
      </c>
      <c r="B25" s="73">
        <f>B8</f>
        <v>218.4</v>
      </c>
      <c r="C25" s="126">
        <f>VLOOKUP($B$3,'Data for Bill Impacts'!$A$3:$Y$15,15,0)</f>
        <v>4.6979999999999999E-3</v>
      </c>
      <c r="D25" s="22">
        <f>B25*C25</f>
        <v>1.0260431999999999</v>
      </c>
      <c r="E25" s="73">
        <f t="shared" si="4"/>
        <v>218.4</v>
      </c>
      <c r="F25" s="126">
        <f>VLOOKUP($B$3,'Data for Bill Impacts'!$A$3:$Y$15,24,0)</f>
        <v>3.836E-3</v>
      </c>
      <c r="G25" s="22">
        <f>E25*F25</f>
        <v>0.83778240000000004</v>
      </c>
      <c r="H25" s="22">
        <f t="shared" si="2"/>
        <v>-0.18826079999999989</v>
      </c>
      <c r="I25" s="23">
        <f t="shared" si="3"/>
        <v>-0.18348233290762017</v>
      </c>
      <c r="J25" s="125">
        <f t="shared" si="0"/>
        <v>1.3842709204840896E-2</v>
      </c>
    </row>
    <row r="26" spans="1:10" s="1" customFormat="1" x14ac:dyDescent="0.2">
      <c r="A26" s="107" t="s">
        <v>41</v>
      </c>
      <c r="B26" s="73">
        <f>B8</f>
        <v>218.4</v>
      </c>
      <c r="C26" s="126">
        <f>VLOOKUP($B$3,'Data for Bill Impacts'!$A$3:$Y$15,16,0)</f>
        <v>4.2899999999999995E-3</v>
      </c>
      <c r="D26" s="22">
        <f>B26*C26</f>
        <v>0.93693599999999988</v>
      </c>
      <c r="E26" s="73">
        <f t="shared" si="4"/>
        <v>218.4</v>
      </c>
      <c r="F26" s="126">
        <f>VLOOKUP($B$3,'Data for Bill Impacts'!$A$3:$Y$15,25,0)</f>
        <v>3.6240000000000001E-3</v>
      </c>
      <c r="G26" s="22">
        <f>E26*F26</f>
        <v>0.79148160000000001</v>
      </c>
      <c r="H26" s="22">
        <f t="shared" si="2"/>
        <v>-0.14545439999999987</v>
      </c>
      <c r="I26" s="23">
        <f t="shared" si="3"/>
        <v>-0.15524475524475512</v>
      </c>
      <c r="J26" s="125">
        <f t="shared" si="0"/>
        <v>1.3077679394771481E-2</v>
      </c>
    </row>
    <row r="27" spans="1:10" s="1" customFormat="1" x14ac:dyDescent="0.2">
      <c r="A27" s="110" t="s">
        <v>76</v>
      </c>
      <c r="B27" s="74"/>
      <c r="C27" s="35"/>
      <c r="D27" s="35">
        <f>SUM(D25:D26)</f>
        <v>1.9629791999999999</v>
      </c>
      <c r="E27" s="73"/>
      <c r="F27" s="35"/>
      <c r="G27" s="35">
        <f>SUM(G25:G26)</f>
        <v>1.629264</v>
      </c>
      <c r="H27" s="35">
        <f t="shared" si="2"/>
        <v>-0.33371519999999988</v>
      </c>
      <c r="I27" s="36">
        <f t="shared" si="3"/>
        <v>-0.1700044503782821</v>
      </c>
      <c r="J27" s="111">
        <f t="shared" si="0"/>
        <v>2.6920388599612377E-2</v>
      </c>
    </row>
    <row r="28" spans="1:10" s="1" customFormat="1" x14ac:dyDescent="0.2">
      <c r="A28" s="110" t="s">
        <v>80</v>
      </c>
      <c r="B28" s="74"/>
      <c r="C28" s="35"/>
      <c r="D28" s="35">
        <f>D24+D27</f>
        <v>33.568179200000003</v>
      </c>
      <c r="E28" s="73"/>
      <c r="F28" s="35"/>
      <c r="G28" s="35">
        <f>G24+G27</f>
        <v>33.904464000000004</v>
      </c>
      <c r="H28" s="35">
        <f t="shared" si="2"/>
        <v>0.33628480000000138</v>
      </c>
      <c r="I28" s="36">
        <f t="shared" si="3"/>
        <v>1.0017963679126253E-2</v>
      </c>
      <c r="J28" s="111">
        <f t="shared" si="0"/>
        <v>0.56020469742262047</v>
      </c>
    </row>
    <row r="29" spans="1:10" x14ac:dyDescent="0.2">
      <c r="A29" s="107" t="s">
        <v>42</v>
      </c>
      <c r="B29" s="73">
        <f>B8</f>
        <v>218.4</v>
      </c>
      <c r="C29" s="34">
        <v>3.5999999999999999E-3</v>
      </c>
      <c r="D29" s="22">
        <f>B29*C29</f>
        <v>0.78624000000000005</v>
      </c>
      <c r="E29" s="73">
        <f t="shared" si="4"/>
        <v>218.4</v>
      </c>
      <c r="F29" s="34">
        <v>3.5999999999999999E-3</v>
      </c>
      <c r="G29" s="22">
        <f>E29*F29</f>
        <v>0.78624000000000005</v>
      </c>
      <c r="H29" s="22">
        <f t="shared" si="2"/>
        <v>0</v>
      </c>
      <c r="I29" s="23">
        <f t="shared" si="3"/>
        <v>0</v>
      </c>
      <c r="J29" s="125">
        <f t="shared" si="0"/>
        <v>1.2991072246461738E-2</v>
      </c>
    </row>
    <row r="30" spans="1:10" s="1" customFormat="1" x14ac:dyDescent="0.2">
      <c r="A30" s="107" t="s">
        <v>43</v>
      </c>
      <c r="B30" s="73">
        <f>B8</f>
        <v>218.4</v>
      </c>
      <c r="C30" s="34">
        <v>2.0999999999999999E-3</v>
      </c>
      <c r="D30" s="22">
        <f>B30*C30</f>
        <v>0.45863999999999999</v>
      </c>
      <c r="E30" s="73">
        <f t="shared" si="4"/>
        <v>218.4</v>
      </c>
      <c r="F30" s="34">
        <v>2.0999999999999999E-3</v>
      </c>
      <c r="G30" s="22">
        <f>E30*F30</f>
        <v>0.45863999999999999</v>
      </c>
      <c r="H30" s="22">
        <f>G30-D30</f>
        <v>0</v>
      </c>
      <c r="I30" s="23">
        <f t="shared" si="3"/>
        <v>0</v>
      </c>
      <c r="J30" s="125">
        <f t="shared" si="0"/>
        <v>7.5781254771026792E-3</v>
      </c>
    </row>
    <row r="31" spans="1:10" s="1" customFormat="1" x14ac:dyDescent="0.2">
      <c r="A31" s="107" t="s">
        <v>100</v>
      </c>
      <c r="B31" s="73">
        <f>B8</f>
        <v>218.4</v>
      </c>
      <c r="C31" s="34">
        <v>1.1000000000000001E-3</v>
      </c>
      <c r="D31" s="22">
        <f>B31*C31</f>
        <v>0.24024000000000001</v>
      </c>
      <c r="E31" s="73">
        <f t="shared" si="4"/>
        <v>218.4</v>
      </c>
      <c r="F31" s="34">
        <v>1.1000000000000001E-3</v>
      </c>
      <c r="G31" s="22">
        <f>E31*F31</f>
        <v>0.24024000000000001</v>
      </c>
      <c r="H31" s="22">
        <f>G31-D31</f>
        <v>0</v>
      </c>
      <c r="I31" s="23">
        <f t="shared" ref="I31" si="7">IF(ISERROR(H31/D31),0,(H31/D31))</f>
        <v>0</v>
      </c>
      <c r="J31" s="125">
        <f t="shared" ref="J31" si="8">G31/$G$39</f>
        <v>3.9694942975299751E-3</v>
      </c>
    </row>
    <row r="32" spans="1:10" x14ac:dyDescent="0.2">
      <c r="A32" s="107" t="s">
        <v>44</v>
      </c>
      <c r="B32" s="73">
        <v>1</v>
      </c>
      <c r="C32" s="22">
        <v>0.25</v>
      </c>
      <c r="D32" s="22">
        <f>B32*C32</f>
        <v>0.25</v>
      </c>
      <c r="E32" s="73">
        <f t="shared" si="4"/>
        <v>1</v>
      </c>
      <c r="F32" s="22">
        <f>C32</f>
        <v>0.25</v>
      </c>
      <c r="G32" s="22">
        <f>E32*F32</f>
        <v>0.25</v>
      </c>
      <c r="H32" s="22">
        <f t="shared" si="2"/>
        <v>0</v>
      </c>
      <c r="I32" s="23">
        <f t="shared" si="3"/>
        <v>0</v>
      </c>
      <c r="J32" s="125">
        <f t="shared" ref="J32:J39" si="9">G32/$G$39</f>
        <v>4.1307591341262643E-3</v>
      </c>
    </row>
    <row r="33" spans="1:10" s="1" customFormat="1" x14ac:dyDescent="0.2">
      <c r="A33" s="110" t="s">
        <v>45</v>
      </c>
      <c r="B33" s="74"/>
      <c r="C33" s="35"/>
      <c r="D33" s="35">
        <f>SUM(D29:D32)</f>
        <v>1.73512</v>
      </c>
      <c r="E33" s="73"/>
      <c r="F33" s="35"/>
      <c r="G33" s="35">
        <f>SUM(G29:G32)</f>
        <v>1.73512</v>
      </c>
      <c r="H33" s="35">
        <f t="shared" si="2"/>
        <v>0</v>
      </c>
      <c r="I33" s="36">
        <f t="shared" si="3"/>
        <v>0</v>
      </c>
      <c r="J33" s="111">
        <f t="shared" si="9"/>
        <v>2.8669451155220654E-2</v>
      </c>
    </row>
    <row r="34" spans="1:10" ht="13.5" thickBot="1" x14ac:dyDescent="0.25">
      <c r="A34" s="112" t="s">
        <v>46</v>
      </c>
      <c r="B34" s="113">
        <f>B4</f>
        <v>200</v>
      </c>
      <c r="C34" s="114">
        <v>7.0000000000000001E-3</v>
      </c>
      <c r="D34" s="115">
        <f>B34*C34</f>
        <v>1.4000000000000001</v>
      </c>
      <c r="E34" s="116">
        <f t="shared" si="4"/>
        <v>200</v>
      </c>
      <c r="F34" s="114">
        <f>C34</f>
        <v>7.0000000000000001E-3</v>
      </c>
      <c r="G34" s="115">
        <f>E34*F34</f>
        <v>1.4000000000000001</v>
      </c>
      <c r="H34" s="115">
        <f t="shared" si="2"/>
        <v>0</v>
      </c>
      <c r="I34" s="117">
        <f t="shared" si="3"/>
        <v>0</v>
      </c>
      <c r="J34" s="118">
        <f t="shared" si="9"/>
        <v>2.3132251151107081E-2</v>
      </c>
    </row>
    <row r="35" spans="1:10" x14ac:dyDescent="0.2">
      <c r="A35" s="37" t="s">
        <v>146</v>
      </c>
      <c r="B35" s="38"/>
      <c r="C35" s="39"/>
      <c r="D35" s="39">
        <f>SUM(D14,D24,D27,D33,D34)</f>
        <v>57.303299199999998</v>
      </c>
      <c r="E35" s="38"/>
      <c r="F35" s="39"/>
      <c r="G35" s="39">
        <f>SUM(G14,G24,G27,G33,G34)</f>
        <v>57.639584000000006</v>
      </c>
      <c r="H35" s="39">
        <f t="shared" si="2"/>
        <v>0.33628480000000849</v>
      </c>
      <c r="I35" s="40">
        <f>IF(ISERROR(H35/D35),0,(H35/D35))</f>
        <v>5.8685067822414052E-3</v>
      </c>
      <c r="J35" s="41">
        <f t="shared" si="9"/>
        <v>0.95238095238095244</v>
      </c>
    </row>
    <row r="36" spans="1:10" x14ac:dyDescent="0.2">
      <c r="A36" s="46" t="s">
        <v>138</v>
      </c>
      <c r="B36" s="43"/>
      <c r="C36" s="26">
        <v>0.13</v>
      </c>
      <c r="D36" s="26">
        <f>D35*C36</f>
        <v>7.4494288959999997</v>
      </c>
      <c r="E36" s="26"/>
      <c r="F36" s="26">
        <f>C36</f>
        <v>0.13</v>
      </c>
      <c r="G36" s="26">
        <f>G35*F36</f>
        <v>7.4931459200000008</v>
      </c>
      <c r="H36" s="26">
        <f t="shared" si="2"/>
        <v>4.3717024000001103E-2</v>
      </c>
      <c r="I36" s="44">
        <f t="shared" si="3"/>
        <v>5.8685067822414052E-3</v>
      </c>
      <c r="J36" s="45">
        <f t="shared" si="9"/>
        <v>0.12380952380952381</v>
      </c>
    </row>
    <row r="37" spans="1:10" x14ac:dyDescent="0.2">
      <c r="A37" s="46" t="s">
        <v>139</v>
      </c>
      <c r="B37" s="24"/>
      <c r="C37" s="25"/>
      <c r="D37" s="25">
        <f>SUM(D35:D36)</f>
        <v>64.752728095999998</v>
      </c>
      <c r="E37" s="25"/>
      <c r="F37" s="25"/>
      <c r="G37" s="25">
        <f>SUM(G35:G36)</f>
        <v>65.132729920000003</v>
      </c>
      <c r="H37" s="25">
        <f t="shared" si="2"/>
        <v>0.38000182400000426</v>
      </c>
      <c r="I37" s="27">
        <f t="shared" si="3"/>
        <v>5.8685067822413228E-3</v>
      </c>
      <c r="J37" s="47">
        <f t="shared" si="9"/>
        <v>1.0761904761904761</v>
      </c>
    </row>
    <row r="38" spans="1:10" x14ac:dyDescent="0.2">
      <c r="A38" s="46" t="s">
        <v>140</v>
      </c>
      <c r="B38" s="43"/>
      <c r="C38" s="26">
        <v>-0.08</v>
      </c>
      <c r="D38" s="26">
        <f>D35*C38</f>
        <v>-4.5842639360000002</v>
      </c>
      <c r="E38" s="26"/>
      <c r="F38" s="26">
        <f>C38</f>
        <v>-0.08</v>
      </c>
      <c r="G38" s="26">
        <f>G35*F38</f>
        <v>-4.6111667200000008</v>
      </c>
      <c r="H38" s="26">
        <f t="shared" si="2"/>
        <v>-2.6902784000000679E-2</v>
      </c>
      <c r="I38" s="44">
        <f t="shared" si="3"/>
        <v>5.8685067822414052E-3</v>
      </c>
      <c r="J38" s="45">
        <f t="shared" si="9"/>
        <v>-7.6190476190476197E-2</v>
      </c>
    </row>
    <row r="39" spans="1:10" ht="13.5" thickBot="1" x14ac:dyDescent="0.25">
      <c r="A39" s="46" t="s">
        <v>141</v>
      </c>
      <c r="B39" s="49"/>
      <c r="C39" s="50"/>
      <c r="D39" s="50">
        <f>SUM(D37:D38)</f>
        <v>60.168464159999999</v>
      </c>
      <c r="E39" s="50"/>
      <c r="F39" s="50"/>
      <c r="G39" s="50">
        <f>SUM(G37:G38)</f>
        <v>60.521563200000003</v>
      </c>
      <c r="H39" s="50">
        <f t="shared" si="2"/>
        <v>0.35309904000000358</v>
      </c>
      <c r="I39" s="51">
        <f t="shared" si="3"/>
        <v>5.8685067822413168E-3</v>
      </c>
      <c r="J39" s="52">
        <f t="shared" si="9"/>
        <v>1</v>
      </c>
    </row>
    <row r="40" spans="1:10" x14ac:dyDescent="0.2">
      <c r="D40" s="72"/>
      <c r="F40" s="69"/>
    </row>
    <row r="41" spans="1:10" x14ac:dyDescent="0.2">
      <c r="F41" s="69"/>
    </row>
    <row r="42" spans="1:10" x14ac:dyDescent="0.2">
      <c r="A42" s="70"/>
      <c r="B42" s="71"/>
      <c r="F42" s="69"/>
    </row>
    <row r="43" spans="1:10" x14ac:dyDescent="0.2">
      <c r="B43" s="72"/>
      <c r="D43" s="72"/>
      <c r="F43" s="69"/>
    </row>
    <row r="44" spans="1:10" x14ac:dyDescent="0.2">
      <c r="F44" s="69"/>
    </row>
    <row r="45" spans="1:10" x14ac:dyDescent="0.2">
      <c r="F45" s="69"/>
    </row>
    <row r="46" spans="1:10" x14ac:dyDescent="0.2">
      <c r="F46" s="69"/>
    </row>
    <row r="47" spans="1:10" x14ac:dyDescent="0.2">
      <c r="F47" s="69"/>
    </row>
    <row r="48" spans="1:10" x14ac:dyDescent="0.2">
      <c r="F48" s="69"/>
    </row>
    <row r="49" spans="6:6" x14ac:dyDescent="0.2">
      <c r="F49" s="69"/>
    </row>
    <row r="50" spans="6:6" x14ac:dyDescent="0.2">
      <c r="F50" s="69"/>
    </row>
  </sheetData>
  <mergeCells count="1">
    <mergeCell ref="A1:J1"/>
  </mergeCell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1" tint="0.499984740745262"/>
    <pageSetUpPr fitToPage="1"/>
  </sheetPr>
  <dimension ref="A1:K50"/>
  <sheetViews>
    <sheetView view="pageBreakPreview" topLeftCell="A7" zoomScaleNormal="100" zoomScaleSheetLayoutView="100" workbookViewId="0">
      <selection activeCell="C19" sqref="C19"/>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1" ht="16.5" thickBot="1" x14ac:dyDescent="0.3">
      <c r="A1" s="348" t="s">
        <v>109</v>
      </c>
      <c r="B1" s="349"/>
      <c r="C1" s="349"/>
      <c r="D1" s="349"/>
      <c r="E1" s="349"/>
      <c r="F1" s="349"/>
      <c r="G1" s="349"/>
      <c r="H1" s="349"/>
      <c r="I1" s="349"/>
      <c r="J1" s="350"/>
      <c r="K1" s="129"/>
    </row>
    <row r="3" spans="1:11" x14ac:dyDescent="0.2">
      <c r="A3" s="13" t="s">
        <v>13</v>
      </c>
      <c r="B3" s="13" t="s">
        <v>8</v>
      </c>
    </row>
    <row r="4" spans="1:11" x14ac:dyDescent="0.2">
      <c r="A4" s="15" t="s">
        <v>62</v>
      </c>
      <c r="B4" s="15">
        <v>100</v>
      </c>
    </row>
    <row r="5" spans="1:11" x14ac:dyDescent="0.2">
      <c r="A5" s="15" t="s">
        <v>16</v>
      </c>
      <c r="B5" s="15">
        <f>VLOOKUP($B$3,'Data for Bill Impacts'!$A$3:$Y$15,5,0)</f>
        <v>0</v>
      </c>
    </row>
    <row r="6" spans="1:11" x14ac:dyDescent="0.2">
      <c r="A6" s="15" t="s">
        <v>20</v>
      </c>
      <c r="B6" s="15">
        <f>VLOOKUP($B$3,'Data for Bill Impacts'!$A$3:$Y$15,2,0)</f>
        <v>1.0920000000000001</v>
      </c>
    </row>
    <row r="7" spans="1:11" x14ac:dyDescent="0.2">
      <c r="A7" s="15" t="s">
        <v>15</v>
      </c>
      <c r="B7" s="15">
        <f>VLOOKUP($B$3,'Data for Bill Impacts'!$A$3:$Y$15,4,0)</f>
        <v>750</v>
      </c>
    </row>
    <row r="8" spans="1:11" x14ac:dyDescent="0.2">
      <c r="A8" s="15" t="s">
        <v>82</v>
      </c>
      <c r="B8" s="15">
        <f>B4*B6</f>
        <v>109.2</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23" t="s">
        <v>29</v>
      </c>
    </row>
    <row r="12" spans="1:11" x14ac:dyDescent="0.2">
      <c r="A12" s="101" t="s">
        <v>31</v>
      </c>
      <c r="B12" s="102">
        <f>IF(B4&gt;B7,B7,B4)</f>
        <v>100</v>
      </c>
      <c r="C12" s="103">
        <v>0.10299999999999999</v>
      </c>
      <c r="D12" s="104">
        <f>B12*C12</f>
        <v>10.299999999999999</v>
      </c>
      <c r="E12" s="102">
        <f>B12</f>
        <v>100</v>
      </c>
      <c r="F12" s="103">
        <f>C12</f>
        <v>0.10299999999999999</v>
      </c>
      <c r="G12" s="104">
        <f>E12*F12</f>
        <v>10.299999999999999</v>
      </c>
      <c r="H12" s="104">
        <f>G12-D12</f>
        <v>0</v>
      </c>
      <c r="I12" s="105">
        <f>IF(ISERROR(H12/D12),0,(H12/D12))</f>
        <v>0</v>
      </c>
      <c r="J12" s="124">
        <f t="shared" ref="J12:J30" si="0">G12/$G$39</f>
        <v>0.33542805876423426</v>
      </c>
    </row>
    <row r="13" spans="1:11" x14ac:dyDescent="0.2">
      <c r="A13" s="107" t="s">
        <v>32</v>
      </c>
      <c r="B13" s="73">
        <f>IF(B4&gt;B7,(B4)-B7,0)</f>
        <v>0</v>
      </c>
      <c r="C13" s="21">
        <v>0.121</v>
      </c>
      <c r="D13" s="22">
        <f>B13*C13</f>
        <v>0</v>
      </c>
      <c r="E13" s="73">
        <f t="shared" ref="E13:E34" si="1">B13</f>
        <v>0</v>
      </c>
      <c r="F13" s="21">
        <f>C13</f>
        <v>0.121</v>
      </c>
      <c r="G13" s="22">
        <f>E13*F13</f>
        <v>0</v>
      </c>
      <c r="H13" s="22">
        <f t="shared" ref="H13:H39" si="2">G13-D13</f>
        <v>0</v>
      </c>
      <c r="I13" s="23">
        <f t="shared" ref="I13:I39" si="3">IF(ISERROR(H13/D13),0,(H13/D13))</f>
        <v>0</v>
      </c>
      <c r="J13" s="125">
        <f t="shared" si="0"/>
        <v>0</v>
      </c>
    </row>
    <row r="14" spans="1:11" s="1" customFormat="1" x14ac:dyDescent="0.2">
      <c r="A14" s="46" t="s">
        <v>33</v>
      </c>
      <c r="B14" s="24"/>
      <c r="C14" s="25"/>
      <c r="D14" s="25">
        <f>SUM(D12:D13)</f>
        <v>10.299999999999999</v>
      </c>
      <c r="E14" s="76"/>
      <c r="F14" s="25"/>
      <c r="G14" s="25">
        <f>SUM(G12:G13)</f>
        <v>10.299999999999999</v>
      </c>
      <c r="H14" s="25">
        <f t="shared" si="2"/>
        <v>0</v>
      </c>
      <c r="I14" s="27">
        <f t="shared" si="3"/>
        <v>0</v>
      </c>
      <c r="J14" s="47">
        <f t="shared" si="0"/>
        <v>0.33542805876423426</v>
      </c>
    </row>
    <row r="15" spans="1:11" x14ac:dyDescent="0.2">
      <c r="A15" s="107" t="s">
        <v>38</v>
      </c>
      <c r="B15" s="73">
        <v>1</v>
      </c>
      <c r="C15" s="78">
        <f>VLOOKUP($B$3,'Data for Bill Impacts'!$A$3:$Y$15,7,0)</f>
        <v>4.33</v>
      </c>
      <c r="D15" s="22">
        <f>B15*C15</f>
        <v>4.33</v>
      </c>
      <c r="E15" s="73">
        <f t="shared" si="1"/>
        <v>1</v>
      </c>
      <c r="F15" s="78">
        <f>VLOOKUP($B$3,'Data for Bill Impacts'!$A$3:$Y$15,17,0)</f>
        <v>4.7699999999999996</v>
      </c>
      <c r="G15" s="22">
        <f>E15*F15</f>
        <v>4.7699999999999996</v>
      </c>
      <c r="H15" s="22">
        <f t="shared" si="2"/>
        <v>0.4399999999999995</v>
      </c>
      <c r="I15" s="23">
        <f t="shared" si="3"/>
        <v>0.10161662817551952</v>
      </c>
      <c r="J15" s="125">
        <f t="shared" si="0"/>
        <v>0.15533901362188327</v>
      </c>
    </row>
    <row r="16" spans="1:11" hidden="1" x14ac:dyDescent="0.2">
      <c r="A16" s="107" t="s">
        <v>90</v>
      </c>
      <c r="B16" s="73">
        <v>1</v>
      </c>
      <c r="C16" s="78">
        <v>0</v>
      </c>
      <c r="D16" s="22">
        <f>B16*C16</f>
        <v>0</v>
      </c>
      <c r="E16" s="73">
        <f t="shared" si="1"/>
        <v>1</v>
      </c>
      <c r="F16" s="78">
        <v>0</v>
      </c>
      <c r="G16" s="22">
        <f t="shared" ref="G16:G18" si="4">E16*F16</f>
        <v>0</v>
      </c>
      <c r="H16" s="22">
        <f t="shared" si="2"/>
        <v>0</v>
      </c>
      <c r="I16" s="23">
        <f t="shared" si="3"/>
        <v>0</v>
      </c>
      <c r="J16" s="125">
        <f t="shared" si="0"/>
        <v>0</v>
      </c>
    </row>
    <row r="17" spans="1:10" hidden="1" x14ac:dyDescent="0.2">
      <c r="A17" s="107" t="s">
        <v>84</v>
      </c>
      <c r="B17" s="73">
        <v>1</v>
      </c>
      <c r="C17" s="78">
        <v>0</v>
      </c>
      <c r="D17" s="22">
        <f t="shared" ref="D17:D18" si="5">B17*C17</f>
        <v>0</v>
      </c>
      <c r="E17" s="73">
        <f t="shared" si="1"/>
        <v>1</v>
      </c>
      <c r="F17" s="78">
        <v>0</v>
      </c>
      <c r="G17" s="22">
        <f t="shared" si="4"/>
        <v>0</v>
      </c>
      <c r="H17" s="22">
        <f t="shared" ref="H17:H18" si="6">G17-D17</f>
        <v>0</v>
      </c>
      <c r="I17" s="23">
        <f t="shared" ref="I17:I18" si="7">IF(ISERROR(H17/D17),0,(H17/D17))</f>
        <v>0</v>
      </c>
      <c r="J17" s="125">
        <f t="shared" si="0"/>
        <v>0</v>
      </c>
    </row>
    <row r="18" spans="1:10" x14ac:dyDescent="0.2">
      <c r="A18" s="107" t="s">
        <v>85</v>
      </c>
      <c r="B18" s="73">
        <v>1</v>
      </c>
      <c r="C18" s="122">
        <f>VLOOKUP($B$3,'Data for Bill Impacts'!$A$3:$Y$15,13,0)</f>
        <v>0</v>
      </c>
      <c r="D18" s="22">
        <f t="shared" si="5"/>
        <v>0</v>
      </c>
      <c r="E18" s="73">
        <f t="shared" si="1"/>
        <v>1</v>
      </c>
      <c r="F18" s="122">
        <f>VLOOKUP($B$3,'Data for Bill Impacts'!$A$3:$Y$15,22,0)</f>
        <v>0</v>
      </c>
      <c r="G18" s="22">
        <f t="shared" si="4"/>
        <v>0</v>
      </c>
      <c r="H18" s="22">
        <f t="shared" si="6"/>
        <v>0</v>
      </c>
      <c r="I18" s="23">
        <f t="shared" si="7"/>
        <v>0</v>
      </c>
      <c r="J18" s="125">
        <f t="shared" si="0"/>
        <v>0</v>
      </c>
    </row>
    <row r="19" spans="1:10" x14ac:dyDescent="0.2">
      <c r="A19" s="107" t="s">
        <v>39</v>
      </c>
      <c r="B19" s="73">
        <f>IF($B$9="kWh",$B$4,$B$5)</f>
        <v>100</v>
      </c>
      <c r="C19" s="126">
        <f>VLOOKUP($B$3,'Data for Bill Impacts'!$A$3:$Y$15,10,0)</f>
        <v>0.10440000000000001</v>
      </c>
      <c r="D19" s="22">
        <f>B19*C19</f>
        <v>10.440000000000001</v>
      </c>
      <c r="E19" s="73">
        <f t="shared" si="1"/>
        <v>100</v>
      </c>
      <c r="F19" s="78">
        <f>VLOOKUP($B$3,'Data for Bill Impacts'!$A$3:$Y$15,19,0)</f>
        <v>0.107</v>
      </c>
      <c r="G19" s="22">
        <f>E19*F19</f>
        <v>10.7</v>
      </c>
      <c r="H19" s="22">
        <f t="shared" si="2"/>
        <v>0.25999999999999801</v>
      </c>
      <c r="I19" s="23">
        <f t="shared" si="3"/>
        <v>2.4904214559386781E-2</v>
      </c>
      <c r="J19" s="125">
        <f t="shared" si="0"/>
        <v>0.34845439114342786</v>
      </c>
    </row>
    <row r="20" spans="1:10" s="1" customFormat="1" x14ac:dyDescent="0.2">
      <c r="A20" s="107" t="s">
        <v>194</v>
      </c>
      <c r="B20" s="73">
        <f>IF($B$9="kWh",$B$4,$B$5)</f>
        <v>100</v>
      </c>
      <c r="C20" s="126">
        <f>VLOOKUP($B$3,'Data for Bill Impacts'!$A$3:$Y$15,14,0)</f>
        <v>2.0000000000000001E-4</v>
      </c>
      <c r="D20" s="22">
        <f>B20*C20</f>
        <v>0.02</v>
      </c>
      <c r="E20" s="73">
        <f>B20</f>
        <v>100</v>
      </c>
      <c r="F20" s="126">
        <f>VLOOKUP($B$3,'Data for Bill Impacts'!$A$3:$Y$15,23,0)</f>
        <v>2.0000000000000001E-4</v>
      </c>
      <c r="G20" s="22">
        <f>E20*F20</f>
        <v>0.02</v>
      </c>
      <c r="H20" s="22">
        <f>G20-D20</f>
        <v>0</v>
      </c>
      <c r="I20" s="23">
        <f>IF(ISERROR(H20/D20),0,(H20/D20))</f>
        <v>0</v>
      </c>
      <c r="J20" s="125">
        <f t="shared" si="0"/>
        <v>6.5131661895967831E-4</v>
      </c>
    </row>
    <row r="21" spans="1:10" hidden="1" x14ac:dyDescent="0.2">
      <c r="A21" s="107" t="s">
        <v>86</v>
      </c>
      <c r="B21" s="73">
        <f>IF($B$9="kWh",$B$4,$B$5)</f>
        <v>100</v>
      </c>
      <c r="C21" s="126">
        <v>0</v>
      </c>
      <c r="D21" s="22">
        <f>B21*C21</f>
        <v>0</v>
      </c>
      <c r="E21" s="73">
        <f t="shared" si="1"/>
        <v>100</v>
      </c>
      <c r="F21" s="78">
        <v>0</v>
      </c>
      <c r="G21" s="22">
        <f>E21*F21</f>
        <v>0</v>
      </c>
      <c r="H21" s="22">
        <f t="shared" si="2"/>
        <v>0</v>
      </c>
      <c r="I21" s="23">
        <f>IF(ISERROR(H21/D21),0,(H21/D21))</f>
        <v>0</v>
      </c>
      <c r="J21" s="125">
        <f t="shared" si="0"/>
        <v>0</v>
      </c>
    </row>
    <row r="22" spans="1:10" x14ac:dyDescent="0.2">
      <c r="A22" s="110" t="s">
        <v>72</v>
      </c>
      <c r="B22" s="74"/>
      <c r="C22" s="35"/>
      <c r="D22" s="35">
        <f>SUM(D15:D21)</f>
        <v>14.790000000000001</v>
      </c>
      <c r="E22" s="73"/>
      <c r="F22" s="35"/>
      <c r="G22" s="35">
        <f>SUM(G15:G21)</f>
        <v>15.489999999999998</v>
      </c>
      <c r="H22" s="35">
        <f t="shared" si="2"/>
        <v>0.69999999999999751</v>
      </c>
      <c r="I22" s="36">
        <f t="shared" si="3"/>
        <v>4.7329276538201313E-2</v>
      </c>
      <c r="J22" s="111">
        <f t="shared" si="0"/>
        <v>0.50444472138427077</v>
      </c>
    </row>
    <row r="23" spans="1:10" s="1" customFormat="1" x14ac:dyDescent="0.2">
      <c r="A23" s="119" t="s">
        <v>81</v>
      </c>
      <c r="B23" s="120">
        <f>B8-B4</f>
        <v>9.2000000000000028</v>
      </c>
      <c r="C23" s="121">
        <f>IF(B4&gt;B7,C13,C12)</f>
        <v>0.10299999999999999</v>
      </c>
      <c r="D23" s="22">
        <f>B23*C23</f>
        <v>0.94760000000000022</v>
      </c>
      <c r="E23" s="73">
        <f>B23</f>
        <v>9.2000000000000028</v>
      </c>
      <c r="F23" s="121">
        <f>C23</f>
        <v>0.10299999999999999</v>
      </c>
      <c r="G23" s="22">
        <f>E23*F23</f>
        <v>0.94760000000000022</v>
      </c>
      <c r="H23" s="22">
        <f t="shared" si="2"/>
        <v>0</v>
      </c>
      <c r="I23" s="23">
        <f>IF(ISERROR(H23/D23),0,(H23/D23))</f>
        <v>0</v>
      </c>
      <c r="J23" s="125">
        <f t="shared" si="0"/>
        <v>3.0859381406309564E-2</v>
      </c>
    </row>
    <row r="24" spans="1:10" x14ac:dyDescent="0.2">
      <c r="A24" s="110" t="s">
        <v>79</v>
      </c>
      <c r="B24" s="74"/>
      <c r="C24" s="35"/>
      <c r="D24" s="35">
        <f>SUM(D22,D23:D23)</f>
        <v>15.7376</v>
      </c>
      <c r="E24" s="73"/>
      <c r="F24" s="35"/>
      <c r="G24" s="35">
        <f>SUM(G22,G23:G23)</f>
        <v>16.4376</v>
      </c>
      <c r="H24" s="35">
        <f t="shared" si="2"/>
        <v>0.69999999999999929</v>
      </c>
      <c r="I24" s="36">
        <f>IF(ISERROR(H24/D24),0,(H24/D24))</f>
        <v>4.4479463196421265E-2</v>
      </c>
      <c r="J24" s="111">
        <f t="shared" si="0"/>
        <v>0.53530410279058038</v>
      </c>
    </row>
    <row r="25" spans="1:10" x14ac:dyDescent="0.2">
      <c r="A25" s="107" t="s">
        <v>40</v>
      </c>
      <c r="B25" s="73">
        <f>B8</f>
        <v>109.2</v>
      </c>
      <c r="C25" s="126">
        <f>VLOOKUP($B$3,'Data for Bill Impacts'!$A$3:$Y$15,15,0)</f>
        <v>4.6979999999999999E-3</v>
      </c>
      <c r="D25" s="22">
        <f>B25*C25</f>
        <v>0.51302159999999997</v>
      </c>
      <c r="E25" s="73">
        <f t="shared" si="1"/>
        <v>109.2</v>
      </c>
      <c r="F25" s="126">
        <f>VLOOKUP($B$3,'Data for Bill Impacts'!$A$3:$Y$15,24,0)</f>
        <v>3.836E-3</v>
      </c>
      <c r="G25" s="22">
        <f>E25*F25</f>
        <v>0.41889120000000002</v>
      </c>
      <c r="H25" s="22">
        <f t="shared" si="2"/>
        <v>-9.4130399999999947E-2</v>
      </c>
      <c r="I25" s="23">
        <f t="shared" si="3"/>
        <v>-0.18348233290762017</v>
      </c>
      <c r="J25" s="125">
        <f t="shared" si="0"/>
        <v>1.3641540004798119E-2</v>
      </c>
    </row>
    <row r="26" spans="1:10" s="1" customFormat="1" x14ac:dyDescent="0.2">
      <c r="A26" s="107" t="s">
        <v>41</v>
      </c>
      <c r="B26" s="73">
        <f>B8</f>
        <v>109.2</v>
      </c>
      <c r="C26" s="126">
        <f>VLOOKUP($B$3,'Data for Bill Impacts'!$A$3:$Y$15,16,0)</f>
        <v>4.2899999999999995E-3</v>
      </c>
      <c r="D26" s="22">
        <f>B26*C26</f>
        <v>0.46846799999999994</v>
      </c>
      <c r="E26" s="73">
        <f t="shared" si="1"/>
        <v>109.2</v>
      </c>
      <c r="F26" s="126">
        <f>VLOOKUP($B$3,'Data for Bill Impacts'!$A$3:$Y$15,25,0)</f>
        <v>3.6240000000000001E-3</v>
      </c>
      <c r="G26" s="22">
        <f>E26*F26</f>
        <v>0.3957408</v>
      </c>
      <c r="H26" s="22">
        <f t="shared" si="2"/>
        <v>-7.2727199999999936E-2</v>
      </c>
      <c r="I26" s="23">
        <f t="shared" si="3"/>
        <v>-0.15524475524475512</v>
      </c>
      <c r="J26" s="125">
        <f t="shared" si="0"/>
        <v>1.2887627992019913E-2</v>
      </c>
    </row>
    <row r="27" spans="1:10" s="1" customFormat="1" x14ac:dyDescent="0.2">
      <c r="A27" s="110" t="s">
        <v>76</v>
      </c>
      <c r="B27" s="74"/>
      <c r="C27" s="35"/>
      <c r="D27" s="35">
        <f>SUM(D25:D26)</f>
        <v>0.98148959999999996</v>
      </c>
      <c r="E27" s="73"/>
      <c r="F27" s="35"/>
      <c r="G27" s="35">
        <f>SUM(G25:G26)</f>
        <v>0.81463200000000002</v>
      </c>
      <c r="H27" s="35">
        <f t="shared" si="2"/>
        <v>-0.16685759999999994</v>
      </c>
      <c r="I27" s="36">
        <f t="shared" si="3"/>
        <v>-0.1700044503782821</v>
      </c>
      <c r="J27" s="111">
        <f t="shared" si="0"/>
        <v>2.6529167996818034E-2</v>
      </c>
    </row>
    <row r="28" spans="1:10" s="1" customFormat="1" x14ac:dyDescent="0.2">
      <c r="A28" s="110" t="s">
        <v>80</v>
      </c>
      <c r="B28" s="74"/>
      <c r="C28" s="35"/>
      <c r="D28" s="35">
        <f>D24+D27</f>
        <v>16.7190896</v>
      </c>
      <c r="E28" s="73"/>
      <c r="F28" s="35"/>
      <c r="G28" s="35">
        <f>G24+G27</f>
        <v>17.252231999999999</v>
      </c>
      <c r="H28" s="35">
        <f t="shared" si="2"/>
        <v>0.53314239999999913</v>
      </c>
      <c r="I28" s="36">
        <f t="shared" si="3"/>
        <v>3.1888243484262391E-2</v>
      </c>
      <c r="J28" s="111">
        <f t="shared" si="0"/>
        <v>0.56183327078739842</v>
      </c>
    </row>
    <row r="29" spans="1:10" x14ac:dyDescent="0.2">
      <c r="A29" s="107" t="s">
        <v>42</v>
      </c>
      <c r="B29" s="73">
        <f>B8</f>
        <v>109.2</v>
      </c>
      <c r="C29" s="34">
        <v>3.5999999999999999E-3</v>
      </c>
      <c r="D29" s="22">
        <f>B29*C29</f>
        <v>0.39312000000000002</v>
      </c>
      <c r="E29" s="73">
        <f t="shared" si="1"/>
        <v>109.2</v>
      </c>
      <c r="F29" s="34">
        <v>3.5999999999999999E-3</v>
      </c>
      <c r="G29" s="22">
        <f>E29*F29</f>
        <v>0.39312000000000002</v>
      </c>
      <c r="H29" s="22">
        <f t="shared" si="2"/>
        <v>0</v>
      </c>
      <c r="I29" s="23">
        <f t="shared" si="3"/>
        <v>0</v>
      </c>
      <c r="J29" s="125">
        <f t="shared" si="0"/>
        <v>1.2802279462271436E-2</v>
      </c>
    </row>
    <row r="30" spans="1:10" s="1" customFormat="1" x14ac:dyDescent="0.2">
      <c r="A30" s="107" t="s">
        <v>43</v>
      </c>
      <c r="B30" s="73">
        <f>B8</f>
        <v>109.2</v>
      </c>
      <c r="C30" s="34">
        <v>2.0999999999999999E-3</v>
      </c>
      <c r="D30" s="22">
        <f>B30*C30</f>
        <v>0.22932</v>
      </c>
      <c r="E30" s="73">
        <f t="shared" si="1"/>
        <v>109.2</v>
      </c>
      <c r="F30" s="34">
        <v>2.0999999999999999E-3</v>
      </c>
      <c r="G30" s="22">
        <f>E30*F30</f>
        <v>0.22932</v>
      </c>
      <c r="H30" s="22">
        <f>G30-D30</f>
        <v>0</v>
      </c>
      <c r="I30" s="23">
        <f t="shared" si="3"/>
        <v>0</v>
      </c>
      <c r="J30" s="125">
        <f t="shared" si="0"/>
        <v>7.4679963529916708E-3</v>
      </c>
    </row>
    <row r="31" spans="1:10" s="1" customFormat="1" x14ac:dyDescent="0.2">
      <c r="A31" s="107" t="s">
        <v>100</v>
      </c>
      <c r="B31" s="73">
        <f>B8</f>
        <v>109.2</v>
      </c>
      <c r="C31" s="34">
        <v>1.1000000000000001E-3</v>
      </c>
      <c r="D31" s="22">
        <f>B31*C31</f>
        <v>0.12012</v>
      </c>
      <c r="E31" s="73">
        <f t="shared" si="1"/>
        <v>109.2</v>
      </c>
      <c r="F31" s="34">
        <v>1.1000000000000001E-3</v>
      </c>
      <c r="G31" s="22">
        <f>E31*F31</f>
        <v>0.12012</v>
      </c>
      <c r="H31" s="22">
        <f>G31-D31</f>
        <v>0</v>
      </c>
      <c r="I31" s="23">
        <f t="shared" ref="I31" si="8">IF(ISERROR(H31/D31),0,(H31/D31))</f>
        <v>0</v>
      </c>
      <c r="J31" s="125">
        <f t="shared" ref="J31" si="9">G31/$G$39</f>
        <v>3.9118076134718278E-3</v>
      </c>
    </row>
    <row r="32" spans="1:10" x14ac:dyDescent="0.2">
      <c r="A32" s="107" t="s">
        <v>44</v>
      </c>
      <c r="B32" s="73">
        <v>1</v>
      </c>
      <c r="C32" s="22">
        <v>0.25</v>
      </c>
      <c r="D32" s="22">
        <f>B32*C32</f>
        <v>0.25</v>
      </c>
      <c r="E32" s="73">
        <f t="shared" si="1"/>
        <v>1</v>
      </c>
      <c r="F32" s="22">
        <f>C32</f>
        <v>0.25</v>
      </c>
      <c r="G32" s="22">
        <f>E32*F32</f>
        <v>0.25</v>
      </c>
      <c r="H32" s="22">
        <f t="shared" si="2"/>
        <v>0</v>
      </c>
      <c r="I32" s="23">
        <f t="shared" si="3"/>
        <v>0</v>
      </c>
      <c r="J32" s="125">
        <f t="shared" ref="J32:J39" si="10">G32/$G$39</f>
        <v>8.1414577369959776E-3</v>
      </c>
    </row>
    <row r="33" spans="1:10" s="1" customFormat="1" x14ac:dyDescent="0.2">
      <c r="A33" s="110" t="s">
        <v>45</v>
      </c>
      <c r="B33" s="74"/>
      <c r="C33" s="35"/>
      <c r="D33" s="35">
        <f>SUM(D29:D32)</f>
        <v>0.99256</v>
      </c>
      <c r="E33" s="73"/>
      <c r="F33" s="35"/>
      <c r="G33" s="35">
        <f>SUM(G29:G32)</f>
        <v>0.99256</v>
      </c>
      <c r="H33" s="35">
        <f t="shared" si="2"/>
        <v>0</v>
      </c>
      <c r="I33" s="36">
        <f t="shared" si="3"/>
        <v>0</v>
      </c>
      <c r="J33" s="111">
        <f t="shared" si="10"/>
        <v>3.2323541165730912E-2</v>
      </c>
    </row>
    <row r="34" spans="1:10" ht="13.5" thickBot="1" x14ac:dyDescent="0.25">
      <c r="A34" s="112" t="s">
        <v>46</v>
      </c>
      <c r="B34" s="113">
        <f>B4</f>
        <v>100</v>
      </c>
      <c r="C34" s="114">
        <v>7.0000000000000001E-3</v>
      </c>
      <c r="D34" s="115">
        <f>B34*C34</f>
        <v>0.70000000000000007</v>
      </c>
      <c r="E34" s="116">
        <f t="shared" si="1"/>
        <v>100</v>
      </c>
      <c r="F34" s="114">
        <f>C34</f>
        <v>7.0000000000000001E-3</v>
      </c>
      <c r="G34" s="115">
        <f>E34*F34</f>
        <v>0.70000000000000007</v>
      </c>
      <c r="H34" s="115">
        <f t="shared" si="2"/>
        <v>0</v>
      </c>
      <c r="I34" s="117">
        <f t="shared" si="3"/>
        <v>0</v>
      </c>
      <c r="J34" s="118">
        <f t="shared" si="10"/>
        <v>2.2796081663588742E-2</v>
      </c>
    </row>
    <row r="35" spans="1:10" x14ac:dyDescent="0.2">
      <c r="A35" s="37" t="s">
        <v>146</v>
      </c>
      <c r="B35" s="38"/>
      <c r="C35" s="39"/>
      <c r="D35" s="39">
        <f>SUM(D14,D24,D27,D33,D34)</f>
        <v>28.711649599999998</v>
      </c>
      <c r="E35" s="38"/>
      <c r="F35" s="39"/>
      <c r="G35" s="39">
        <f>SUM(G14,G24,G27,G33,G34)</f>
        <v>29.244792</v>
      </c>
      <c r="H35" s="39">
        <f t="shared" si="2"/>
        <v>0.53314240000000268</v>
      </c>
      <c r="I35" s="40">
        <f>IF(ISERROR(H35/D35),0,(H35/D35))</f>
        <v>1.8568852971791727E-2</v>
      </c>
      <c r="J35" s="41">
        <f t="shared" si="10"/>
        <v>0.95238095238095233</v>
      </c>
    </row>
    <row r="36" spans="1:10" x14ac:dyDescent="0.2">
      <c r="A36" s="46" t="s">
        <v>138</v>
      </c>
      <c r="B36" s="43"/>
      <c r="C36" s="26">
        <v>0.13</v>
      </c>
      <c r="D36" s="26">
        <f>D35*C36</f>
        <v>3.7325144479999999</v>
      </c>
      <c r="E36" s="26"/>
      <c r="F36" s="26">
        <f>C36</f>
        <v>0.13</v>
      </c>
      <c r="G36" s="26">
        <f>G35*F36</f>
        <v>3.80182296</v>
      </c>
      <c r="H36" s="26">
        <f t="shared" si="2"/>
        <v>6.93085120000001E-2</v>
      </c>
      <c r="I36" s="44">
        <f t="shared" si="3"/>
        <v>1.8568852971791658E-2</v>
      </c>
      <c r="J36" s="45">
        <f t="shared" si="10"/>
        <v>0.1238095238095238</v>
      </c>
    </row>
    <row r="37" spans="1:10" x14ac:dyDescent="0.2">
      <c r="A37" s="46" t="s">
        <v>139</v>
      </c>
      <c r="B37" s="24"/>
      <c r="C37" s="25"/>
      <c r="D37" s="25">
        <f>SUM(D35:D36)</f>
        <v>32.444164047999998</v>
      </c>
      <c r="E37" s="25"/>
      <c r="F37" s="25"/>
      <c r="G37" s="25">
        <f>SUM(G35:G36)</f>
        <v>33.046614959999999</v>
      </c>
      <c r="H37" s="25">
        <f t="shared" si="2"/>
        <v>0.60245091200000189</v>
      </c>
      <c r="I37" s="27">
        <f t="shared" si="3"/>
        <v>1.8568852971791693E-2</v>
      </c>
      <c r="J37" s="47">
        <f t="shared" si="10"/>
        <v>1.0761904761904761</v>
      </c>
    </row>
    <row r="38" spans="1:10" x14ac:dyDescent="0.2">
      <c r="A38" s="46" t="s">
        <v>140</v>
      </c>
      <c r="B38" s="43"/>
      <c r="C38" s="26">
        <v>-0.08</v>
      </c>
      <c r="D38" s="26">
        <f>D35*C38</f>
        <v>-2.296931968</v>
      </c>
      <c r="E38" s="26"/>
      <c r="F38" s="26">
        <f>C38</f>
        <v>-0.08</v>
      </c>
      <c r="G38" s="26">
        <f>G35*F38</f>
        <v>-2.3395833600000002</v>
      </c>
      <c r="H38" s="26">
        <f t="shared" si="2"/>
        <v>-4.2651392000000232E-2</v>
      </c>
      <c r="I38" s="44">
        <f t="shared" si="3"/>
        <v>1.8568852971791731E-2</v>
      </c>
      <c r="J38" s="45">
        <f t="shared" si="10"/>
        <v>-7.6190476190476197E-2</v>
      </c>
    </row>
    <row r="39" spans="1:10" ht="13.5" thickBot="1" x14ac:dyDescent="0.25">
      <c r="A39" s="46" t="s">
        <v>141</v>
      </c>
      <c r="B39" s="49"/>
      <c r="C39" s="50"/>
      <c r="D39" s="50">
        <f>SUM(D37:D38)</f>
        <v>30.147232079999998</v>
      </c>
      <c r="E39" s="50"/>
      <c r="F39" s="50"/>
      <c r="G39" s="50">
        <f>SUM(G37:G38)</f>
        <v>30.707031600000001</v>
      </c>
      <c r="H39" s="50">
        <f t="shared" si="2"/>
        <v>0.5597995200000021</v>
      </c>
      <c r="I39" s="51">
        <f t="shared" si="3"/>
        <v>1.8568852971791703E-2</v>
      </c>
      <c r="J39" s="52">
        <f t="shared" si="10"/>
        <v>1</v>
      </c>
    </row>
    <row r="40" spans="1:10" x14ac:dyDescent="0.2">
      <c r="D40" s="72"/>
      <c r="F40" s="69"/>
    </row>
    <row r="41" spans="1:10" x14ac:dyDescent="0.2">
      <c r="F41" s="69"/>
    </row>
    <row r="42" spans="1:10" x14ac:dyDescent="0.2">
      <c r="A42" s="70"/>
      <c r="B42" s="71"/>
      <c r="F42" s="69"/>
    </row>
    <row r="43" spans="1:10" x14ac:dyDescent="0.2">
      <c r="B43" s="72"/>
      <c r="D43" s="72"/>
      <c r="F43" s="69"/>
    </row>
    <row r="44" spans="1:10" x14ac:dyDescent="0.2">
      <c r="F44" s="69"/>
    </row>
    <row r="45" spans="1:10" x14ac:dyDescent="0.2">
      <c r="F45" s="69"/>
    </row>
    <row r="46" spans="1:10" x14ac:dyDescent="0.2">
      <c r="F46" s="69"/>
    </row>
    <row r="47" spans="1:10" x14ac:dyDescent="0.2">
      <c r="F47" s="69"/>
    </row>
    <row r="48" spans="1:10" x14ac:dyDescent="0.2">
      <c r="F48" s="69"/>
    </row>
    <row r="49" spans="6:6" x14ac:dyDescent="0.2">
      <c r="F49" s="69"/>
    </row>
    <row r="50" spans="6:6" x14ac:dyDescent="0.2">
      <c r="F50" s="69"/>
    </row>
  </sheetData>
  <mergeCells count="1">
    <mergeCell ref="A1:J1"/>
  </mergeCell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Impacts'!$A$3:$A$11</xm:f>
          </x14:formula1>
          <xm:sqref>B3</xm:sqref>
        </x14:dataValidation>
      </x14:dataValidations>
    </ext>
  </extLs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tabColor theme="1" tint="0.499984740745262"/>
    <pageSetUpPr fitToPage="1"/>
  </sheetPr>
  <dimension ref="A1:J50"/>
  <sheetViews>
    <sheetView topLeftCell="A7" workbookViewId="0">
      <selection activeCell="C19" sqref="C19"/>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48" t="s">
        <v>112</v>
      </c>
      <c r="B1" s="349"/>
      <c r="C1" s="349"/>
      <c r="D1" s="349"/>
      <c r="E1" s="349"/>
      <c r="F1" s="349"/>
      <c r="G1" s="349"/>
      <c r="H1" s="349"/>
      <c r="I1" s="349"/>
      <c r="J1" s="350"/>
    </row>
    <row r="3" spans="1:10" ht="15" customHeight="1" x14ac:dyDescent="0.2">
      <c r="A3" s="13" t="s">
        <v>13</v>
      </c>
      <c r="B3" s="13" t="s">
        <v>8</v>
      </c>
    </row>
    <row r="4" spans="1:10" x14ac:dyDescent="0.2">
      <c r="A4" s="15" t="s">
        <v>62</v>
      </c>
      <c r="B4" s="79">
        <f>'Data for Bill Impacts_HONI Avg '!C9</f>
        <v>517</v>
      </c>
    </row>
    <row r="5" spans="1:10" x14ac:dyDescent="0.2">
      <c r="A5" s="15" t="s">
        <v>16</v>
      </c>
      <c r="B5" s="15">
        <f>VLOOKUP($B$3,'Data for Bill Impacts'!$A$3:$Y$15,5,0)</f>
        <v>0</v>
      </c>
    </row>
    <row r="6" spans="1:10" x14ac:dyDescent="0.2">
      <c r="A6" s="15" t="s">
        <v>20</v>
      </c>
      <c r="B6" s="15">
        <f>VLOOKUP($B$3,'Data for Bill Impacts'!$A$3:$Y$15,2,0)</f>
        <v>1.0920000000000001</v>
      </c>
    </row>
    <row r="7" spans="1:10" x14ac:dyDescent="0.2">
      <c r="A7" s="15" t="s">
        <v>15</v>
      </c>
      <c r="B7" s="15">
        <f>VLOOKUP($B$3,'Data for Bill Impacts'!$A$3:$Y$15,4,0)</f>
        <v>750</v>
      </c>
    </row>
    <row r="8" spans="1:10" x14ac:dyDescent="0.2">
      <c r="A8" s="15" t="s">
        <v>82</v>
      </c>
      <c r="B8" s="15">
        <f>B4*B6</f>
        <v>564.56400000000008</v>
      </c>
    </row>
    <row r="9" spans="1:10" x14ac:dyDescent="0.2">
      <c r="A9" s="15" t="s">
        <v>21</v>
      </c>
      <c r="B9" s="16" t="str">
        <f>VLOOKUP($B$3,'Data for Bill Impacts'!$A$3:$Y$15,6,0)</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3" t="s">
        <v>29</v>
      </c>
    </row>
    <row r="12" spans="1:10" x14ac:dyDescent="0.2">
      <c r="A12" s="101" t="s">
        <v>31</v>
      </c>
      <c r="B12" s="102">
        <f>IF(B4&gt;B7,B7,B4)</f>
        <v>517</v>
      </c>
      <c r="C12" s="103">
        <v>0.10299999999999999</v>
      </c>
      <c r="D12" s="104">
        <f>B12*C12</f>
        <v>53.250999999999998</v>
      </c>
      <c r="E12" s="102">
        <f>B12</f>
        <v>517</v>
      </c>
      <c r="F12" s="103">
        <f>C12</f>
        <v>0.10299999999999999</v>
      </c>
      <c r="G12" s="104">
        <f>E12*F12</f>
        <v>53.250999999999998</v>
      </c>
      <c r="H12" s="104">
        <f>G12-D12</f>
        <v>0</v>
      </c>
      <c r="I12" s="105">
        <f>IF(ISERROR(H12/D12),0,(H12/D12))</f>
        <v>0</v>
      </c>
      <c r="J12" s="124">
        <f t="shared" ref="J12:J39" si="0">G12/$G$39</f>
        <v>0.39068664659286501</v>
      </c>
    </row>
    <row r="13" spans="1:10" x14ac:dyDescent="0.2">
      <c r="A13" s="107" t="s">
        <v>32</v>
      </c>
      <c r="B13" s="73">
        <f>IF(B4&gt;B7,(B4)-B7,0)</f>
        <v>0</v>
      </c>
      <c r="C13" s="21">
        <v>0.121</v>
      </c>
      <c r="D13" s="22">
        <f>B13*C13</f>
        <v>0</v>
      </c>
      <c r="E13" s="73">
        <f t="shared" ref="E13" si="1">B13</f>
        <v>0</v>
      </c>
      <c r="F13" s="21">
        <f>C13</f>
        <v>0.121</v>
      </c>
      <c r="G13" s="22">
        <f>E13*F13</f>
        <v>0</v>
      </c>
      <c r="H13" s="22">
        <f t="shared" ref="H13:H39" si="2">G13-D13</f>
        <v>0</v>
      </c>
      <c r="I13" s="23">
        <f t="shared" ref="I13:I39" si="3">IF(ISERROR(H13/D13),0,(H13/D13))</f>
        <v>0</v>
      </c>
      <c r="J13" s="125">
        <f t="shared" si="0"/>
        <v>0</v>
      </c>
    </row>
    <row r="14" spans="1:10" s="1" customFormat="1" x14ac:dyDescent="0.2">
      <c r="A14" s="46" t="s">
        <v>33</v>
      </c>
      <c r="B14" s="24"/>
      <c r="C14" s="25"/>
      <c r="D14" s="25">
        <f>SUM(D12:D13)</f>
        <v>53.250999999999998</v>
      </c>
      <c r="E14" s="76"/>
      <c r="F14" s="25"/>
      <c r="G14" s="25">
        <f>SUM(G12:G13)</f>
        <v>53.250999999999998</v>
      </c>
      <c r="H14" s="25">
        <f t="shared" si="2"/>
        <v>0</v>
      </c>
      <c r="I14" s="27">
        <f t="shared" si="3"/>
        <v>0</v>
      </c>
      <c r="J14" s="47">
        <f t="shared" si="0"/>
        <v>0.39068664659286501</v>
      </c>
    </row>
    <row r="15" spans="1:10" x14ac:dyDescent="0.2">
      <c r="A15" s="107" t="s">
        <v>38</v>
      </c>
      <c r="B15" s="73">
        <v>1</v>
      </c>
      <c r="C15" s="78">
        <f>VLOOKUP($B$3,'Data for Bill Impacts'!$A$3:$Y$15,7,0)</f>
        <v>4.33</v>
      </c>
      <c r="D15" s="22">
        <f>B15*C15</f>
        <v>4.33</v>
      </c>
      <c r="E15" s="73">
        <f t="shared" ref="E15:E34" si="4">B15</f>
        <v>1</v>
      </c>
      <c r="F15" s="78">
        <f>VLOOKUP($B$3,'Data for Bill Impacts'!$A$3:$Y$15,17,0)</f>
        <v>4.7699999999999996</v>
      </c>
      <c r="G15" s="22">
        <f>E15*F15</f>
        <v>4.7699999999999996</v>
      </c>
      <c r="H15" s="22">
        <f t="shared" si="2"/>
        <v>0.4399999999999995</v>
      </c>
      <c r="I15" s="23">
        <f t="shared" si="3"/>
        <v>0.10161662817551952</v>
      </c>
      <c r="J15" s="125">
        <f t="shared" si="0"/>
        <v>3.4996062125555685E-2</v>
      </c>
    </row>
    <row r="16" spans="1:10" hidden="1" x14ac:dyDescent="0.2">
      <c r="A16" s="107" t="s">
        <v>90</v>
      </c>
      <c r="B16" s="73">
        <v>1</v>
      </c>
      <c r="C16" s="78">
        <v>0</v>
      </c>
      <c r="D16" s="22">
        <f>B16*C16</f>
        <v>0</v>
      </c>
      <c r="E16" s="73">
        <f t="shared" si="4"/>
        <v>1</v>
      </c>
      <c r="F16" s="78">
        <v>0</v>
      </c>
      <c r="G16" s="22">
        <f t="shared" ref="G16:G18" si="5">E16*F16</f>
        <v>0</v>
      </c>
      <c r="H16" s="22">
        <f t="shared" si="2"/>
        <v>0</v>
      </c>
      <c r="I16" s="23">
        <f t="shared" si="3"/>
        <v>0</v>
      </c>
      <c r="J16" s="125">
        <f t="shared" si="0"/>
        <v>0</v>
      </c>
    </row>
    <row r="17" spans="1:10" hidden="1" x14ac:dyDescent="0.2">
      <c r="A17" s="107" t="s">
        <v>84</v>
      </c>
      <c r="B17" s="73">
        <v>1</v>
      </c>
      <c r="C17" s="78">
        <v>0</v>
      </c>
      <c r="D17" s="22">
        <f t="shared" ref="D17:D18" si="6">B17*C17</f>
        <v>0</v>
      </c>
      <c r="E17" s="73">
        <f t="shared" si="4"/>
        <v>1</v>
      </c>
      <c r="F17" s="78">
        <v>0</v>
      </c>
      <c r="G17" s="22">
        <f t="shared" si="5"/>
        <v>0</v>
      </c>
      <c r="H17" s="22">
        <f t="shared" si="2"/>
        <v>0</v>
      </c>
      <c r="I17" s="23">
        <f t="shared" si="3"/>
        <v>0</v>
      </c>
      <c r="J17" s="125">
        <f t="shared" si="0"/>
        <v>0</v>
      </c>
    </row>
    <row r="18" spans="1:10" x14ac:dyDescent="0.2">
      <c r="A18" s="107" t="s">
        <v>85</v>
      </c>
      <c r="B18" s="73">
        <v>1</v>
      </c>
      <c r="C18" s="122">
        <f>VLOOKUP($B$3,'Data for Bill Impacts'!$A$3:$Y$15,11,0)</f>
        <v>0</v>
      </c>
      <c r="D18" s="22">
        <f t="shared" si="6"/>
        <v>0</v>
      </c>
      <c r="E18" s="73">
        <f t="shared" si="4"/>
        <v>1</v>
      </c>
      <c r="F18" s="122">
        <f>VLOOKUP($B$3,'Data for Bill Impacts'!$A$3:$Y$15,22,0)</f>
        <v>0</v>
      </c>
      <c r="G18" s="22">
        <f t="shared" si="5"/>
        <v>0</v>
      </c>
      <c r="H18" s="22">
        <f t="shared" si="2"/>
        <v>0</v>
      </c>
      <c r="I18" s="23">
        <f t="shared" si="3"/>
        <v>0</v>
      </c>
      <c r="J18" s="125">
        <f t="shared" si="0"/>
        <v>0</v>
      </c>
    </row>
    <row r="19" spans="1:10" x14ac:dyDescent="0.2">
      <c r="A19" s="107" t="s">
        <v>39</v>
      </c>
      <c r="B19" s="73">
        <f>IF($B$9="kWh",$B$4,$B$5)</f>
        <v>517</v>
      </c>
      <c r="C19" s="126">
        <f>VLOOKUP($B$3,'Data for Bill Impacts'!$A$3:$Y$15,10,0)</f>
        <v>0.10440000000000001</v>
      </c>
      <c r="D19" s="22">
        <f>B19*C19</f>
        <v>53.974800000000002</v>
      </c>
      <c r="E19" s="73">
        <f t="shared" si="4"/>
        <v>517</v>
      </c>
      <c r="F19" s="78">
        <f>VLOOKUP($B$3,'Data for Bill Impacts'!$A$3:$Y$15,19,0)</f>
        <v>0.107</v>
      </c>
      <c r="G19" s="22">
        <f>E19*F19</f>
        <v>55.318999999999996</v>
      </c>
      <c r="H19" s="22">
        <f t="shared" si="2"/>
        <v>1.3441999999999936</v>
      </c>
      <c r="I19" s="23">
        <f t="shared" si="3"/>
        <v>2.4904214559386854E-2</v>
      </c>
      <c r="J19" s="125">
        <f t="shared" si="0"/>
        <v>0.40585894354792773</v>
      </c>
    </row>
    <row r="20" spans="1:10" s="1" customFormat="1" x14ac:dyDescent="0.2">
      <c r="A20" s="107" t="s">
        <v>194</v>
      </c>
      <c r="B20" s="73">
        <f>IF($B$9="kWh",$B$4,$B$5)</f>
        <v>517</v>
      </c>
      <c r="C20" s="126">
        <f>VLOOKUP($B$3,'Data for Bill Impacts'!$A$3:$Y$15,14,0)</f>
        <v>2.0000000000000001E-4</v>
      </c>
      <c r="D20" s="22">
        <f>B20*C20</f>
        <v>0.10340000000000001</v>
      </c>
      <c r="E20" s="73">
        <f>B20</f>
        <v>517</v>
      </c>
      <c r="F20" s="126">
        <f>VLOOKUP($B$3,'Data for Bill Impacts'!$A$3:$Y$15,23,0)</f>
        <v>2.0000000000000001E-4</v>
      </c>
      <c r="G20" s="22">
        <f>E20*F20</f>
        <v>0.10340000000000001</v>
      </c>
      <c r="H20" s="22">
        <f>G20-D20</f>
        <v>0</v>
      </c>
      <c r="I20" s="23">
        <f>IF(ISERROR(H20/D20),0,(H20/D20))</f>
        <v>0</v>
      </c>
      <c r="J20" s="125">
        <f t="shared" si="0"/>
        <v>7.5861484775313604E-4</v>
      </c>
    </row>
    <row r="21" spans="1:10" hidden="1" x14ac:dyDescent="0.2">
      <c r="A21" s="107" t="s">
        <v>86</v>
      </c>
      <c r="B21" s="73">
        <f>IF($B$9="kWh",$B$4,$B$5)</f>
        <v>517</v>
      </c>
      <c r="C21" s="126">
        <v>0</v>
      </c>
      <c r="D21" s="22">
        <f>B21*C21</f>
        <v>0</v>
      </c>
      <c r="E21" s="73">
        <f t="shared" si="4"/>
        <v>517</v>
      </c>
      <c r="F21" s="78">
        <v>0</v>
      </c>
      <c r="G21" s="22">
        <f>E21*F21</f>
        <v>0</v>
      </c>
      <c r="H21" s="22">
        <f t="shared" si="2"/>
        <v>0</v>
      </c>
      <c r="I21" s="23">
        <f>IF(ISERROR(H21/D21),0,(H21/D21))</f>
        <v>0</v>
      </c>
      <c r="J21" s="125">
        <f t="shared" si="0"/>
        <v>0</v>
      </c>
    </row>
    <row r="22" spans="1:10" x14ac:dyDescent="0.2">
      <c r="A22" s="110" t="s">
        <v>72</v>
      </c>
      <c r="B22" s="74"/>
      <c r="C22" s="35"/>
      <c r="D22" s="35">
        <f>SUM(D15:D21)</f>
        <v>58.408200000000001</v>
      </c>
      <c r="E22" s="73"/>
      <c r="F22" s="35"/>
      <c r="G22" s="35">
        <f>SUM(G15:G21)</f>
        <v>60.192399999999999</v>
      </c>
      <c r="H22" s="35">
        <f t="shared" si="2"/>
        <v>1.7841999999999985</v>
      </c>
      <c r="I22" s="36">
        <f t="shared" si="3"/>
        <v>3.0547080718118319E-2</v>
      </c>
      <c r="J22" s="111">
        <f t="shared" si="0"/>
        <v>0.44161362052123654</v>
      </c>
    </row>
    <row r="23" spans="1:10" s="1" customFormat="1" x14ac:dyDescent="0.2">
      <c r="A23" s="119" t="s">
        <v>81</v>
      </c>
      <c r="B23" s="120">
        <f>B8-B4</f>
        <v>47.564000000000078</v>
      </c>
      <c r="C23" s="121">
        <f>IF(B4&gt;B7,C13,C12)</f>
        <v>0.10299999999999999</v>
      </c>
      <c r="D23" s="22">
        <f>B23*C23</f>
        <v>4.8990920000000076</v>
      </c>
      <c r="E23" s="73">
        <f>B23</f>
        <v>47.564000000000078</v>
      </c>
      <c r="F23" s="121">
        <f>C23</f>
        <v>0.10299999999999999</v>
      </c>
      <c r="G23" s="22">
        <f>E23*F23</f>
        <v>4.8990920000000076</v>
      </c>
      <c r="H23" s="22">
        <f t="shared" si="2"/>
        <v>0</v>
      </c>
      <c r="I23" s="23">
        <f>IF(ISERROR(H23/D23),0,(H23/D23))</f>
        <v>0</v>
      </c>
      <c r="J23" s="125">
        <f t="shared" si="0"/>
        <v>3.5943171486543635E-2</v>
      </c>
    </row>
    <row r="24" spans="1:10" x14ac:dyDescent="0.2">
      <c r="A24" s="110" t="s">
        <v>79</v>
      </c>
      <c r="B24" s="74"/>
      <c r="C24" s="35"/>
      <c r="D24" s="35">
        <f>SUM(D22,D23:D23)</f>
        <v>63.307292000000011</v>
      </c>
      <c r="E24" s="73"/>
      <c r="F24" s="35"/>
      <c r="G24" s="35">
        <f>SUM(G22,G23:G23)</f>
        <v>65.091492000000002</v>
      </c>
      <c r="H24" s="35">
        <f t="shared" si="2"/>
        <v>1.7841999999999913</v>
      </c>
      <c r="I24" s="36">
        <f>IF(ISERROR(H24/D24),0,(H24/D24))</f>
        <v>2.8183167272420862E-2</v>
      </c>
      <c r="J24" s="111">
        <f t="shared" si="0"/>
        <v>0.47755679200778017</v>
      </c>
    </row>
    <row r="25" spans="1:10" x14ac:dyDescent="0.2">
      <c r="A25" s="107" t="s">
        <v>40</v>
      </c>
      <c r="B25" s="73">
        <f>B8</f>
        <v>564.56400000000008</v>
      </c>
      <c r="C25" s="126">
        <f>VLOOKUP($B$3,'Data for Bill Impacts'!$A$3:$Y$15,15,0)</f>
        <v>4.6979999999999999E-3</v>
      </c>
      <c r="D25" s="22">
        <f>B25*C25</f>
        <v>2.6523216720000002</v>
      </c>
      <c r="E25" s="73">
        <f t="shared" si="4"/>
        <v>564.56400000000008</v>
      </c>
      <c r="F25" s="126">
        <f>VLOOKUP($B$3,'Data for Bill Impacts'!$A$3:$Y$15,24,0)</f>
        <v>3.836E-3</v>
      </c>
      <c r="G25" s="22">
        <f>E25*F25</f>
        <v>2.1656675040000004</v>
      </c>
      <c r="H25" s="22">
        <f t="shared" si="2"/>
        <v>-0.48665416799999983</v>
      </c>
      <c r="I25" s="23">
        <f t="shared" si="3"/>
        <v>-0.18348233290762017</v>
      </c>
      <c r="J25" s="125">
        <f t="shared" si="0"/>
        <v>1.5888854195656426E-2</v>
      </c>
    </row>
    <row r="26" spans="1:10" s="1" customFormat="1" x14ac:dyDescent="0.2">
      <c r="A26" s="107" t="s">
        <v>41</v>
      </c>
      <c r="B26" s="73">
        <f>B8</f>
        <v>564.56400000000008</v>
      </c>
      <c r="C26" s="126">
        <f>VLOOKUP($B$3,'Data for Bill Impacts'!$A$3:$Y$15,16,0)</f>
        <v>4.2899999999999995E-3</v>
      </c>
      <c r="D26" s="22">
        <f>B26*C26</f>
        <v>2.42197956</v>
      </c>
      <c r="E26" s="73">
        <f t="shared" si="4"/>
        <v>564.56400000000008</v>
      </c>
      <c r="F26" s="126">
        <f>VLOOKUP($B$3,'Data for Bill Impacts'!$A$3:$Y$15,25,0)</f>
        <v>3.6240000000000001E-3</v>
      </c>
      <c r="G26" s="22">
        <f>E26*F26</f>
        <v>2.0459799360000002</v>
      </c>
      <c r="H26" s="22">
        <f t="shared" si="2"/>
        <v>-0.37599962399999987</v>
      </c>
      <c r="I26" s="23">
        <f t="shared" si="3"/>
        <v>-0.1552447552447552</v>
      </c>
      <c r="J26" s="125">
        <f t="shared" si="0"/>
        <v>1.5010742337085213E-2</v>
      </c>
    </row>
    <row r="27" spans="1:10" s="1" customFormat="1" x14ac:dyDescent="0.2">
      <c r="A27" s="110" t="s">
        <v>76</v>
      </c>
      <c r="B27" s="74"/>
      <c r="C27" s="35"/>
      <c r="D27" s="35">
        <f>SUM(D25:D26)</f>
        <v>5.0743012319999998</v>
      </c>
      <c r="E27" s="73"/>
      <c r="F27" s="35"/>
      <c r="G27" s="35">
        <f>SUM(G25:G26)</f>
        <v>4.2116474400000001</v>
      </c>
      <c r="H27" s="35">
        <f t="shared" si="2"/>
        <v>-0.8626537919999997</v>
      </c>
      <c r="I27" s="36">
        <f t="shared" si="3"/>
        <v>-0.1700044503782821</v>
      </c>
      <c r="J27" s="111">
        <f t="shared" si="0"/>
        <v>3.0899596532741633E-2</v>
      </c>
    </row>
    <row r="28" spans="1:10" s="1" customFormat="1" x14ac:dyDescent="0.2">
      <c r="A28" s="110" t="s">
        <v>80</v>
      </c>
      <c r="B28" s="74"/>
      <c r="C28" s="35"/>
      <c r="D28" s="35">
        <f>D24+D27</f>
        <v>68.381593232000014</v>
      </c>
      <c r="E28" s="73"/>
      <c r="F28" s="35"/>
      <c r="G28" s="35">
        <f>G24+G27</f>
        <v>69.303139439999995</v>
      </c>
      <c r="H28" s="35">
        <f t="shared" si="2"/>
        <v>0.92154620799998099</v>
      </c>
      <c r="I28" s="36">
        <f t="shared" si="3"/>
        <v>1.3476524375111109E-2</v>
      </c>
      <c r="J28" s="111">
        <f t="shared" si="0"/>
        <v>0.50845638854052178</v>
      </c>
    </row>
    <row r="29" spans="1:10" x14ac:dyDescent="0.2">
      <c r="A29" s="107" t="s">
        <v>42</v>
      </c>
      <c r="B29" s="73">
        <f>B8</f>
        <v>564.56400000000008</v>
      </c>
      <c r="C29" s="34">
        <v>3.5999999999999999E-3</v>
      </c>
      <c r="D29" s="22">
        <f>B29*C29</f>
        <v>2.0324304000000004</v>
      </c>
      <c r="E29" s="73">
        <f t="shared" si="4"/>
        <v>564.56400000000008</v>
      </c>
      <c r="F29" s="34">
        <v>3.5999999999999999E-3</v>
      </c>
      <c r="G29" s="22">
        <f>E29*F29</f>
        <v>2.0324304000000004</v>
      </c>
      <c r="H29" s="22">
        <f t="shared" si="2"/>
        <v>0</v>
      </c>
      <c r="I29" s="23">
        <f t="shared" si="3"/>
        <v>0</v>
      </c>
      <c r="J29" s="125">
        <f t="shared" si="0"/>
        <v>1.4911333447435643E-2</v>
      </c>
    </row>
    <row r="30" spans="1:10" s="1" customFormat="1" x14ac:dyDescent="0.2">
      <c r="A30" s="107" t="s">
        <v>43</v>
      </c>
      <c r="B30" s="73">
        <f>B8</f>
        <v>564.56400000000008</v>
      </c>
      <c r="C30" s="34">
        <v>1.2999999999999999E-3</v>
      </c>
      <c r="D30" s="22">
        <f>B30*C30</f>
        <v>0.73393320000000006</v>
      </c>
      <c r="E30" s="73">
        <f t="shared" si="4"/>
        <v>564.56400000000008</v>
      </c>
      <c r="F30" s="34">
        <v>1.2999999999999999E-3</v>
      </c>
      <c r="G30" s="22">
        <f>E30*F30</f>
        <v>0.73393320000000006</v>
      </c>
      <c r="H30" s="22">
        <f>G30-D30</f>
        <v>0</v>
      </c>
      <c r="I30" s="23">
        <f t="shared" si="3"/>
        <v>0</v>
      </c>
      <c r="J30" s="125">
        <f t="shared" si="0"/>
        <v>5.3846481893517597E-3</v>
      </c>
    </row>
    <row r="31" spans="1:10" s="1" customFormat="1" x14ac:dyDescent="0.2">
      <c r="A31" s="107" t="s">
        <v>100</v>
      </c>
      <c r="B31" s="73">
        <f>B8</f>
        <v>564.56400000000008</v>
      </c>
      <c r="C31" s="34">
        <v>1.1000000000000001E-3</v>
      </c>
      <c r="D31" s="22">
        <f>B31*C31</f>
        <v>0.62102040000000014</v>
      </c>
      <c r="E31" s="73">
        <f t="shared" si="4"/>
        <v>564.56400000000008</v>
      </c>
      <c r="F31" s="34">
        <v>1.1000000000000001E-3</v>
      </c>
      <c r="G31" s="22">
        <f>E31*F31</f>
        <v>0.62102040000000014</v>
      </c>
      <c r="H31" s="22">
        <f>G31-D31</f>
        <v>0</v>
      </c>
      <c r="I31" s="23">
        <f t="shared" si="3"/>
        <v>0</v>
      </c>
      <c r="J31" s="125">
        <f t="shared" si="0"/>
        <v>4.5562407756053356E-3</v>
      </c>
    </row>
    <row r="32" spans="1:10" x14ac:dyDescent="0.2">
      <c r="A32" s="107" t="s">
        <v>44</v>
      </c>
      <c r="B32" s="73">
        <v>1</v>
      </c>
      <c r="C32" s="22">
        <v>0.25</v>
      </c>
      <c r="D32" s="22">
        <f>B32*C32</f>
        <v>0.25</v>
      </c>
      <c r="E32" s="73">
        <f t="shared" si="4"/>
        <v>1</v>
      </c>
      <c r="F32" s="22">
        <f>C32</f>
        <v>0.25</v>
      </c>
      <c r="G32" s="22">
        <f>E32*F32</f>
        <v>0.25</v>
      </c>
      <c r="H32" s="22">
        <f t="shared" si="2"/>
        <v>0</v>
      </c>
      <c r="I32" s="23">
        <f t="shared" si="3"/>
        <v>0</v>
      </c>
      <c r="J32" s="125">
        <f t="shared" si="0"/>
        <v>1.8341751638131915E-3</v>
      </c>
    </row>
    <row r="33" spans="1:10" s="1" customFormat="1" x14ac:dyDescent="0.2">
      <c r="A33" s="110" t="s">
        <v>45</v>
      </c>
      <c r="B33" s="74"/>
      <c r="C33" s="35"/>
      <c r="D33" s="35">
        <f>SUM(D29:D32)</f>
        <v>3.6373840000000008</v>
      </c>
      <c r="E33" s="73"/>
      <c r="F33" s="35"/>
      <c r="G33" s="35">
        <f>SUM(G29:G32)</f>
        <v>3.6373840000000008</v>
      </c>
      <c r="H33" s="35">
        <f t="shared" si="2"/>
        <v>0</v>
      </c>
      <c r="I33" s="36">
        <f t="shared" si="3"/>
        <v>0</v>
      </c>
      <c r="J33" s="111">
        <f t="shared" si="0"/>
        <v>2.6686397576205931E-2</v>
      </c>
    </row>
    <row r="34" spans="1:10" ht="13.5" thickBot="1" x14ac:dyDescent="0.25">
      <c r="A34" s="112" t="s">
        <v>46</v>
      </c>
      <c r="B34" s="113">
        <f>B4</f>
        <v>517</v>
      </c>
      <c r="C34" s="114">
        <v>7.0000000000000001E-3</v>
      </c>
      <c r="D34" s="115">
        <f>B34*C34</f>
        <v>3.6190000000000002</v>
      </c>
      <c r="E34" s="116">
        <f t="shared" si="4"/>
        <v>517</v>
      </c>
      <c r="F34" s="114">
        <f>C34</f>
        <v>7.0000000000000001E-3</v>
      </c>
      <c r="G34" s="115">
        <f>E34*F34</f>
        <v>3.6190000000000002</v>
      </c>
      <c r="H34" s="115">
        <f t="shared" si="2"/>
        <v>0</v>
      </c>
      <c r="I34" s="117">
        <f t="shared" si="3"/>
        <v>0</v>
      </c>
      <c r="J34" s="118">
        <f t="shared" si="0"/>
        <v>2.6551519671359759E-2</v>
      </c>
    </row>
    <row r="35" spans="1:10" x14ac:dyDescent="0.2">
      <c r="A35" s="37" t="s">
        <v>146</v>
      </c>
      <c r="B35" s="38"/>
      <c r="C35" s="39"/>
      <c r="D35" s="39">
        <f>SUM(D14,D24,D27,D33,D34)</f>
        <v>128.888977232</v>
      </c>
      <c r="E35" s="38"/>
      <c r="F35" s="39"/>
      <c r="G35" s="39">
        <f>SUM(G14,G24,G27,G33,G34)</f>
        <v>129.81052344</v>
      </c>
      <c r="H35" s="39">
        <f t="shared" si="2"/>
        <v>0.9215462079999952</v>
      </c>
      <c r="I35" s="40">
        <f>IF(ISERROR(H35/D35),0,(H35/D35))</f>
        <v>7.1499225751571688E-3</v>
      </c>
      <c r="J35" s="41">
        <f t="shared" si="0"/>
        <v>0.95238095238095244</v>
      </c>
    </row>
    <row r="36" spans="1:10" x14ac:dyDescent="0.2">
      <c r="A36" s="46" t="s">
        <v>138</v>
      </c>
      <c r="B36" s="43"/>
      <c r="C36" s="26">
        <v>0.13</v>
      </c>
      <c r="D36" s="26">
        <f>D35*C36</f>
        <v>16.755567040160003</v>
      </c>
      <c r="E36" s="26"/>
      <c r="F36" s="26">
        <f>C36</f>
        <v>0.13</v>
      </c>
      <c r="G36" s="26">
        <f>G35*F36</f>
        <v>16.875368047199999</v>
      </c>
      <c r="H36" s="26">
        <f t="shared" si="2"/>
        <v>0.11980100703999597</v>
      </c>
      <c r="I36" s="44">
        <f t="shared" si="3"/>
        <v>7.149922575156965E-3</v>
      </c>
      <c r="J36" s="45">
        <f t="shared" si="0"/>
        <v>0.12380952380952381</v>
      </c>
    </row>
    <row r="37" spans="1:10" x14ac:dyDescent="0.2">
      <c r="A37" s="46" t="s">
        <v>139</v>
      </c>
      <c r="B37" s="24"/>
      <c r="C37" s="25"/>
      <c r="D37" s="25">
        <f>SUM(D35:D36)</f>
        <v>145.64454427216</v>
      </c>
      <c r="E37" s="25"/>
      <c r="F37" s="25"/>
      <c r="G37" s="25">
        <f>SUM(G35:G36)</f>
        <v>146.6858914872</v>
      </c>
      <c r="H37" s="25">
        <f t="shared" si="2"/>
        <v>1.0413472150399912</v>
      </c>
      <c r="I37" s="27">
        <f t="shared" si="3"/>
        <v>7.1499225751571454E-3</v>
      </c>
      <c r="J37" s="47">
        <f t="shared" si="0"/>
        <v>1.0761904761904764</v>
      </c>
    </row>
    <row r="38" spans="1:10" x14ac:dyDescent="0.2">
      <c r="A38" s="46" t="s">
        <v>140</v>
      </c>
      <c r="B38" s="43"/>
      <c r="C38" s="26">
        <v>-0.08</v>
      </c>
      <c r="D38" s="26">
        <f>D35*C38</f>
        <v>-10.311118178560001</v>
      </c>
      <c r="E38" s="26"/>
      <c r="F38" s="26">
        <f>C38</f>
        <v>-0.08</v>
      </c>
      <c r="G38" s="26">
        <f>G35*F38</f>
        <v>-10.384841875199999</v>
      </c>
      <c r="H38" s="26">
        <f t="shared" si="2"/>
        <v>-7.3723696639998337E-2</v>
      </c>
      <c r="I38" s="44">
        <f t="shared" si="3"/>
        <v>7.1499225751570448E-3</v>
      </c>
      <c r="J38" s="45">
        <f t="shared" si="0"/>
        <v>-7.6190476190476197E-2</v>
      </c>
    </row>
    <row r="39" spans="1:10" ht="13.5" thickBot="1" x14ac:dyDescent="0.25">
      <c r="A39" s="46" t="s">
        <v>141</v>
      </c>
      <c r="B39" s="49"/>
      <c r="C39" s="50"/>
      <c r="D39" s="50">
        <f>SUM(D37:D38)</f>
        <v>135.3334260936</v>
      </c>
      <c r="E39" s="50"/>
      <c r="F39" s="50"/>
      <c r="G39" s="50">
        <f>SUM(G37:G38)</f>
        <v>136.30104961199999</v>
      </c>
      <c r="H39" s="50">
        <f t="shared" si="2"/>
        <v>0.96762351839998928</v>
      </c>
      <c r="I39" s="51">
        <f t="shared" si="3"/>
        <v>7.1499225751571272E-3</v>
      </c>
      <c r="J39" s="52">
        <f t="shared" si="0"/>
        <v>1</v>
      </c>
    </row>
    <row r="40" spans="1:10" x14ac:dyDescent="0.2">
      <c r="D40" s="72"/>
      <c r="F40" s="69"/>
    </row>
    <row r="41" spans="1:10" x14ac:dyDescent="0.2">
      <c r="F41" s="69"/>
    </row>
    <row r="42" spans="1:10" x14ac:dyDescent="0.2">
      <c r="A42" s="70"/>
      <c r="B42" s="71"/>
      <c r="F42" s="69"/>
    </row>
    <row r="43" spans="1:10" x14ac:dyDescent="0.2">
      <c r="B43" s="72"/>
      <c r="D43" s="72"/>
      <c r="F43" s="69"/>
    </row>
    <row r="44" spans="1:10" x14ac:dyDescent="0.2">
      <c r="F44" s="69"/>
    </row>
    <row r="45" spans="1:10" x14ac:dyDescent="0.2">
      <c r="F45" s="69"/>
    </row>
    <row r="46" spans="1:10" x14ac:dyDescent="0.2">
      <c r="F46" s="69"/>
    </row>
    <row r="47" spans="1:10" x14ac:dyDescent="0.2">
      <c r="F47" s="69"/>
    </row>
    <row r="48" spans="1:10" x14ac:dyDescent="0.2">
      <c r="F48" s="69"/>
    </row>
    <row r="49" spans="6:6" x14ac:dyDescent="0.2">
      <c r="F49" s="69"/>
    </row>
    <row r="50" spans="6:6" x14ac:dyDescent="0.2">
      <c r="F50" s="69"/>
    </row>
  </sheetData>
  <mergeCells count="1">
    <mergeCell ref="A1:J1"/>
  </mergeCell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tabColor theme="1" tint="0.499984740745262"/>
    <pageSetUpPr fitToPage="1"/>
  </sheetPr>
  <dimension ref="A1:J50"/>
  <sheetViews>
    <sheetView view="pageBreakPreview" topLeftCell="A7" zoomScaleNormal="100" zoomScaleSheetLayoutView="100" workbookViewId="0">
      <selection activeCell="C19" sqref="C19"/>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48" t="s">
        <v>111</v>
      </c>
      <c r="B1" s="349"/>
      <c r="C1" s="349"/>
      <c r="D1" s="349"/>
      <c r="E1" s="349"/>
      <c r="F1" s="349"/>
      <c r="G1" s="349"/>
      <c r="H1" s="349"/>
      <c r="I1" s="349"/>
      <c r="J1" s="350"/>
    </row>
    <row r="3" spans="1:10" x14ac:dyDescent="0.2">
      <c r="A3" s="13" t="s">
        <v>13</v>
      </c>
      <c r="B3" s="13" t="s">
        <v>8</v>
      </c>
    </row>
    <row r="4" spans="1:10" x14ac:dyDescent="0.2">
      <c r="A4" s="15" t="s">
        <v>62</v>
      </c>
      <c r="B4" s="15">
        <v>2000</v>
      </c>
    </row>
    <row r="5" spans="1:10" x14ac:dyDescent="0.2">
      <c r="A5" s="15" t="s">
        <v>16</v>
      </c>
      <c r="B5" s="15">
        <f>VLOOKUP($B$3,'Data for Bill Impacts'!$A$3:$Y$15,5,0)</f>
        <v>0</v>
      </c>
    </row>
    <row r="6" spans="1:10" x14ac:dyDescent="0.2">
      <c r="A6" s="15" t="s">
        <v>20</v>
      </c>
      <c r="B6" s="15">
        <f>VLOOKUP($B$3,'Data for Bill Impacts'!$A$3:$Y$15,2,0)</f>
        <v>1.0920000000000001</v>
      </c>
    </row>
    <row r="7" spans="1:10" x14ac:dyDescent="0.2">
      <c r="A7" s="15" t="s">
        <v>15</v>
      </c>
      <c r="B7" s="15">
        <f>VLOOKUP($B$3,'Data for Bill Impacts'!$A$3:$Y$15,4,0)</f>
        <v>750</v>
      </c>
    </row>
    <row r="8" spans="1:10" x14ac:dyDescent="0.2">
      <c r="A8" s="15" t="s">
        <v>82</v>
      </c>
      <c r="B8" s="15">
        <f>B4*B6</f>
        <v>2184</v>
      </c>
    </row>
    <row r="9" spans="1:10" x14ac:dyDescent="0.2">
      <c r="A9" s="15" t="s">
        <v>21</v>
      </c>
      <c r="B9" s="16" t="str">
        <f>VLOOKUP($B$3,'Data for Bill Impacts'!$A$3:$Y$15,6,0)</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3" t="s">
        <v>29</v>
      </c>
    </row>
    <row r="12" spans="1:10" x14ac:dyDescent="0.2">
      <c r="A12" s="101" t="s">
        <v>31</v>
      </c>
      <c r="B12" s="102">
        <f>IF(B4&gt;B7,B7,B4)</f>
        <v>750</v>
      </c>
      <c r="C12" s="103">
        <v>0.10299999999999999</v>
      </c>
      <c r="D12" s="104">
        <f>B12*C12</f>
        <v>77.25</v>
      </c>
      <c r="E12" s="102">
        <f>B12</f>
        <v>750</v>
      </c>
      <c r="F12" s="103">
        <f>C12</f>
        <v>0.10299999999999999</v>
      </c>
      <c r="G12" s="104">
        <f>E12*F12</f>
        <v>77.25</v>
      </c>
      <c r="H12" s="104">
        <f>G12-D12</f>
        <v>0</v>
      </c>
      <c r="I12" s="105">
        <f>IF(ISERROR(H12/D12),0,(H12/D12))</f>
        <v>0</v>
      </c>
      <c r="J12" s="124">
        <f t="shared" ref="J12:J30" si="0">G12/$G$39</f>
        <v>0.14276626035074791</v>
      </c>
    </row>
    <row r="13" spans="1:10" x14ac:dyDescent="0.2">
      <c r="A13" s="107" t="s">
        <v>32</v>
      </c>
      <c r="B13" s="73">
        <f>IF(B4&gt;B7,(B4)-B7,0)</f>
        <v>1250</v>
      </c>
      <c r="C13" s="21">
        <v>0.121</v>
      </c>
      <c r="D13" s="22">
        <f>B13*C13</f>
        <v>151.25</v>
      </c>
      <c r="E13" s="73">
        <f t="shared" ref="E13" si="1">B13</f>
        <v>1250</v>
      </c>
      <c r="F13" s="21">
        <f>C13</f>
        <v>0.121</v>
      </c>
      <c r="G13" s="22">
        <f>E13*F13</f>
        <v>151.25</v>
      </c>
      <c r="H13" s="22">
        <f t="shared" ref="H13:H39" si="2">G13-D13</f>
        <v>0</v>
      </c>
      <c r="I13" s="23">
        <f t="shared" ref="I13:I39" si="3">IF(ISERROR(H13/D13),0,(H13/D13))</f>
        <v>0</v>
      </c>
      <c r="J13" s="125">
        <f t="shared" si="0"/>
        <v>0.27952617317864886</v>
      </c>
    </row>
    <row r="14" spans="1:10" s="1" customFormat="1" x14ac:dyDescent="0.2">
      <c r="A14" s="46" t="s">
        <v>33</v>
      </c>
      <c r="B14" s="24"/>
      <c r="C14" s="25"/>
      <c r="D14" s="25">
        <f>SUM(D12:D13)</f>
        <v>228.5</v>
      </c>
      <c r="E14" s="76"/>
      <c r="F14" s="25"/>
      <c r="G14" s="25">
        <f>SUM(G12:G13)</f>
        <v>228.5</v>
      </c>
      <c r="H14" s="25">
        <f t="shared" si="2"/>
        <v>0</v>
      </c>
      <c r="I14" s="27">
        <f t="shared" si="3"/>
        <v>0</v>
      </c>
      <c r="J14" s="47">
        <f t="shared" si="0"/>
        <v>0.42229243352939677</v>
      </c>
    </row>
    <row r="15" spans="1:10" x14ac:dyDescent="0.2">
      <c r="A15" s="107" t="s">
        <v>38</v>
      </c>
      <c r="B15" s="73">
        <v>1</v>
      </c>
      <c r="C15" s="78">
        <f>VLOOKUP($B$3,'Data for Bill Impacts'!$A$3:$Y$15,7,0)</f>
        <v>4.33</v>
      </c>
      <c r="D15" s="22">
        <f>B15*C15</f>
        <v>4.33</v>
      </c>
      <c r="E15" s="73">
        <f t="shared" ref="E15:E34" si="4">B15</f>
        <v>1</v>
      </c>
      <c r="F15" s="78">
        <f>VLOOKUP($B$3,'Data for Bill Impacts'!$A$3:$Y$15,17,0)</f>
        <v>4.7699999999999996</v>
      </c>
      <c r="G15" s="22">
        <f>E15*F15</f>
        <v>4.7699999999999996</v>
      </c>
      <c r="H15" s="22">
        <f t="shared" si="2"/>
        <v>0.4399999999999995</v>
      </c>
      <c r="I15" s="23">
        <f t="shared" si="3"/>
        <v>0.10161662817551952</v>
      </c>
      <c r="J15" s="125">
        <f t="shared" si="0"/>
        <v>8.8154700566092873E-3</v>
      </c>
    </row>
    <row r="16" spans="1:10" hidden="1" x14ac:dyDescent="0.2">
      <c r="A16" s="107" t="s">
        <v>90</v>
      </c>
      <c r="B16" s="73">
        <v>1</v>
      </c>
      <c r="C16" s="78">
        <v>0</v>
      </c>
      <c r="D16" s="22">
        <f>B16*C16</f>
        <v>0</v>
      </c>
      <c r="E16" s="73">
        <f t="shared" si="4"/>
        <v>1</v>
      </c>
      <c r="F16" s="78">
        <v>0</v>
      </c>
      <c r="G16" s="22">
        <f t="shared" ref="G16:G18" si="5">E16*F16</f>
        <v>0</v>
      </c>
      <c r="H16" s="22">
        <f t="shared" si="2"/>
        <v>0</v>
      </c>
      <c r="I16" s="23">
        <f t="shared" si="3"/>
        <v>0</v>
      </c>
      <c r="J16" s="125">
        <f t="shared" si="0"/>
        <v>0</v>
      </c>
    </row>
    <row r="17" spans="1:10" hidden="1" x14ac:dyDescent="0.2">
      <c r="A17" s="107" t="s">
        <v>84</v>
      </c>
      <c r="B17" s="73">
        <v>1</v>
      </c>
      <c r="C17" s="78">
        <v>0</v>
      </c>
      <c r="D17" s="22">
        <f t="shared" ref="D17:D18" si="6">B17*C17</f>
        <v>0</v>
      </c>
      <c r="E17" s="73">
        <f t="shared" si="4"/>
        <v>1</v>
      </c>
      <c r="F17" s="78">
        <v>0</v>
      </c>
      <c r="G17" s="22">
        <f t="shared" si="5"/>
        <v>0</v>
      </c>
      <c r="H17" s="22">
        <f t="shared" si="2"/>
        <v>0</v>
      </c>
      <c r="I17" s="23">
        <f t="shared" si="3"/>
        <v>0</v>
      </c>
      <c r="J17" s="125">
        <f t="shared" si="0"/>
        <v>0</v>
      </c>
    </row>
    <row r="18" spans="1:10" x14ac:dyDescent="0.2">
      <c r="A18" s="107" t="s">
        <v>85</v>
      </c>
      <c r="B18" s="73">
        <v>1</v>
      </c>
      <c r="C18" s="122">
        <f>VLOOKUP($B$3,'Data for Bill Impacts'!$A$3:$Y$15,11,0)</f>
        <v>0</v>
      </c>
      <c r="D18" s="22">
        <f t="shared" si="6"/>
        <v>0</v>
      </c>
      <c r="E18" s="73">
        <f t="shared" si="4"/>
        <v>1</v>
      </c>
      <c r="F18" s="122">
        <f>VLOOKUP($B$3,'Data for Bill Impacts'!$A$3:$Y$15,22,0)</f>
        <v>0</v>
      </c>
      <c r="G18" s="22">
        <f t="shared" si="5"/>
        <v>0</v>
      </c>
      <c r="H18" s="22">
        <f t="shared" si="2"/>
        <v>0</v>
      </c>
      <c r="I18" s="23">
        <f t="shared" si="3"/>
        <v>0</v>
      </c>
      <c r="J18" s="125">
        <f t="shared" si="0"/>
        <v>0</v>
      </c>
    </row>
    <row r="19" spans="1:10" x14ac:dyDescent="0.2">
      <c r="A19" s="107" t="s">
        <v>39</v>
      </c>
      <c r="B19" s="73">
        <f>IF($B$9="kWh",$B$4,$B$5)</f>
        <v>2000</v>
      </c>
      <c r="C19" s="126">
        <f>VLOOKUP($B$3,'Data for Bill Impacts'!$A$3:$Y$15,10,0)</f>
        <v>0.10440000000000001</v>
      </c>
      <c r="D19" s="22">
        <f>B19*C19</f>
        <v>208.8</v>
      </c>
      <c r="E19" s="73">
        <f t="shared" si="4"/>
        <v>2000</v>
      </c>
      <c r="F19" s="78">
        <f>VLOOKUP($B$3,'Data for Bill Impacts'!$A$3:$Y$15,19,0)</f>
        <v>0.107</v>
      </c>
      <c r="G19" s="22">
        <f>E19*F19</f>
        <v>214</v>
      </c>
      <c r="H19" s="22">
        <f t="shared" si="2"/>
        <v>5.1999999999999886</v>
      </c>
      <c r="I19" s="23">
        <f t="shared" si="3"/>
        <v>2.4904214559386916E-2</v>
      </c>
      <c r="J19" s="125">
        <f t="shared" si="0"/>
        <v>0.39549488304284858</v>
      </c>
    </row>
    <row r="20" spans="1:10" s="1" customFormat="1" x14ac:dyDescent="0.2">
      <c r="A20" s="107" t="s">
        <v>194</v>
      </c>
      <c r="B20" s="73">
        <f>IF($B$9="kWh",$B$4,$B$5)</f>
        <v>2000</v>
      </c>
      <c r="C20" s="126">
        <f>VLOOKUP($B$3,'Data for Bill Impacts'!$A$3:$Y$15,14,0)</f>
        <v>2.0000000000000001E-4</v>
      </c>
      <c r="D20" s="22">
        <f>B20*C20</f>
        <v>0.4</v>
      </c>
      <c r="E20" s="73">
        <f>B20</f>
        <v>2000</v>
      </c>
      <c r="F20" s="126">
        <f>VLOOKUP($B$3,'Data for Bill Impacts'!$A$3:$Y$15,23,0)</f>
        <v>2.0000000000000001E-4</v>
      </c>
      <c r="G20" s="22">
        <f>E20*F20</f>
        <v>0.4</v>
      </c>
      <c r="H20" s="22">
        <f>G20-D20</f>
        <v>0</v>
      </c>
      <c r="I20" s="23">
        <f>IF(ISERROR(H20/D20),0,(H20/D20))</f>
        <v>0</v>
      </c>
      <c r="J20" s="125">
        <f t="shared" si="0"/>
        <v>7.3924277204270774E-4</v>
      </c>
    </row>
    <row r="21" spans="1:10" hidden="1" x14ac:dyDescent="0.2">
      <c r="A21" s="107" t="s">
        <v>86</v>
      </c>
      <c r="B21" s="73">
        <f>IF($B$9="kWh",$B$4,$B$5)</f>
        <v>2000</v>
      </c>
      <c r="C21" s="126">
        <v>0</v>
      </c>
      <c r="D21" s="22">
        <f>B21*C21</f>
        <v>0</v>
      </c>
      <c r="E21" s="73">
        <f t="shared" si="4"/>
        <v>2000</v>
      </c>
      <c r="F21" s="78">
        <v>0</v>
      </c>
      <c r="G21" s="22">
        <f>E21*F21</f>
        <v>0</v>
      </c>
      <c r="H21" s="22">
        <f t="shared" si="2"/>
        <v>0</v>
      </c>
      <c r="I21" s="23">
        <f>IF(ISERROR(H21/D21),0,(H21/D21))</f>
        <v>0</v>
      </c>
      <c r="J21" s="125">
        <f t="shared" si="0"/>
        <v>0</v>
      </c>
    </row>
    <row r="22" spans="1:10" x14ac:dyDescent="0.2">
      <c r="A22" s="110" t="s">
        <v>72</v>
      </c>
      <c r="B22" s="74"/>
      <c r="C22" s="35"/>
      <c r="D22" s="35">
        <f>SUM(D15:D21)</f>
        <v>213.53000000000003</v>
      </c>
      <c r="E22" s="73"/>
      <c r="F22" s="35"/>
      <c r="G22" s="35">
        <f>SUM(G15:G21)</f>
        <v>219.17000000000002</v>
      </c>
      <c r="H22" s="35">
        <f t="shared" si="2"/>
        <v>5.6399999999999864</v>
      </c>
      <c r="I22" s="36">
        <f t="shared" si="3"/>
        <v>2.6413150376996139E-2</v>
      </c>
      <c r="J22" s="111">
        <f t="shared" si="0"/>
        <v>0.40504959587150063</v>
      </c>
    </row>
    <row r="23" spans="1:10" s="1" customFormat="1" x14ac:dyDescent="0.2">
      <c r="A23" s="119" t="s">
        <v>81</v>
      </c>
      <c r="B23" s="120">
        <f>B8-B4</f>
        <v>184</v>
      </c>
      <c r="C23" s="121">
        <f>IF(B4&gt;B7,C13,C12)</f>
        <v>0.121</v>
      </c>
      <c r="D23" s="22">
        <f>B23*C23</f>
        <v>22.263999999999999</v>
      </c>
      <c r="E23" s="73">
        <f>B23</f>
        <v>184</v>
      </c>
      <c r="F23" s="121">
        <f>C23</f>
        <v>0.121</v>
      </c>
      <c r="G23" s="22">
        <f>E23*F23</f>
        <v>22.263999999999999</v>
      </c>
      <c r="H23" s="22">
        <f t="shared" si="2"/>
        <v>0</v>
      </c>
      <c r="I23" s="23">
        <f>IF(ISERROR(H23/D23),0,(H23/D23))</f>
        <v>0</v>
      </c>
      <c r="J23" s="125">
        <f t="shared" si="0"/>
        <v>4.114625269189711E-2</v>
      </c>
    </row>
    <row r="24" spans="1:10" x14ac:dyDescent="0.2">
      <c r="A24" s="110" t="s">
        <v>79</v>
      </c>
      <c r="B24" s="74"/>
      <c r="C24" s="35"/>
      <c r="D24" s="35">
        <f>SUM(D22,D23:D23)</f>
        <v>235.79400000000004</v>
      </c>
      <c r="E24" s="73"/>
      <c r="F24" s="35"/>
      <c r="G24" s="35">
        <f>SUM(G22,G23:G23)</f>
        <v>241.43400000000003</v>
      </c>
      <c r="H24" s="35">
        <f t="shared" si="2"/>
        <v>5.6399999999999864</v>
      </c>
      <c r="I24" s="36">
        <f>IF(ISERROR(H24/D24),0,(H24/D24))</f>
        <v>2.3919183694241522E-2</v>
      </c>
      <c r="J24" s="111">
        <f t="shared" si="0"/>
        <v>0.44619584856339778</v>
      </c>
    </row>
    <row r="25" spans="1:10" x14ac:dyDescent="0.2">
      <c r="A25" s="107" t="s">
        <v>40</v>
      </c>
      <c r="B25" s="73">
        <f>B8</f>
        <v>2184</v>
      </c>
      <c r="C25" s="126">
        <f>VLOOKUP($B$3,'Data for Bill Impacts'!$A$3:$Y$15,15,0)</f>
        <v>4.6979999999999999E-3</v>
      </c>
      <c r="D25" s="22">
        <f>B25*C25</f>
        <v>10.260432</v>
      </c>
      <c r="E25" s="73">
        <f t="shared" si="4"/>
        <v>2184</v>
      </c>
      <c r="F25" s="126">
        <f>VLOOKUP($B$3,'Data for Bill Impacts'!$A$3:$Y$15,24,0)</f>
        <v>3.836E-3</v>
      </c>
      <c r="G25" s="22">
        <f>E25*F25</f>
        <v>8.3778240000000004</v>
      </c>
      <c r="H25" s="22">
        <f t="shared" si="2"/>
        <v>-1.8826079999999994</v>
      </c>
      <c r="I25" s="23">
        <f t="shared" si="3"/>
        <v>-0.1834823329076202</v>
      </c>
      <c r="J25" s="125">
        <f t="shared" si="0"/>
        <v>1.5483114593614814E-2</v>
      </c>
    </row>
    <row r="26" spans="1:10" s="1" customFormat="1" x14ac:dyDescent="0.2">
      <c r="A26" s="107" t="s">
        <v>41</v>
      </c>
      <c r="B26" s="73">
        <f>B8</f>
        <v>2184</v>
      </c>
      <c r="C26" s="126">
        <f>VLOOKUP($B$3,'Data for Bill Impacts'!$A$3:$Y$15,16,0)</f>
        <v>4.2899999999999995E-3</v>
      </c>
      <c r="D26" s="22">
        <f>B26*C26</f>
        <v>9.3693599999999986</v>
      </c>
      <c r="E26" s="73">
        <f t="shared" si="4"/>
        <v>2184</v>
      </c>
      <c r="F26" s="126">
        <f>VLOOKUP($B$3,'Data for Bill Impacts'!$A$3:$Y$15,25,0)</f>
        <v>3.6240000000000001E-3</v>
      </c>
      <c r="G26" s="22">
        <f>E26*F26</f>
        <v>7.9148160000000001</v>
      </c>
      <c r="H26" s="22">
        <f t="shared" si="2"/>
        <v>-1.4545439999999985</v>
      </c>
      <c r="I26" s="23">
        <f t="shared" si="3"/>
        <v>-0.15524475524475512</v>
      </c>
      <c r="J26" s="125">
        <f t="shared" si="0"/>
        <v>1.4627426300119938E-2</v>
      </c>
    </row>
    <row r="27" spans="1:10" s="1" customFormat="1" x14ac:dyDescent="0.2">
      <c r="A27" s="110" t="s">
        <v>76</v>
      </c>
      <c r="B27" s="74"/>
      <c r="C27" s="35"/>
      <c r="D27" s="35">
        <f>SUM(D25:D26)</f>
        <v>19.629791999999998</v>
      </c>
      <c r="E27" s="73"/>
      <c r="F27" s="35"/>
      <c r="G27" s="35">
        <f>SUM(G25:G26)</f>
        <v>16.292639999999999</v>
      </c>
      <c r="H27" s="35">
        <f t="shared" si="2"/>
        <v>-3.3371519999999997</v>
      </c>
      <c r="I27" s="36">
        <f t="shared" si="3"/>
        <v>-0.17000445037828216</v>
      </c>
      <c r="J27" s="111">
        <f t="shared" si="0"/>
        <v>3.0110540893734748E-2</v>
      </c>
    </row>
    <row r="28" spans="1:10" s="1" customFormat="1" x14ac:dyDescent="0.2">
      <c r="A28" s="110" t="s">
        <v>80</v>
      </c>
      <c r="B28" s="74"/>
      <c r="C28" s="35"/>
      <c r="D28" s="35">
        <f>D24+D27</f>
        <v>255.42379200000005</v>
      </c>
      <c r="E28" s="73"/>
      <c r="F28" s="35"/>
      <c r="G28" s="35">
        <f>G24+G27</f>
        <v>257.72664000000003</v>
      </c>
      <c r="H28" s="35">
        <f t="shared" si="2"/>
        <v>2.3028479999999831</v>
      </c>
      <c r="I28" s="36">
        <f t="shared" si="3"/>
        <v>9.0157928592649768E-3</v>
      </c>
      <c r="J28" s="111">
        <f t="shared" si="0"/>
        <v>0.4763063894571325</v>
      </c>
    </row>
    <row r="29" spans="1:10" x14ac:dyDescent="0.2">
      <c r="A29" s="107" t="s">
        <v>42</v>
      </c>
      <c r="B29" s="73">
        <f>B8</f>
        <v>2184</v>
      </c>
      <c r="C29" s="34">
        <v>3.5999999999999999E-3</v>
      </c>
      <c r="D29" s="22">
        <f>B29*C29</f>
        <v>7.8624000000000001</v>
      </c>
      <c r="E29" s="73">
        <f t="shared" si="4"/>
        <v>2184</v>
      </c>
      <c r="F29" s="34">
        <v>3.5999999999999999E-3</v>
      </c>
      <c r="G29" s="22">
        <f>E29*F29</f>
        <v>7.8624000000000001</v>
      </c>
      <c r="H29" s="22">
        <f t="shared" si="2"/>
        <v>0</v>
      </c>
      <c r="I29" s="23">
        <f t="shared" si="3"/>
        <v>0</v>
      </c>
      <c r="J29" s="125">
        <f t="shared" si="0"/>
        <v>1.4530555927271462E-2</v>
      </c>
    </row>
    <row r="30" spans="1:10" s="1" customFormat="1" x14ac:dyDescent="0.2">
      <c r="A30" s="107" t="s">
        <v>43</v>
      </c>
      <c r="B30" s="73">
        <f>B8</f>
        <v>2184</v>
      </c>
      <c r="C30" s="34">
        <v>2.0999999999999999E-3</v>
      </c>
      <c r="D30" s="22">
        <f>B30*C30</f>
        <v>4.5863999999999994</v>
      </c>
      <c r="E30" s="73">
        <f t="shared" si="4"/>
        <v>2184</v>
      </c>
      <c r="F30" s="34">
        <v>2.0999999999999999E-3</v>
      </c>
      <c r="G30" s="22">
        <f>E30*F30</f>
        <v>4.5863999999999994</v>
      </c>
      <c r="H30" s="22">
        <f>G30-D30</f>
        <v>0</v>
      </c>
      <c r="I30" s="23">
        <f t="shared" si="3"/>
        <v>0</v>
      </c>
      <c r="J30" s="125">
        <f t="shared" si="0"/>
        <v>8.4761576242416842E-3</v>
      </c>
    </row>
    <row r="31" spans="1:10" s="1" customFormat="1" x14ac:dyDescent="0.2">
      <c r="A31" s="107" t="s">
        <v>100</v>
      </c>
      <c r="B31" s="73">
        <f>B8</f>
        <v>2184</v>
      </c>
      <c r="C31" s="34">
        <v>1.1000000000000001E-3</v>
      </c>
      <c r="D31" s="22">
        <f>B31*C31</f>
        <v>2.4024000000000001</v>
      </c>
      <c r="E31" s="73">
        <f t="shared" si="4"/>
        <v>2184</v>
      </c>
      <c r="F31" s="34">
        <v>1.1000000000000001E-3</v>
      </c>
      <c r="G31" s="22">
        <f>E31*F31</f>
        <v>2.4024000000000001</v>
      </c>
      <c r="H31" s="22">
        <f>G31-D31</f>
        <v>0</v>
      </c>
      <c r="I31" s="23">
        <f t="shared" ref="I31" si="7">IF(ISERROR(H31/D31),0,(H31/D31))</f>
        <v>0</v>
      </c>
      <c r="J31" s="125">
        <f t="shared" ref="J31" si="8">G31/$G$39</f>
        <v>4.4398920888885024E-3</v>
      </c>
    </row>
    <row r="32" spans="1:10" x14ac:dyDescent="0.2">
      <c r="A32" s="107" t="s">
        <v>44</v>
      </c>
      <c r="B32" s="73">
        <v>1</v>
      </c>
      <c r="C32" s="22">
        <v>0.25</v>
      </c>
      <c r="D32" s="22">
        <f>B32*C32</f>
        <v>0.25</v>
      </c>
      <c r="E32" s="73">
        <f t="shared" si="4"/>
        <v>1</v>
      </c>
      <c r="F32" s="22">
        <f>C32</f>
        <v>0.25</v>
      </c>
      <c r="G32" s="22">
        <f>E32*F32</f>
        <v>0.25</v>
      </c>
      <c r="H32" s="22">
        <f t="shared" si="2"/>
        <v>0</v>
      </c>
      <c r="I32" s="23">
        <f t="shared" si="3"/>
        <v>0</v>
      </c>
      <c r="J32" s="125">
        <f t="shared" ref="J32:J39" si="9">G32/$G$39</f>
        <v>4.6202673252669228E-4</v>
      </c>
    </row>
    <row r="33" spans="1:10" s="1" customFormat="1" x14ac:dyDescent="0.2">
      <c r="A33" s="110" t="s">
        <v>45</v>
      </c>
      <c r="B33" s="74"/>
      <c r="C33" s="35"/>
      <c r="D33" s="35">
        <f>SUM(D29:D32)</f>
        <v>15.101199999999999</v>
      </c>
      <c r="E33" s="73"/>
      <c r="F33" s="35"/>
      <c r="G33" s="35">
        <f>SUM(G29:G32)</f>
        <v>15.101199999999999</v>
      </c>
      <c r="H33" s="35">
        <f t="shared" si="2"/>
        <v>0</v>
      </c>
      <c r="I33" s="36">
        <f t="shared" si="3"/>
        <v>0</v>
      </c>
      <c r="J33" s="111">
        <f t="shared" si="9"/>
        <v>2.790863237292834E-2</v>
      </c>
    </row>
    <row r="34" spans="1:10" ht="13.5" thickBot="1" x14ac:dyDescent="0.25">
      <c r="A34" s="112" t="s">
        <v>46</v>
      </c>
      <c r="B34" s="113">
        <f>B4</f>
        <v>2000</v>
      </c>
      <c r="C34" s="114">
        <v>7.0000000000000001E-3</v>
      </c>
      <c r="D34" s="115">
        <f>B34*C34</f>
        <v>14</v>
      </c>
      <c r="E34" s="116">
        <f t="shared" si="4"/>
        <v>2000</v>
      </c>
      <c r="F34" s="114">
        <f>C34</f>
        <v>7.0000000000000001E-3</v>
      </c>
      <c r="G34" s="115">
        <f>E34*F34</f>
        <v>14</v>
      </c>
      <c r="H34" s="115">
        <f t="shared" si="2"/>
        <v>0</v>
      </c>
      <c r="I34" s="117">
        <f t="shared" si="3"/>
        <v>0</v>
      </c>
      <c r="J34" s="118">
        <f t="shared" si="9"/>
        <v>2.5873497021494767E-2</v>
      </c>
    </row>
    <row r="35" spans="1:10" x14ac:dyDescent="0.2">
      <c r="A35" s="37" t="s">
        <v>146</v>
      </c>
      <c r="B35" s="38"/>
      <c r="C35" s="39"/>
      <c r="D35" s="39">
        <f>SUM(D14,D24,D27,D33,D34)</f>
        <v>513.02499200000011</v>
      </c>
      <c r="E35" s="38"/>
      <c r="F35" s="39"/>
      <c r="G35" s="39">
        <f>SUM(G14,G24,G27,G33,G34)</f>
        <v>515.32784000000004</v>
      </c>
      <c r="H35" s="39">
        <f t="shared" si="2"/>
        <v>2.3028479999999263</v>
      </c>
      <c r="I35" s="40">
        <f>IF(ISERROR(H35/D35),0,(H35/D35))</f>
        <v>4.4887637754691019E-3</v>
      </c>
      <c r="J35" s="41">
        <f t="shared" si="9"/>
        <v>0.95238095238095244</v>
      </c>
    </row>
    <row r="36" spans="1:10" x14ac:dyDescent="0.2">
      <c r="A36" s="46" t="s">
        <v>138</v>
      </c>
      <c r="B36" s="43"/>
      <c r="C36" s="26">
        <v>0.13</v>
      </c>
      <c r="D36" s="26">
        <f>D35*C36</f>
        <v>66.69324896000002</v>
      </c>
      <c r="E36" s="26"/>
      <c r="F36" s="26">
        <f>C36</f>
        <v>0.13</v>
      </c>
      <c r="G36" s="26">
        <f>G35*F36</f>
        <v>66.992619200000007</v>
      </c>
      <c r="H36" s="26">
        <f t="shared" si="2"/>
        <v>0.29937023999998758</v>
      </c>
      <c r="I36" s="44">
        <f t="shared" si="3"/>
        <v>4.4887637754690585E-3</v>
      </c>
      <c r="J36" s="45">
        <f t="shared" si="9"/>
        <v>0.12380952380952381</v>
      </c>
    </row>
    <row r="37" spans="1:10" x14ac:dyDescent="0.2">
      <c r="A37" s="46" t="s">
        <v>139</v>
      </c>
      <c r="B37" s="24"/>
      <c r="C37" s="25"/>
      <c r="D37" s="25">
        <f>SUM(D35:D36)</f>
        <v>579.71824096000012</v>
      </c>
      <c r="E37" s="25"/>
      <c r="F37" s="25"/>
      <c r="G37" s="25">
        <f>SUM(G35:G36)</f>
        <v>582.32045920000007</v>
      </c>
      <c r="H37" s="25">
        <f t="shared" si="2"/>
        <v>2.6022182399999565</v>
      </c>
      <c r="I37" s="27">
        <f t="shared" si="3"/>
        <v>4.4887637754691704E-3</v>
      </c>
      <c r="J37" s="47">
        <f t="shared" si="9"/>
        <v>1.0761904761904764</v>
      </c>
    </row>
    <row r="38" spans="1:10" x14ac:dyDescent="0.2">
      <c r="A38" s="46" t="s">
        <v>140</v>
      </c>
      <c r="B38" s="43"/>
      <c r="C38" s="26">
        <v>-0.08</v>
      </c>
      <c r="D38" s="26">
        <f>D35*C38</f>
        <v>-41.041999360000013</v>
      </c>
      <c r="E38" s="26"/>
      <c r="F38" s="26">
        <f>C38</f>
        <v>-0.08</v>
      </c>
      <c r="G38" s="26">
        <f>G35*F38</f>
        <v>-41.226227200000004</v>
      </c>
      <c r="H38" s="26">
        <f t="shared" si="2"/>
        <v>-0.18422783999999126</v>
      </c>
      <c r="I38" s="44">
        <f t="shared" si="3"/>
        <v>4.4887637754690325E-3</v>
      </c>
      <c r="J38" s="45">
        <f t="shared" si="9"/>
        <v>-7.6190476190476197E-2</v>
      </c>
    </row>
    <row r="39" spans="1:10" ht="13.5" thickBot="1" x14ac:dyDescent="0.25">
      <c r="A39" s="46" t="s">
        <v>141</v>
      </c>
      <c r="B39" s="49"/>
      <c r="C39" s="50"/>
      <c r="D39" s="50">
        <f>SUM(D37:D38)</f>
        <v>538.67624160000014</v>
      </c>
      <c r="E39" s="50"/>
      <c r="F39" s="50"/>
      <c r="G39" s="50">
        <f>SUM(G37:G38)</f>
        <v>541.09423200000003</v>
      </c>
      <c r="H39" s="50">
        <f t="shared" si="2"/>
        <v>2.4179903999998942</v>
      </c>
      <c r="I39" s="51">
        <f t="shared" si="3"/>
        <v>4.488763775469049E-3</v>
      </c>
      <c r="J39" s="52">
        <f t="shared" si="9"/>
        <v>1</v>
      </c>
    </row>
    <row r="40" spans="1:10" x14ac:dyDescent="0.2">
      <c r="D40" s="72"/>
      <c r="F40" s="69"/>
    </row>
    <row r="41" spans="1:10" x14ac:dyDescent="0.2">
      <c r="F41" s="69"/>
    </row>
    <row r="42" spans="1:10" x14ac:dyDescent="0.2">
      <c r="A42" s="70"/>
      <c r="B42" s="71"/>
      <c r="F42" s="69"/>
    </row>
    <row r="43" spans="1:10" x14ac:dyDescent="0.2">
      <c r="B43" s="72"/>
      <c r="D43" s="72"/>
      <c r="F43" s="69"/>
    </row>
    <row r="44" spans="1:10" x14ac:dyDescent="0.2">
      <c r="F44" s="69"/>
    </row>
    <row r="45" spans="1:10" x14ac:dyDescent="0.2">
      <c r="F45" s="69"/>
    </row>
    <row r="46" spans="1:10" x14ac:dyDescent="0.2">
      <c r="F46" s="69"/>
    </row>
    <row r="47" spans="1:10" x14ac:dyDescent="0.2">
      <c r="F47" s="69"/>
    </row>
    <row r="48" spans="1:10" x14ac:dyDescent="0.2">
      <c r="F48" s="69"/>
    </row>
    <row r="49" spans="6:6" x14ac:dyDescent="0.2">
      <c r="F49" s="69"/>
    </row>
    <row r="50" spans="6:6" x14ac:dyDescent="0.2">
      <c r="F50" s="69"/>
    </row>
  </sheetData>
  <mergeCells count="1">
    <mergeCell ref="A1:J1"/>
  </mergeCell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Impacts'!$A$3:$A$11</xm:f>
          </x14:formula1>
          <xm:sqref>B3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tint="0.499984740745262"/>
    <pageSetUpPr fitToPage="1"/>
  </sheetPr>
  <dimension ref="A1:K68"/>
  <sheetViews>
    <sheetView topLeftCell="A7" zoomScaleNormal="100" zoomScaleSheetLayoutView="100" workbookViewId="0">
      <selection activeCell="C19" sqref="C19"/>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48" t="s">
        <v>109</v>
      </c>
      <c r="B1" s="349"/>
      <c r="C1" s="349"/>
      <c r="D1" s="349"/>
      <c r="E1" s="349"/>
      <c r="F1" s="349"/>
      <c r="G1" s="349"/>
      <c r="H1" s="349"/>
      <c r="I1" s="349"/>
      <c r="J1" s="349"/>
      <c r="K1" s="350"/>
    </row>
    <row r="3" spans="1:11" x14ac:dyDescent="0.2">
      <c r="A3" s="13" t="s">
        <v>13</v>
      </c>
      <c r="B3" s="13" t="s">
        <v>0</v>
      </c>
    </row>
    <row r="4" spans="1:11" x14ac:dyDescent="0.2">
      <c r="A4" s="15" t="s">
        <v>62</v>
      </c>
      <c r="B4" s="15">
        <v>350</v>
      </c>
    </row>
    <row r="5" spans="1:11" x14ac:dyDescent="0.2">
      <c r="A5" s="15" t="s">
        <v>16</v>
      </c>
      <c r="B5" s="15">
        <f>VLOOKUP($B$3,'Data for Bill Impacts'!$A$3:$Y$15,5,0)</f>
        <v>0</v>
      </c>
    </row>
    <row r="6" spans="1:11" x14ac:dyDescent="0.2">
      <c r="A6" s="15" t="s">
        <v>20</v>
      </c>
      <c r="B6" s="15">
        <f>VLOOKUP($B$3,'Data for Bill Impacts'!$A$3:$Y$15,2,0)</f>
        <v>1.0569999999999999</v>
      </c>
    </row>
    <row r="7" spans="1:11" x14ac:dyDescent="0.2">
      <c r="A7" s="15" t="s">
        <v>15</v>
      </c>
      <c r="B7" s="15">
        <f>VLOOKUP($B$3,'Data for Bill Impacts'!$A$3:$Y$15,4,0)</f>
        <v>600</v>
      </c>
    </row>
    <row r="8" spans="1:11" x14ac:dyDescent="0.2">
      <c r="A8" s="15" t="s">
        <v>82</v>
      </c>
      <c r="B8" s="193">
        <f>B4*B6</f>
        <v>369.95</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350</v>
      </c>
      <c r="C12" s="103">
        <v>0.10299999999999999</v>
      </c>
      <c r="D12" s="104">
        <f>B12*C12</f>
        <v>36.049999999999997</v>
      </c>
      <c r="E12" s="102">
        <f>B12</f>
        <v>350</v>
      </c>
      <c r="F12" s="103">
        <f>C12</f>
        <v>0.10299999999999999</v>
      </c>
      <c r="G12" s="104">
        <f>E12*F12</f>
        <v>36.049999999999997</v>
      </c>
      <c r="H12" s="104">
        <f>G12-D12</f>
        <v>0</v>
      </c>
      <c r="I12" s="105">
        <f>IF(ISERROR(H12/D12),0,(H12/D12))</f>
        <v>0</v>
      </c>
      <c r="J12" s="105">
        <f>G12/$G$46</f>
        <v>0.41049033149804298</v>
      </c>
      <c r="K12" s="106"/>
    </row>
    <row r="13" spans="1:11" x14ac:dyDescent="0.2">
      <c r="A13" s="107" t="s">
        <v>32</v>
      </c>
      <c r="B13" s="73">
        <f>IF(B4&gt;B7,(B4)-B7,0)</f>
        <v>0</v>
      </c>
      <c r="C13" s="21">
        <v>0.121</v>
      </c>
      <c r="D13" s="22">
        <f>B13*C13</f>
        <v>0</v>
      </c>
      <c r="E13" s="73">
        <f t="shared" ref="E13:E41" si="0">B13</f>
        <v>0</v>
      </c>
      <c r="F13" s="21">
        <f>C13</f>
        <v>0.121</v>
      </c>
      <c r="G13" s="22">
        <f>E13*F13</f>
        <v>0</v>
      </c>
      <c r="H13" s="22">
        <f t="shared" ref="H13:H46" si="1">G13-D13</f>
        <v>0</v>
      </c>
      <c r="I13" s="23">
        <f t="shared" ref="I13:I46" si="2">IF(ISERROR(H13/D13),0,(H13/D13))</f>
        <v>0</v>
      </c>
      <c r="J13" s="23">
        <f>G13/$G$46</f>
        <v>0</v>
      </c>
      <c r="K13" s="108"/>
    </row>
    <row r="14" spans="1:11" s="1" customFormat="1" x14ac:dyDescent="0.2">
      <c r="A14" s="46" t="s">
        <v>33</v>
      </c>
      <c r="B14" s="24"/>
      <c r="C14" s="25"/>
      <c r="D14" s="25">
        <f>SUM(D12:D13)</f>
        <v>36.049999999999997</v>
      </c>
      <c r="E14" s="76"/>
      <c r="F14" s="25"/>
      <c r="G14" s="25">
        <f>SUM(G12:G13)</f>
        <v>36.049999999999997</v>
      </c>
      <c r="H14" s="25">
        <f t="shared" si="1"/>
        <v>0</v>
      </c>
      <c r="I14" s="27">
        <f t="shared" si="2"/>
        <v>0</v>
      </c>
      <c r="J14" s="27">
        <f>G14/$G$46</f>
        <v>0.41049033149804298</v>
      </c>
      <c r="K14" s="108"/>
    </row>
    <row r="15" spans="1:11" s="1" customFormat="1" x14ac:dyDescent="0.2">
      <c r="A15" s="109" t="s">
        <v>34</v>
      </c>
      <c r="B15" s="75">
        <f>B4*0.65</f>
        <v>227.5</v>
      </c>
      <c r="C15" s="28">
        <v>8.6999999999999994E-2</v>
      </c>
      <c r="D15" s="22">
        <f>B15*C15</f>
        <v>19.792499999999997</v>
      </c>
      <c r="E15" s="73">
        <f t="shared" ref="E15:F17" si="3">B15</f>
        <v>227.5</v>
      </c>
      <c r="F15" s="28">
        <f t="shared" si="3"/>
        <v>8.6999999999999994E-2</v>
      </c>
      <c r="G15" s="22">
        <f>E15*F15</f>
        <v>19.792499999999997</v>
      </c>
      <c r="H15" s="22">
        <f t="shared" si="1"/>
        <v>0</v>
      </c>
      <c r="I15" s="23">
        <f t="shared" si="2"/>
        <v>0</v>
      </c>
      <c r="J15" s="23"/>
      <c r="K15" s="108">
        <f t="shared" ref="K15:K23" si="4">G15/$G$51</f>
        <v>0.21730687144328958</v>
      </c>
    </row>
    <row r="16" spans="1:11" s="1" customFormat="1" x14ac:dyDescent="0.2">
      <c r="A16" s="109" t="s">
        <v>35</v>
      </c>
      <c r="B16" s="75">
        <f>B4*0.17</f>
        <v>59.500000000000007</v>
      </c>
      <c r="C16" s="28">
        <v>0.13200000000000001</v>
      </c>
      <c r="D16" s="22">
        <f>B16*C16</f>
        <v>7.854000000000001</v>
      </c>
      <c r="E16" s="73">
        <f t="shared" si="3"/>
        <v>59.500000000000007</v>
      </c>
      <c r="F16" s="28">
        <f t="shared" si="3"/>
        <v>0.13200000000000001</v>
      </c>
      <c r="G16" s="22">
        <f>E16*F16</f>
        <v>7.854000000000001</v>
      </c>
      <c r="H16" s="22">
        <f t="shared" si="1"/>
        <v>0</v>
      </c>
      <c r="I16" s="23">
        <f t="shared" si="2"/>
        <v>0</v>
      </c>
      <c r="J16" s="23"/>
      <c r="K16" s="108">
        <f t="shared" si="4"/>
        <v>8.6231055617814675E-2</v>
      </c>
    </row>
    <row r="17" spans="1:11" s="1" customFormat="1" x14ac:dyDescent="0.2">
      <c r="A17" s="109" t="s">
        <v>36</v>
      </c>
      <c r="B17" s="75">
        <f>B4*0.18</f>
        <v>63</v>
      </c>
      <c r="C17" s="28">
        <v>0.18</v>
      </c>
      <c r="D17" s="22">
        <f>B17*C17</f>
        <v>11.34</v>
      </c>
      <c r="E17" s="73">
        <f t="shared" si="3"/>
        <v>63</v>
      </c>
      <c r="F17" s="28">
        <f t="shared" si="3"/>
        <v>0.18</v>
      </c>
      <c r="G17" s="22">
        <f>E17*F17</f>
        <v>11.34</v>
      </c>
      <c r="H17" s="22">
        <f t="shared" si="1"/>
        <v>0</v>
      </c>
      <c r="I17" s="23">
        <f t="shared" si="2"/>
        <v>0</v>
      </c>
      <c r="J17" s="23"/>
      <c r="K17" s="108">
        <f t="shared" si="4"/>
        <v>0.12450473271021369</v>
      </c>
    </row>
    <row r="18" spans="1:11" s="1" customFormat="1" x14ac:dyDescent="0.2">
      <c r="A18" s="61" t="s">
        <v>37</v>
      </c>
      <c r="B18" s="29"/>
      <c r="C18" s="30"/>
      <c r="D18" s="30">
        <f>SUM(D15:D17)</f>
        <v>38.986499999999992</v>
      </c>
      <c r="E18" s="77"/>
      <c r="F18" s="30"/>
      <c r="G18" s="30">
        <f>SUM(G15:G17)</f>
        <v>38.986499999999992</v>
      </c>
      <c r="H18" s="31">
        <f t="shared" si="1"/>
        <v>0</v>
      </c>
      <c r="I18" s="32">
        <f t="shared" si="2"/>
        <v>0</v>
      </c>
      <c r="J18" s="33">
        <f t="shared" ref="J18:J23" si="5">G18/$G$46</f>
        <v>0.44392735947152434</v>
      </c>
      <c r="K18" s="62">
        <f t="shared" si="4"/>
        <v>0.42804265977131789</v>
      </c>
    </row>
    <row r="19" spans="1:11" x14ac:dyDescent="0.2">
      <c r="A19" s="107" t="s">
        <v>38</v>
      </c>
      <c r="B19" s="73">
        <v>1</v>
      </c>
      <c r="C19" s="122">
        <f>VLOOKUP($B$3,'Data for Bill Impacts'!$A$3:$Y$15,7,0)</f>
        <v>35.880000000000003</v>
      </c>
      <c r="D19" s="22">
        <f>B19*C19</f>
        <v>35.880000000000003</v>
      </c>
      <c r="E19" s="73">
        <f t="shared" si="0"/>
        <v>1</v>
      </c>
      <c r="F19" s="122">
        <f>VLOOKUP($B$3,'Data for Bill Impacts'!$A$3:$Y$15,17,0)</f>
        <v>36.72</v>
      </c>
      <c r="G19" s="22">
        <f>E19*F19</f>
        <v>36.72</v>
      </c>
      <c r="H19" s="22">
        <f t="shared" si="1"/>
        <v>0.83999999999999631</v>
      </c>
      <c r="I19" s="23">
        <f t="shared" si="2"/>
        <v>2.3411371237458088E-2</v>
      </c>
      <c r="J19" s="23">
        <f t="shared" si="5"/>
        <v>0.41811941671589847</v>
      </c>
      <c r="K19" s="108">
        <f t="shared" si="4"/>
        <v>0.40315818210926335</v>
      </c>
    </row>
    <row r="20" spans="1:11" hidden="1" x14ac:dyDescent="0.2">
      <c r="A20" s="107" t="s">
        <v>83</v>
      </c>
      <c r="B20" s="73">
        <v>1</v>
      </c>
      <c r="C20" s="78">
        <v>0</v>
      </c>
      <c r="D20" s="22">
        <f>B20*C20</f>
        <v>0</v>
      </c>
      <c r="E20" s="73">
        <f t="shared" si="0"/>
        <v>1</v>
      </c>
      <c r="F20" s="78">
        <v>0</v>
      </c>
      <c r="G20" s="22">
        <f t="shared" ref="G20:G22" si="6">E20*F20</f>
        <v>0</v>
      </c>
      <c r="H20" s="22">
        <f t="shared" si="1"/>
        <v>0</v>
      </c>
      <c r="I20" s="23">
        <f t="shared" si="2"/>
        <v>0</v>
      </c>
      <c r="J20" s="23">
        <f t="shared" si="5"/>
        <v>0</v>
      </c>
      <c r="K20" s="108">
        <f t="shared" si="4"/>
        <v>0</v>
      </c>
    </row>
    <row r="21" spans="1:11" hidden="1" x14ac:dyDescent="0.2">
      <c r="A21" s="107" t="s">
        <v>145</v>
      </c>
      <c r="B21" s="73">
        <v>1</v>
      </c>
      <c r="C21" s="78">
        <v>0</v>
      </c>
      <c r="D21" s="22">
        <f t="shared" ref="D21:D22" si="7">B21*C21</f>
        <v>0</v>
      </c>
      <c r="E21" s="73">
        <f t="shared" si="0"/>
        <v>1</v>
      </c>
      <c r="F21" s="122">
        <v>0</v>
      </c>
      <c r="G21" s="22">
        <f t="shared" si="6"/>
        <v>0</v>
      </c>
      <c r="H21" s="22">
        <f t="shared" ref="H21:H22" si="8">G21-D21</f>
        <v>0</v>
      </c>
      <c r="I21" s="23">
        <f t="shared" ref="I21:I22" si="9">IF(ISERROR(H21/D21),0,(H21/D21))</f>
        <v>0</v>
      </c>
      <c r="J21" s="23">
        <f t="shared" si="5"/>
        <v>0</v>
      </c>
      <c r="K21" s="108">
        <f t="shared" si="4"/>
        <v>0</v>
      </c>
    </row>
    <row r="22" spans="1:11" x14ac:dyDescent="0.2">
      <c r="A22" s="107" t="s">
        <v>85</v>
      </c>
      <c r="B22" s="73">
        <v>1</v>
      </c>
      <c r="C22" s="78">
        <f>VLOOKUP($B$3,'Data for Bill Impacts'!$A$3:$Y$15,13,0)</f>
        <v>0.01</v>
      </c>
      <c r="D22" s="22">
        <f t="shared" si="7"/>
        <v>0.01</v>
      </c>
      <c r="E22" s="73">
        <f t="shared" si="0"/>
        <v>1</v>
      </c>
      <c r="F22" s="122">
        <f>VLOOKUP($B$3,'Data for Bill Impacts'!$A$3:$Y$15,22,0)</f>
        <v>0.01</v>
      </c>
      <c r="G22" s="22">
        <f t="shared" si="6"/>
        <v>0.01</v>
      </c>
      <c r="H22" s="22">
        <f t="shared" si="8"/>
        <v>0</v>
      </c>
      <c r="I22" s="23">
        <f t="shared" si="9"/>
        <v>0</v>
      </c>
      <c r="J22" s="23">
        <f t="shared" si="5"/>
        <v>1.1386694355008129E-4</v>
      </c>
      <c r="K22" s="108">
        <f t="shared" si="4"/>
        <v>1.0979253325415669E-4</v>
      </c>
    </row>
    <row r="23" spans="1:11" x14ac:dyDescent="0.2">
      <c r="A23" s="107" t="s">
        <v>39</v>
      </c>
      <c r="B23" s="73">
        <f>IF($B$9="kWh",$B$4,$B$5)</f>
        <v>350</v>
      </c>
      <c r="C23" s="126">
        <f>VLOOKUP($B$3,'Data for Bill Impacts'!$A$3:$Y$15,10,0)</f>
        <v>0</v>
      </c>
      <c r="D23" s="22">
        <f>B23*C23</f>
        <v>0</v>
      </c>
      <c r="E23" s="73">
        <f t="shared" si="0"/>
        <v>350</v>
      </c>
      <c r="F23" s="126">
        <f>VLOOKUP($B$3,'Data for Bill Impacts'!$A$3:$Y$15,19,0)</f>
        <v>0</v>
      </c>
      <c r="G23" s="22">
        <f>E23*F23</f>
        <v>0</v>
      </c>
      <c r="H23" s="22">
        <f t="shared" si="1"/>
        <v>0</v>
      </c>
      <c r="I23" s="23">
        <f t="shared" si="2"/>
        <v>0</v>
      </c>
      <c r="J23" s="23">
        <f t="shared" si="5"/>
        <v>0</v>
      </c>
      <c r="K23" s="108">
        <f t="shared" si="4"/>
        <v>0</v>
      </c>
    </row>
    <row r="24" spans="1:11" x14ac:dyDescent="0.2">
      <c r="A24" s="107" t="s">
        <v>194</v>
      </c>
      <c r="B24" s="73">
        <f>IF($B$9="kWh",$B$4,$B$5)</f>
        <v>350</v>
      </c>
      <c r="C24" s="126">
        <f>VLOOKUP($B$3,'Data for Bill Impacts'!$A$3:$Y$15,14,0)</f>
        <v>2.0000000000000001E-4</v>
      </c>
      <c r="D24" s="22">
        <f>B24*C24</f>
        <v>7.0000000000000007E-2</v>
      </c>
      <c r="E24" s="73">
        <f t="shared" si="0"/>
        <v>350</v>
      </c>
      <c r="F24" s="126">
        <f>VLOOKUP($B$3,'Data for Bill Impacts'!$A$3:$Y$15,23,0)</f>
        <v>2.0000000000000001E-4</v>
      </c>
      <c r="G24" s="22">
        <f>E24*F24</f>
        <v>7.0000000000000007E-2</v>
      </c>
      <c r="H24" s="22">
        <f t="shared" ref="H24" si="10">G24-D24</f>
        <v>0</v>
      </c>
      <c r="I24" s="23">
        <f>IF(ISERROR(H24/D24),0,(H24/D24))</f>
        <v>0</v>
      </c>
      <c r="J24" s="23">
        <f t="shared" ref="J24" si="11">G24/$G$46</f>
        <v>7.970686048505691E-4</v>
      </c>
      <c r="K24" s="108">
        <f t="shared" ref="K24" si="12">G24/$G$51</f>
        <v>7.6854773277909691E-4</v>
      </c>
    </row>
    <row r="25" spans="1:11" s="1" customFormat="1" x14ac:dyDescent="0.2">
      <c r="A25" s="110" t="s">
        <v>72</v>
      </c>
      <c r="B25" s="74"/>
      <c r="C25" s="35"/>
      <c r="D25" s="35">
        <f>SUM(D19:D24)</f>
        <v>35.96</v>
      </c>
      <c r="E25" s="73"/>
      <c r="F25" s="35"/>
      <c r="G25" s="35">
        <f>SUM(G19:G24)</f>
        <v>36.799999999999997</v>
      </c>
      <c r="H25" s="35">
        <f t="shared" si="1"/>
        <v>0.83999999999999631</v>
      </c>
      <c r="I25" s="36">
        <f t="shared" si="2"/>
        <v>2.3359288097886437E-2</v>
      </c>
      <c r="J25" s="36">
        <f>G25/$G$46</f>
        <v>0.41903035226429913</v>
      </c>
      <c r="K25" s="111">
        <f>G25/$G$51</f>
        <v>0.40403652237529658</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G26/$G$46</f>
        <v>8.9954885404564221E-3</v>
      </c>
      <c r="K26" s="108">
        <f>G26/$G$51</f>
        <v>8.6736101270783791E-3</v>
      </c>
    </row>
    <row r="27" spans="1:11" s="1" customFormat="1" x14ac:dyDescent="0.2">
      <c r="A27" s="119" t="s">
        <v>75</v>
      </c>
      <c r="B27" s="120">
        <f>B8-B4</f>
        <v>19.949999999999989</v>
      </c>
      <c r="C27" s="121">
        <f>IF(B4&gt;B7,C13,C12)</f>
        <v>0.10299999999999999</v>
      </c>
      <c r="D27" s="22">
        <f>B27*C27</f>
        <v>2.0548499999999987</v>
      </c>
      <c r="E27" s="73">
        <f>B27</f>
        <v>19.949999999999989</v>
      </c>
      <c r="F27" s="121">
        <f>C27</f>
        <v>0.10299999999999999</v>
      </c>
      <c r="G27" s="22">
        <f>E27*F27</f>
        <v>2.0548499999999987</v>
      </c>
      <c r="H27" s="22">
        <f t="shared" ref="H27:H29" si="13">G27-D27</f>
        <v>0</v>
      </c>
      <c r="I27" s="23">
        <f>IF(ISERROR(H27/D27),0,(H27/D27))</f>
        <v>0</v>
      </c>
      <c r="J27" s="23">
        <f t="shared" ref="J27:J29" si="14">G27/$G$46</f>
        <v>2.3397948895388439E-2</v>
      </c>
      <c r="K27" s="108">
        <f t="shared" ref="K27:K29" si="15">G27/$G$51</f>
        <v>2.2560718695730373E-2</v>
      </c>
    </row>
    <row r="28" spans="1:11" s="1" customFormat="1" x14ac:dyDescent="0.2">
      <c r="A28" s="119" t="s">
        <v>74</v>
      </c>
      <c r="B28" s="120">
        <f>B8-B4</f>
        <v>19.949999999999989</v>
      </c>
      <c r="C28" s="121">
        <f>0.65*C15+0.17*C16+0.18*C17</f>
        <v>0.11139</v>
      </c>
      <c r="D28" s="22">
        <f>B28*C28</f>
        <v>2.2222304999999989</v>
      </c>
      <c r="E28" s="73">
        <f>B28</f>
        <v>19.949999999999989</v>
      </c>
      <c r="F28" s="121">
        <f>C28</f>
        <v>0.11139</v>
      </c>
      <c r="G28" s="22">
        <f>E28*F28</f>
        <v>2.2222304999999989</v>
      </c>
      <c r="H28" s="22">
        <f t="shared" ref="H28" si="16">G28-D28</f>
        <v>0</v>
      </c>
      <c r="I28" s="23">
        <f>IF(ISERROR(H28/D28),0,(H28/D28))</f>
        <v>0</v>
      </c>
      <c r="J28" s="23">
        <f t="shared" ref="J28" si="17">G28/$G$46</f>
        <v>2.530385948987688E-2</v>
      </c>
      <c r="K28" s="108">
        <f t="shared" ref="K28" si="18">G28/$G$51</f>
        <v>2.4398431606965112E-2</v>
      </c>
    </row>
    <row r="29" spans="1:11" s="1" customFormat="1" x14ac:dyDescent="0.2">
      <c r="A29" s="110" t="s">
        <v>78</v>
      </c>
      <c r="B29" s="74"/>
      <c r="C29" s="35"/>
      <c r="D29" s="35">
        <f>SUM(D25,D26:D27)</f>
        <v>38.804850000000002</v>
      </c>
      <c r="E29" s="73"/>
      <c r="F29" s="35"/>
      <c r="G29" s="35">
        <f>SUM(G25,G26:G27)</f>
        <v>39.644849999999998</v>
      </c>
      <c r="H29" s="35">
        <f t="shared" si="13"/>
        <v>0.83999999999999631</v>
      </c>
      <c r="I29" s="36">
        <f>IF(ISERROR(H29/D29),0,(H29/D29))</f>
        <v>2.1646778688746284E-2</v>
      </c>
      <c r="J29" s="36">
        <f t="shared" si="14"/>
        <v>0.45142378970014402</v>
      </c>
      <c r="K29" s="111">
        <f t="shared" si="15"/>
        <v>0.43527085119810538</v>
      </c>
    </row>
    <row r="30" spans="1:11" s="1" customFormat="1" x14ac:dyDescent="0.2">
      <c r="A30" s="110" t="s">
        <v>77</v>
      </c>
      <c r="B30" s="74"/>
      <c r="C30" s="35"/>
      <c r="D30" s="35">
        <f>SUM(D25,D26,D28)</f>
        <v>38.972230500000002</v>
      </c>
      <c r="E30" s="73"/>
      <c r="F30" s="35"/>
      <c r="G30" s="35">
        <f>SUM(G25,G26,G28)</f>
        <v>39.812230499999998</v>
      </c>
      <c r="H30" s="35">
        <f t="shared" ref="H30" si="19">G30-D30</f>
        <v>0.83999999999999631</v>
      </c>
      <c r="I30" s="36">
        <f>IF(ISERROR(H30/D30),0,(H30/D30))</f>
        <v>2.1553808679233698E-2</v>
      </c>
      <c r="J30" s="36">
        <f t="shared" ref="J30" si="20">G30/$G$46</f>
        <v>0.45332970029463243</v>
      </c>
      <c r="K30" s="111">
        <f t="shared" ref="K30" si="21">G30/$G$51</f>
        <v>0.43710856410934007</v>
      </c>
    </row>
    <row r="31" spans="1:11" x14ac:dyDescent="0.2">
      <c r="A31" s="107" t="s">
        <v>40</v>
      </c>
      <c r="B31" s="73">
        <f>B8</f>
        <v>369.95</v>
      </c>
      <c r="C31" s="126">
        <f>VLOOKUP($B$3,'Data for Bill Impacts'!$A$3:$Y$15,15,0)</f>
        <v>7.8279999999999999E-3</v>
      </c>
      <c r="D31" s="22">
        <f>B31*C31</f>
        <v>2.8959685999999998</v>
      </c>
      <c r="E31" s="73">
        <f t="shared" si="0"/>
        <v>369.95</v>
      </c>
      <c r="F31" s="78">
        <f>VLOOKUP($B$3,'Data for Bill Impacts'!$A$3:$Y$15,24,0)</f>
        <v>7.7000000000000002E-3</v>
      </c>
      <c r="G31" s="22">
        <f>E31*F31</f>
        <v>2.8486150000000001</v>
      </c>
      <c r="H31" s="22">
        <f t="shared" si="1"/>
        <v>-4.7353599999999663E-2</v>
      </c>
      <c r="I31" s="23">
        <f t="shared" si="2"/>
        <v>-1.635155850792017E-2</v>
      </c>
      <c r="J31" s="23">
        <f t="shared" ref="J31:J46" si="22">G31/$G$46</f>
        <v>3.243630834009148E-2</v>
      </c>
      <c r="K31" s="108">
        <f t="shared" ref="K31:K41" si="23">G31/$G$51</f>
        <v>3.1275665711578957E-2</v>
      </c>
    </row>
    <row r="32" spans="1:11" x14ac:dyDescent="0.2">
      <c r="A32" s="107" t="s">
        <v>41</v>
      </c>
      <c r="B32" s="73">
        <f>B8</f>
        <v>369.95</v>
      </c>
      <c r="C32" s="126">
        <f>VLOOKUP($B$3,'Data for Bill Impacts'!$A$3:$Y$15,16,0)</f>
        <v>6.4380000000000001E-3</v>
      </c>
      <c r="D32" s="22">
        <f>B32*C32</f>
        <v>2.3817381000000002</v>
      </c>
      <c r="E32" s="73">
        <f t="shared" si="0"/>
        <v>369.95</v>
      </c>
      <c r="F32" s="78">
        <f>VLOOKUP($B$3,'Data for Bill Impacts'!$A$3:$Y$15,25,0)</f>
        <v>6.3E-3</v>
      </c>
      <c r="G32" s="22">
        <f>E32*F32</f>
        <v>2.3306849999999999</v>
      </c>
      <c r="H32" s="22">
        <f t="shared" si="1"/>
        <v>-5.1053100000000295E-2</v>
      </c>
      <c r="I32" s="23">
        <f t="shared" si="2"/>
        <v>-2.1435228331780177E-2</v>
      </c>
      <c r="J32" s="23">
        <f t="shared" si="22"/>
        <v>2.653879773280212E-2</v>
      </c>
      <c r="K32" s="108">
        <f t="shared" si="23"/>
        <v>2.5589181036746417E-2</v>
      </c>
    </row>
    <row r="33" spans="1:11" s="1" customFormat="1" x14ac:dyDescent="0.2">
      <c r="A33" s="110" t="s">
        <v>76</v>
      </c>
      <c r="B33" s="74"/>
      <c r="C33" s="35"/>
      <c r="D33" s="35">
        <f>SUM(D31:D32)</f>
        <v>5.2777066999999995</v>
      </c>
      <c r="E33" s="73"/>
      <c r="F33" s="35"/>
      <c r="G33" s="35">
        <f>SUM(G31:G32)</f>
        <v>5.1792999999999996</v>
      </c>
      <c r="H33" s="35">
        <f t="shared" si="1"/>
        <v>-9.8406699999999958E-2</v>
      </c>
      <c r="I33" s="36">
        <f t="shared" si="2"/>
        <v>-1.8645731108930318E-2</v>
      </c>
      <c r="J33" s="36">
        <f t="shared" si="22"/>
        <v>5.8975106072893593E-2</v>
      </c>
      <c r="K33" s="111">
        <f t="shared" si="23"/>
        <v>5.6864846748325371E-2</v>
      </c>
    </row>
    <row r="34" spans="1:11" s="1" customFormat="1" x14ac:dyDescent="0.2">
      <c r="A34" s="110" t="s">
        <v>95</v>
      </c>
      <c r="B34" s="74"/>
      <c r="C34" s="35"/>
      <c r="D34" s="35">
        <f>D29+D33</f>
        <v>44.082556699999998</v>
      </c>
      <c r="E34" s="73"/>
      <c r="F34" s="35"/>
      <c r="G34" s="35">
        <f>G29+G33</f>
        <v>44.824149999999996</v>
      </c>
      <c r="H34" s="35">
        <f t="shared" si="1"/>
        <v>0.74159329999999812</v>
      </c>
      <c r="I34" s="36">
        <f t="shared" si="2"/>
        <v>1.6822828699497781E-2</v>
      </c>
      <c r="J34" s="36">
        <f t="shared" si="22"/>
        <v>0.51039889577303754</v>
      </c>
      <c r="K34" s="111">
        <f t="shared" si="23"/>
        <v>0.49213569794643069</v>
      </c>
    </row>
    <row r="35" spans="1:11" s="1" customFormat="1" x14ac:dyDescent="0.2">
      <c r="A35" s="110" t="s">
        <v>96</v>
      </c>
      <c r="B35" s="74"/>
      <c r="C35" s="35"/>
      <c r="D35" s="35">
        <f>D30+D33</f>
        <v>44.249937200000005</v>
      </c>
      <c r="E35" s="73"/>
      <c r="F35" s="35"/>
      <c r="G35" s="35">
        <f>G30+G33</f>
        <v>44.991530499999996</v>
      </c>
      <c r="H35" s="35">
        <f t="shared" ref="H35" si="24">G35-D35</f>
        <v>0.74159329999999102</v>
      </c>
      <c r="I35" s="36">
        <f t="shared" ref="I35" si="25">IF(ISERROR(H35/D35),0,(H35/D35))</f>
        <v>1.6759194406268919E-2</v>
      </c>
      <c r="J35" s="36">
        <f t="shared" ref="J35" si="26">G35/$G$46</f>
        <v>0.51230480636752596</v>
      </c>
      <c r="K35" s="111">
        <f t="shared" ref="K35" si="27">G35/$G$51</f>
        <v>0.49397341085766544</v>
      </c>
    </row>
    <row r="36" spans="1:11" x14ac:dyDescent="0.2">
      <c r="A36" s="107" t="s">
        <v>42</v>
      </c>
      <c r="B36" s="73">
        <f>B8</f>
        <v>369.95</v>
      </c>
      <c r="C36" s="34">
        <v>3.5999999999999999E-3</v>
      </c>
      <c r="D36" s="22">
        <f>B36*C36</f>
        <v>1.33182</v>
      </c>
      <c r="E36" s="73">
        <f t="shared" si="0"/>
        <v>369.95</v>
      </c>
      <c r="F36" s="34">
        <v>3.5999999999999999E-3</v>
      </c>
      <c r="G36" s="22">
        <f>E36*F36</f>
        <v>1.33182</v>
      </c>
      <c r="H36" s="22">
        <f t="shared" si="1"/>
        <v>0</v>
      </c>
      <c r="I36" s="23">
        <f t="shared" si="2"/>
        <v>0</v>
      </c>
      <c r="J36" s="23">
        <f t="shared" si="22"/>
        <v>1.5165027275886925E-2</v>
      </c>
      <c r="K36" s="108">
        <f t="shared" si="23"/>
        <v>1.4622389163855096E-2</v>
      </c>
    </row>
    <row r="37" spans="1:11" x14ac:dyDescent="0.2">
      <c r="A37" s="107" t="s">
        <v>43</v>
      </c>
      <c r="B37" s="73">
        <f>B8</f>
        <v>369.95</v>
      </c>
      <c r="C37" s="34">
        <v>2.0999999999999999E-3</v>
      </c>
      <c r="D37" s="22">
        <f>B37*C37</f>
        <v>0.77689499999999989</v>
      </c>
      <c r="E37" s="73">
        <f t="shared" si="0"/>
        <v>369.95</v>
      </c>
      <c r="F37" s="34">
        <v>2.0999999999999999E-3</v>
      </c>
      <c r="G37" s="22">
        <f>E37*F37</f>
        <v>0.77689499999999989</v>
      </c>
      <c r="H37" s="22">
        <f>G37-D37</f>
        <v>0</v>
      </c>
      <c r="I37" s="23">
        <f t="shared" si="2"/>
        <v>0</v>
      </c>
      <c r="J37" s="23">
        <f t="shared" si="22"/>
        <v>8.846265910934039E-3</v>
      </c>
      <c r="K37" s="108">
        <f t="shared" si="23"/>
        <v>8.5297270122488052E-3</v>
      </c>
    </row>
    <row r="38" spans="1:11" x14ac:dyDescent="0.2">
      <c r="A38" s="107" t="s">
        <v>100</v>
      </c>
      <c r="B38" s="73">
        <f>B8</f>
        <v>369.95</v>
      </c>
      <c r="C38" s="34">
        <v>1.1000000000000001E-3</v>
      </c>
      <c r="D38" s="22">
        <f>B38*C38</f>
        <v>0.406945</v>
      </c>
      <c r="E38" s="73">
        <f t="shared" si="0"/>
        <v>369.95</v>
      </c>
      <c r="F38" s="34">
        <v>1.1000000000000001E-3</v>
      </c>
      <c r="G38" s="22">
        <f>E38*F38</f>
        <v>0.406945</v>
      </c>
      <c r="H38" s="22">
        <f>G38-D38</f>
        <v>0</v>
      </c>
      <c r="I38" s="23">
        <f t="shared" ref="I38" si="28">IF(ISERROR(H38/D38),0,(H38/D38))</f>
        <v>0</v>
      </c>
      <c r="J38" s="23">
        <f t="shared" ref="J38" si="29">G38/$G$46</f>
        <v>4.6337583342987831E-3</v>
      </c>
      <c r="K38" s="108">
        <f t="shared" ref="K38" si="30">G38/$G$51</f>
        <v>4.4679522445112791E-3</v>
      </c>
    </row>
    <row r="39" spans="1:11" x14ac:dyDescent="0.2">
      <c r="A39" s="107" t="s">
        <v>44</v>
      </c>
      <c r="B39" s="73">
        <v>1</v>
      </c>
      <c r="C39" s="22">
        <v>0.25</v>
      </c>
      <c r="D39" s="22">
        <f>B39*C39</f>
        <v>0.25</v>
      </c>
      <c r="E39" s="73">
        <f t="shared" si="0"/>
        <v>1</v>
      </c>
      <c r="F39" s="22">
        <f>C39</f>
        <v>0.25</v>
      </c>
      <c r="G39" s="22">
        <f>E39*F39</f>
        <v>0.25</v>
      </c>
      <c r="H39" s="22">
        <f t="shared" si="1"/>
        <v>0</v>
      </c>
      <c r="I39" s="23">
        <f t="shared" si="2"/>
        <v>0</v>
      </c>
      <c r="J39" s="23">
        <f t="shared" si="22"/>
        <v>2.846673588752032E-3</v>
      </c>
      <c r="K39" s="108">
        <f t="shared" si="23"/>
        <v>2.744813331353917E-3</v>
      </c>
    </row>
    <row r="40" spans="1:11" s="1" customFormat="1" x14ac:dyDescent="0.2">
      <c r="A40" s="110" t="s">
        <v>45</v>
      </c>
      <c r="B40" s="74"/>
      <c r="C40" s="35"/>
      <c r="D40" s="35">
        <f>SUM(D36:D39)</f>
        <v>2.76566</v>
      </c>
      <c r="E40" s="73"/>
      <c r="F40" s="35"/>
      <c r="G40" s="35">
        <f>SUM(G36:G39)</f>
        <v>2.76566</v>
      </c>
      <c r="H40" s="35">
        <f t="shared" si="1"/>
        <v>0</v>
      </c>
      <c r="I40" s="36">
        <f t="shared" si="2"/>
        <v>0</v>
      </c>
      <c r="J40" s="36">
        <f t="shared" si="22"/>
        <v>3.1491725109871783E-2</v>
      </c>
      <c r="K40" s="111">
        <f t="shared" si="23"/>
        <v>3.0364881751969098E-2</v>
      </c>
    </row>
    <row r="41" spans="1:11" s="1" customFormat="1" ht="13.5" thickBot="1" x14ac:dyDescent="0.25">
      <c r="A41" s="112" t="s">
        <v>46</v>
      </c>
      <c r="B41" s="113">
        <f>B4</f>
        <v>350</v>
      </c>
      <c r="C41" s="114">
        <v>0</v>
      </c>
      <c r="D41" s="115">
        <f>B41*C41</f>
        <v>0</v>
      </c>
      <c r="E41" s="116">
        <f t="shared" si="0"/>
        <v>350</v>
      </c>
      <c r="F41" s="114">
        <f>C41</f>
        <v>0</v>
      </c>
      <c r="G41" s="115">
        <f>E41*F41</f>
        <v>0</v>
      </c>
      <c r="H41" s="115">
        <f t="shared" si="1"/>
        <v>0</v>
      </c>
      <c r="I41" s="117">
        <f t="shared" si="2"/>
        <v>0</v>
      </c>
      <c r="J41" s="117">
        <f t="shared" si="22"/>
        <v>0</v>
      </c>
      <c r="K41" s="118">
        <f t="shared" si="23"/>
        <v>0</v>
      </c>
    </row>
    <row r="42" spans="1:11" s="1" customFormat="1" x14ac:dyDescent="0.2">
      <c r="A42" s="37" t="s">
        <v>137</v>
      </c>
      <c r="B42" s="38"/>
      <c r="C42" s="39"/>
      <c r="D42" s="39">
        <f>SUM(D14,D25,D26,D27,D33,D40,D41)</f>
        <v>82.898216699999992</v>
      </c>
      <c r="E42" s="38"/>
      <c r="F42" s="39"/>
      <c r="G42" s="39">
        <f>SUM(G14,G25,G26,G27,G33,G40,G41)</f>
        <v>83.639809999999997</v>
      </c>
      <c r="H42" s="39">
        <f t="shared" si="1"/>
        <v>0.74159330000000523</v>
      </c>
      <c r="I42" s="40">
        <f>IF(ISERROR(H42/D42),0,(H42/D42))</f>
        <v>8.9458293497887195E-3</v>
      </c>
      <c r="J42" s="40">
        <f t="shared" si="22"/>
        <v>0.95238095238095244</v>
      </c>
      <c r="K42" s="41"/>
    </row>
    <row r="43" spans="1:11" x14ac:dyDescent="0.2">
      <c r="A43" s="150" t="s">
        <v>138</v>
      </c>
      <c r="B43" s="43"/>
      <c r="C43" s="26">
        <v>0.13</v>
      </c>
      <c r="D43" s="26">
        <f>D42*C43</f>
        <v>10.776768170999999</v>
      </c>
      <c r="E43" s="26"/>
      <c r="F43" s="26">
        <f>C43</f>
        <v>0.13</v>
      </c>
      <c r="G43" s="26">
        <f>G42*F43</f>
        <v>10.8731753</v>
      </c>
      <c r="H43" s="26">
        <f t="shared" si="1"/>
        <v>9.6407129000001035E-2</v>
      </c>
      <c r="I43" s="44">
        <f t="shared" si="2"/>
        <v>8.9458293497887524E-3</v>
      </c>
      <c r="J43" s="44">
        <f t="shared" si="22"/>
        <v>0.12380952380952381</v>
      </c>
      <c r="K43" s="45"/>
    </row>
    <row r="44" spans="1:11" s="1" customFormat="1" x14ac:dyDescent="0.2">
      <c r="A44" s="46" t="s">
        <v>139</v>
      </c>
      <c r="B44" s="24"/>
      <c r="C44" s="25"/>
      <c r="D44" s="25">
        <f>SUM(D42:D43)</f>
        <v>93.674984870999992</v>
      </c>
      <c r="E44" s="25"/>
      <c r="F44" s="25"/>
      <c r="G44" s="25">
        <f>SUM(G42:G43)</f>
        <v>94.512985299999997</v>
      </c>
      <c r="H44" s="25">
        <f t="shared" si="1"/>
        <v>0.83800042900000449</v>
      </c>
      <c r="I44" s="27">
        <f t="shared" si="2"/>
        <v>8.9458293497887038E-3</v>
      </c>
      <c r="J44" s="27">
        <f t="shared" si="22"/>
        <v>1.0761904761904761</v>
      </c>
      <c r="K44" s="47"/>
    </row>
    <row r="45" spans="1:11" x14ac:dyDescent="0.2">
      <c r="A45" s="42" t="s">
        <v>140</v>
      </c>
      <c r="B45" s="43"/>
      <c r="C45" s="26">
        <v>-0.08</v>
      </c>
      <c r="D45" s="26">
        <f>D42*C45</f>
        <v>-6.6318573359999995</v>
      </c>
      <c r="E45" s="26"/>
      <c r="F45" s="26">
        <f>C45</f>
        <v>-0.08</v>
      </c>
      <c r="G45" s="26">
        <f>G42*F45</f>
        <v>-6.6911848000000003</v>
      </c>
      <c r="H45" s="26">
        <f t="shared" si="1"/>
        <v>-5.9327464000000774E-2</v>
      </c>
      <c r="I45" s="44">
        <f t="shared" si="2"/>
        <v>8.9458293497887715E-3</v>
      </c>
      <c r="J45" s="44">
        <f t="shared" si="22"/>
        <v>-7.6190476190476197E-2</v>
      </c>
      <c r="K45" s="45"/>
    </row>
    <row r="46" spans="1:11" s="1" customFormat="1" ht="13.5" thickBot="1" x14ac:dyDescent="0.25">
      <c r="A46" s="48" t="s">
        <v>141</v>
      </c>
      <c r="B46" s="49"/>
      <c r="C46" s="50"/>
      <c r="D46" s="50">
        <f>SUM(D44:D45)</f>
        <v>87.043127534999996</v>
      </c>
      <c r="E46" s="50"/>
      <c r="F46" s="50"/>
      <c r="G46" s="50">
        <f>SUM(G44:G45)</f>
        <v>87.821800499999995</v>
      </c>
      <c r="H46" s="50">
        <f t="shared" si="1"/>
        <v>0.77867296499999838</v>
      </c>
      <c r="I46" s="51">
        <f t="shared" si="2"/>
        <v>8.9458293497886362E-3</v>
      </c>
      <c r="J46" s="51">
        <f t="shared" si="22"/>
        <v>1</v>
      </c>
      <c r="K46" s="52"/>
    </row>
    <row r="47" spans="1:11" x14ac:dyDescent="0.2">
      <c r="A47" s="53" t="s">
        <v>142</v>
      </c>
      <c r="B47" s="54"/>
      <c r="C47" s="55"/>
      <c r="D47" s="55">
        <f>SUM(D18,D25,D26,D28,D33,D40,D41)</f>
        <v>86.00209719999998</v>
      </c>
      <c r="E47" s="55"/>
      <c r="F47" s="55"/>
      <c r="G47" s="55">
        <f>SUM(G18,G25,G26,G28,G33,G40,G41)</f>
        <v>86.743690499999985</v>
      </c>
      <c r="H47" s="55">
        <f>G47-D47</f>
        <v>0.74159330000000523</v>
      </c>
      <c r="I47" s="56">
        <f>IF(ISERROR(H47/D47),0,(H47/D47))</f>
        <v>8.6229676268871902E-3</v>
      </c>
      <c r="J47" s="56"/>
      <c r="K47" s="57">
        <f>G47/$G$51</f>
        <v>0.95238095238095244</v>
      </c>
    </row>
    <row r="48" spans="1:11" x14ac:dyDescent="0.2">
      <c r="A48" s="151" t="s">
        <v>138</v>
      </c>
      <c r="B48" s="59"/>
      <c r="C48" s="31">
        <v>0.13</v>
      </c>
      <c r="D48" s="31">
        <f>D47*C48</f>
        <v>11.180272635999998</v>
      </c>
      <c r="E48" s="31"/>
      <c r="F48" s="31">
        <f>C48</f>
        <v>0.13</v>
      </c>
      <c r="G48" s="31">
        <f>G47*F48</f>
        <v>11.276679764999999</v>
      </c>
      <c r="H48" s="31">
        <f>G48-D48</f>
        <v>9.6407129000001035E-2</v>
      </c>
      <c r="I48" s="32">
        <f>IF(ISERROR(H48/D48),0,(H48/D48))</f>
        <v>8.6229676268872214E-3</v>
      </c>
      <c r="J48" s="32"/>
      <c r="K48" s="60">
        <f>G48/$G$51</f>
        <v>0.12380952380952383</v>
      </c>
    </row>
    <row r="49" spans="1:11" x14ac:dyDescent="0.2">
      <c r="A49" s="61" t="s">
        <v>143</v>
      </c>
      <c r="B49" s="29"/>
      <c r="C49" s="30"/>
      <c r="D49" s="30">
        <f>SUM(D47:D48)</f>
        <v>97.182369835999978</v>
      </c>
      <c r="E49" s="30"/>
      <c r="F49" s="30"/>
      <c r="G49" s="30">
        <f>SUM(G47:G48)</f>
        <v>98.020370264999983</v>
      </c>
      <c r="H49" s="30">
        <f>G49-D49</f>
        <v>0.83800042900000449</v>
      </c>
      <c r="I49" s="33">
        <f>IF(ISERROR(H49/D49),0,(H49/D49))</f>
        <v>8.6229676268871746E-3</v>
      </c>
      <c r="J49" s="33"/>
      <c r="K49" s="62">
        <f>G49/$G$51</f>
        <v>1.0761904761904761</v>
      </c>
    </row>
    <row r="50" spans="1:11" x14ac:dyDescent="0.2">
      <c r="A50" s="58" t="s">
        <v>140</v>
      </c>
      <c r="B50" s="59"/>
      <c r="C50" s="31">
        <v>-0.08</v>
      </c>
      <c r="D50" s="31">
        <f>D47*C50</f>
        <v>-6.8801677759999986</v>
      </c>
      <c r="E50" s="31"/>
      <c r="F50" s="31">
        <f>C50</f>
        <v>-0.08</v>
      </c>
      <c r="G50" s="31">
        <f>G47*F50</f>
        <v>-6.9394952399999994</v>
      </c>
      <c r="H50" s="31">
        <f>G50-D50</f>
        <v>-5.9327464000000774E-2</v>
      </c>
      <c r="I50" s="32">
        <f>IF(ISERROR(H50/D50),0,(H50/D50))</f>
        <v>8.6229676268872405E-3</v>
      </c>
      <c r="J50" s="32"/>
      <c r="K50" s="60">
        <f>G50/$G$51</f>
        <v>-7.6190476190476197E-2</v>
      </c>
    </row>
    <row r="51" spans="1:11" ht="13.5" thickBot="1" x14ac:dyDescent="0.25">
      <c r="A51" s="63" t="s">
        <v>144</v>
      </c>
      <c r="B51" s="64"/>
      <c r="C51" s="65"/>
      <c r="D51" s="65">
        <f>SUM(D49:D50)</f>
        <v>90.302202059999985</v>
      </c>
      <c r="E51" s="65"/>
      <c r="F51" s="65"/>
      <c r="G51" s="65">
        <f>SUM(G49:G50)</f>
        <v>91.080875024999983</v>
      </c>
      <c r="H51" s="65">
        <f>G51-D51</f>
        <v>0.77867296499999838</v>
      </c>
      <c r="I51" s="66">
        <f>IF(ISERROR(H51/D51),0,(H51/D51))</f>
        <v>8.6229676268871104E-3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c r="K64"/>
    </row>
    <row r="65" spans="6:11" x14ac:dyDescent="0.2">
      <c r="F65" s="69"/>
      <c r="K65"/>
    </row>
    <row r="66" spans="6:11" x14ac:dyDescent="0.2">
      <c r="F66" s="69"/>
      <c r="K66"/>
    </row>
    <row r="67" spans="6:11" x14ac:dyDescent="0.2">
      <c r="F67" s="69"/>
      <c r="K67"/>
    </row>
    <row r="68" spans="6:11" x14ac:dyDescent="0.2">
      <c r="F68" s="69"/>
      <c r="K68"/>
    </row>
  </sheetData>
  <mergeCells count="1">
    <mergeCell ref="A1:K1"/>
  </mergeCell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Impacts'!$A$3:$A$11</xm:f>
          </x14:formula1>
          <xm:sqref>B3</xm:sqref>
        </x14:dataValidation>
      </x14:dataValidations>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pageSetUpPr fitToPage="1"/>
  </sheetPr>
  <dimension ref="A1:K66"/>
  <sheetViews>
    <sheetView topLeftCell="A22" workbookViewId="0">
      <selection activeCell="C19" sqref="C19"/>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48" t="s">
        <v>109</v>
      </c>
      <c r="B1" s="349"/>
      <c r="C1" s="349"/>
      <c r="D1" s="349"/>
      <c r="E1" s="349"/>
      <c r="F1" s="349"/>
      <c r="G1" s="349"/>
      <c r="H1" s="349"/>
      <c r="I1" s="349"/>
      <c r="J1" s="349"/>
      <c r="K1" s="350"/>
    </row>
    <row r="3" spans="1:11" x14ac:dyDescent="0.2">
      <c r="A3" s="13" t="s">
        <v>13</v>
      </c>
      <c r="B3" s="13" t="s">
        <v>195</v>
      </c>
      <c r="C3" s="13" t="s">
        <v>113</v>
      </c>
    </row>
    <row r="4" spans="1:11" x14ac:dyDescent="0.2">
      <c r="A4" s="15" t="s">
        <v>62</v>
      </c>
      <c r="B4" s="15">
        <v>350</v>
      </c>
      <c r="C4" s="15">
        <v>350</v>
      </c>
    </row>
    <row r="5" spans="1:11" x14ac:dyDescent="0.2">
      <c r="A5" s="15" t="s">
        <v>16</v>
      </c>
      <c r="B5" s="15">
        <f>VLOOKUP($B$3,'Data for Bill Impacts'!$A$3:$Y$21,5,0)</f>
        <v>0</v>
      </c>
      <c r="C5" s="15">
        <f>VLOOKUP($B$3,'Data for Bill Impacts'!$A$3:$Y$21,5,0)</f>
        <v>0</v>
      </c>
    </row>
    <row r="6" spans="1:11" x14ac:dyDescent="0.2">
      <c r="A6" s="15" t="s">
        <v>20</v>
      </c>
      <c r="B6" s="15">
        <f>VLOOKUP($B$3,'Data for Bill Impacts'!$A$3:$Y$21,2,0)</f>
        <v>1.0569999999999999</v>
      </c>
      <c r="C6" s="15">
        <f>VLOOKUP($C$3,'Data for Bill Impacts'!$A$3:$Y$30,2,0)</f>
        <v>1.0430999999999999</v>
      </c>
    </row>
    <row r="7" spans="1:11" x14ac:dyDescent="0.2">
      <c r="A7" s="15" t="s">
        <v>15</v>
      </c>
      <c r="B7" s="15">
        <f>VLOOKUP($B$3,'Data for Bill Impacts'!$A$3:$Y$21,4,0)</f>
        <v>600</v>
      </c>
      <c r="C7" s="15">
        <f>VLOOKUP($B$3,'Data for Bill Impacts'!$A$3:$Y$21,4,0)</f>
        <v>600</v>
      </c>
    </row>
    <row r="8" spans="1:11" x14ac:dyDescent="0.2">
      <c r="A8" s="15" t="s">
        <v>82</v>
      </c>
      <c r="B8" s="193">
        <f>B4*B6</f>
        <v>369.95</v>
      </c>
      <c r="C8" s="193">
        <f>C4*C6</f>
        <v>365.08499999999998</v>
      </c>
    </row>
    <row r="9" spans="1:11" x14ac:dyDescent="0.2">
      <c r="A9" s="15" t="s">
        <v>21</v>
      </c>
      <c r="B9" s="16" t="str">
        <f>VLOOKUP($B$3,'Data for Bill Impacts'!$A$3:$Y$21,6,0)</f>
        <v>kWh</v>
      </c>
      <c r="C9" s="16" t="str">
        <f>VLOOKUP($B$3,'Data for Bill Impacts'!$A$3:$Y$21,6,0)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IF(C4&gt;C7,C7,C4)</f>
        <v>350</v>
      </c>
      <c r="C12" s="103">
        <v>0.10299999999999999</v>
      </c>
      <c r="D12" s="104">
        <f>B12*C12</f>
        <v>36.049999999999997</v>
      </c>
      <c r="E12" s="102">
        <f>IF(B4&gt;B7,B7,B4)</f>
        <v>350</v>
      </c>
      <c r="F12" s="103">
        <f>C12</f>
        <v>0.10299999999999999</v>
      </c>
      <c r="G12" s="104">
        <f>E12*F12</f>
        <v>36.049999999999997</v>
      </c>
      <c r="H12" s="104">
        <f>G12-D12</f>
        <v>0</v>
      </c>
      <c r="I12" s="105">
        <f>IF(ISERROR(H12/D12),0,(H12/D12))</f>
        <v>0</v>
      </c>
      <c r="J12" s="105">
        <f>G12/$G$44</f>
        <v>0.44349811419650159</v>
      </c>
      <c r="K12" s="106"/>
    </row>
    <row r="13" spans="1:11" x14ac:dyDescent="0.2">
      <c r="A13" s="107" t="s">
        <v>32</v>
      </c>
      <c r="B13" s="73">
        <f>IF(C4&gt;C7,(C4)-C7,0)</f>
        <v>0</v>
      </c>
      <c r="C13" s="21">
        <v>0.121</v>
      </c>
      <c r="D13" s="22">
        <f>IF(B4&gt;B7,(B4)-B7,0)</f>
        <v>0</v>
      </c>
      <c r="E13" s="73">
        <f>IF(B4&gt;B7,(B4)-B7,0)</f>
        <v>0</v>
      </c>
      <c r="F13" s="21">
        <f>C13</f>
        <v>0.121</v>
      </c>
      <c r="G13" s="22">
        <f>E13*F13</f>
        <v>0</v>
      </c>
      <c r="H13" s="22">
        <f t="shared" ref="H13:H44" si="0">G13-D13</f>
        <v>0</v>
      </c>
      <c r="I13" s="23">
        <f t="shared" ref="I13:I44" si="1">IF(ISERROR(H13/D13),0,(H13/D13))</f>
        <v>0</v>
      </c>
      <c r="J13" s="23">
        <f>G13/$G$44</f>
        <v>0</v>
      </c>
      <c r="K13" s="108"/>
    </row>
    <row r="14" spans="1:11" s="1" customFormat="1" x14ac:dyDescent="0.2">
      <c r="A14" s="46" t="s">
        <v>33</v>
      </c>
      <c r="B14" s="24"/>
      <c r="C14" s="25"/>
      <c r="D14" s="25">
        <f>SUM(D12:D13)</f>
        <v>36.049999999999997</v>
      </c>
      <c r="E14" s="76"/>
      <c r="F14" s="25"/>
      <c r="G14" s="25">
        <f>SUM(G12:G13)</f>
        <v>36.049999999999997</v>
      </c>
      <c r="H14" s="25">
        <f t="shared" si="0"/>
        <v>0</v>
      </c>
      <c r="I14" s="27">
        <f t="shared" si="1"/>
        <v>0</v>
      </c>
      <c r="J14" s="27">
        <f>G14/$G$44</f>
        <v>0.44349811419650159</v>
      </c>
      <c r="K14" s="108"/>
    </row>
    <row r="15" spans="1:11" s="1" customFormat="1" x14ac:dyDescent="0.2">
      <c r="A15" s="109" t="s">
        <v>34</v>
      </c>
      <c r="B15" s="75">
        <f>C4*0.65</f>
        <v>227.5</v>
      </c>
      <c r="C15" s="28">
        <v>8.6999999999999994E-2</v>
      </c>
      <c r="D15" s="272">
        <f>B15*C15</f>
        <v>19.792499999999997</v>
      </c>
      <c r="E15" s="75">
        <f>B4*0.65</f>
        <v>227.5</v>
      </c>
      <c r="F15" s="28">
        <f t="shared" ref="F15:F17" si="2">C15</f>
        <v>8.6999999999999994E-2</v>
      </c>
      <c r="G15" s="22">
        <f>E15*F15</f>
        <v>19.792499999999997</v>
      </c>
      <c r="H15" s="22">
        <f t="shared" si="0"/>
        <v>0</v>
      </c>
      <c r="I15" s="23">
        <f t="shared" si="1"/>
        <v>0</v>
      </c>
      <c r="J15" s="23"/>
      <c r="K15" s="108">
        <f t="shared" ref="K15:K39" si="3">G15/$G$49</f>
        <v>0.23410706297221046</v>
      </c>
    </row>
    <row r="16" spans="1:11" s="1" customFormat="1" x14ac:dyDescent="0.2">
      <c r="A16" s="109" t="s">
        <v>35</v>
      </c>
      <c r="B16" s="75">
        <f>C4*0.17</f>
        <v>59.500000000000007</v>
      </c>
      <c r="C16" s="28">
        <v>0.13200000000000001</v>
      </c>
      <c r="D16" s="272">
        <f t="shared" ref="D16:D17" si="4">B16*C16</f>
        <v>7.854000000000001</v>
      </c>
      <c r="E16" s="75">
        <f>B4*0.17</f>
        <v>59.500000000000007</v>
      </c>
      <c r="F16" s="28">
        <f t="shared" si="2"/>
        <v>0.13200000000000001</v>
      </c>
      <c r="G16" s="22">
        <f>E16*F16</f>
        <v>7.854000000000001</v>
      </c>
      <c r="H16" s="22">
        <f t="shared" si="0"/>
        <v>0</v>
      </c>
      <c r="I16" s="23">
        <f t="shared" si="1"/>
        <v>0</v>
      </c>
      <c r="J16" s="23"/>
      <c r="K16" s="108">
        <f t="shared" si="3"/>
        <v>9.2897656818680896E-2</v>
      </c>
    </row>
    <row r="17" spans="1:11" s="1" customFormat="1" x14ac:dyDescent="0.2">
      <c r="A17" s="109" t="s">
        <v>36</v>
      </c>
      <c r="B17" s="75">
        <f>C4*0.18</f>
        <v>63</v>
      </c>
      <c r="C17" s="28">
        <v>0.18</v>
      </c>
      <c r="D17" s="272">
        <f t="shared" si="4"/>
        <v>11.34</v>
      </c>
      <c r="E17" s="75">
        <f>B4*0.18</f>
        <v>63</v>
      </c>
      <c r="F17" s="28">
        <f t="shared" si="2"/>
        <v>0.18</v>
      </c>
      <c r="G17" s="22">
        <f>E17*F17</f>
        <v>11.34</v>
      </c>
      <c r="H17" s="22">
        <f t="shared" si="0"/>
        <v>0</v>
      </c>
      <c r="I17" s="23">
        <f t="shared" si="1"/>
        <v>0</v>
      </c>
      <c r="J17" s="23"/>
      <c r="K17" s="108">
        <f t="shared" si="3"/>
        <v>0.13413030663659806</v>
      </c>
    </row>
    <row r="18" spans="1:11" s="1" customFormat="1" x14ac:dyDescent="0.2">
      <c r="A18" s="61" t="s">
        <v>37</v>
      </c>
      <c r="B18" s="29"/>
      <c r="C18" s="30"/>
      <c r="D18" s="30">
        <f>SUM(D15:D17)</f>
        <v>38.986499999999992</v>
      </c>
      <c r="E18" s="77"/>
      <c r="F18" s="30"/>
      <c r="G18" s="30">
        <f>SUM(G15:G17)</f>
        <v>38.986499999999992</v>
      </c>
      <c r="H18" s="31">
        <f t="shared" si="0"/>
        <v>0</v>
      </c>
      <c r="I18" s="32">
        <f t="shared" si="1"/>
        <v>0</v>
      </c>
      <c r="J18" s="33">
        <f t="shared" ref="J18:J42" si="5">G18/$G$44</f>
        <v>0.47962383437231365</v>
      </c>
      <c r="K18" s="62">
        <f t="shared" si="3"/>
        <v>0.46113502642748933</v>
      </c>
    </row>
    <row r="19" spans="1:11" x14ac:dyDescent="0.2">
      <c r="A19" s="107" t="s">
        <v>38</v>
      </c>
      <c r="B19" s="73">
        <v>1</v>
      </c>
      <c r="C19" s="122">
        <f>'Data for Bill Impacts'!G22</f>
        <v>29.98</v>
      </c>
      <c r="D19" s="22">
        <f>B19*C19</f>
        <v>29.98</v>
      </c>
      <c r="E19" s="73">
        <v>1</v>
      </c>
      <c r="F19" s="122">
        <f>VLOOKUP($B$3,'Data for Bill Impacts'!$A$3:$Y$21,17,0)</f>
        <v>30.76</v>
      </c>
      <c r="G19" s="22">
        <f>E19*F19</f>
        <v>30.76</v>
      </c>
      <c r="H19" s="22">
        <f t="shared" si="0"/>
        <v>0.78000000000000114</v>
      </c>
      <c r="I19" s="23">
        <f t="shared" si="1"/>
        <v>2.601734489659777E-2</v>
      </c>
      <c r="J19" s="23">
        <f t="shared" si="5"/>
        <v>0.37841891796627991</v>
      </c>
      <c r="K19" s="108">
        <f t="shared" si="3"/>
        <v>0.36383141376911432</v>
      </c>
    </row>
    <row r="20" spans="1:11" x14ac:dyDescent="0.2">
      <c r="A20" s="107" t="s">
        <v>188</v>
      </c>
      <c r="B20" s="73">
        <v>1</v>
      </c>
      <c r="C20" s="122">
        <f>'Data for Bill Impacts'!K22</f>
        <v>-0.3</v>
      </c>
      <c r="D20" s="22">
        <f t="shared" ref="D20" si="6">B20*C20</f>
        <v>-0.3</v>
      </c>
      <c r="E20" s="73">
        <v>1</v>
      </c>
      <c r="F20" s="122">
        <v>0</v>
      </c>
      <c r="G20" s="22">
        <f t="shared" ref="G20" si="7">E20*F20</f>
        <v>0</v>
      </c>
      <c r="H20" s="22">
        <f t="shared" si="0"/>
        <v>0.3</v>
      </c>
      <c r="I20" s="23">
        <f t="shared" si="1"/>
        <v>-1</v>
      </c>
      <c r="J20" s="23">
        <f t="shared" si="5"/>
        <v>0</v>
      </c>
      <c r="K20" s="108">
        <f t="shared" si="3"/>
        <v>0</v>
      </c>
    </row>
    <row r="21" spans="1:11" x14ac:dyDescent="0.2">
      <c r="A21" s="107" t="s">
        <v>39</v>
      </c>
      <c r="B21" s="73">
        <f>IF($C$9="kWh",$C$4,$C$5)</f>
        <v>350</v>
      </c>
      <c r="C21" s="126">
        <f>'Data for Bill Impacts'!J22</f>
        <v>0</v>
      </c>
      <c r="D21" s="22">
        <f>B21*C21</f>
        <v>0</v>
      </c>
      <c r="E21" s="73">
        <f>IF($B$9="kWh",$B$4,$B$5)</f>
        <v>350</v>
      </c>
      <c r="F21" s="126">
        <f>VLOOKUP($B$3,'Data for Bill Impacts'!$A$3:$Y$21,19,0)</f>
        <v>0</v>
      </c>
      <c r="G21" s="22">
        <f>E21*F21</f>
        <v>0</v>
      </c>
      <c r="H21" s="22">
        <f t="shared" si="0"/>
        <v>0</v>
      </c>
      <c r="I21" s="23">
        <f t="shared" si="1"/>
        <v>0</v>
      </c>
      <c r="J21" s="23">
        <f t="shared" si="5"/>
        <v>0</v>
      </c>
      <c r="K21" s="108">
        <f t="shared" si="3"/>
        <v>0</v>
      </c>
    </row>
    <row r="22" spans="1:11" x14ac:dyDescent="0.2">
      <c r="A22" s="107" t="s">
        <v>190</v>
      </c>
      <c r="B22" s="73">
        <f>IF($C$9="kWh",$C$4,$C$5)</f>
        <v>350</v>
      </c>
      <c r="C22" s="126">
        <v>0</v>
      </c>
      <c r="D22" s="22">
        <f>B22*C22</f>
        <v>0</v>
      </c>
      <c r="E22" s="73">
        <f>IF($B$9="kWh",$B$4,$B$5)</f>
        <v>350</v>
      </c>
      <c r="F22" s="126">
        <v>0</v>
      </c>
      <c r="G22" s="22">
        <f>E22*F22</f>
        <v>0</v>
      </c>
      <c r="H22" s="22">
        <f>G22-D22</f>
        <v>0</v>
      </c>
      <c r="I22" s="23">
        <f>IF(ISERROR(H22/D22),0,(H22/D22))</f>
        <v>0</v>
      </c>
      <c r="J22" s="23">
        <f t="shared" si="5"/>
        <v>0</v>
      </c>
      <c r="K22" s="108">
        <f t="shared" si="3"/>
        <v>0</v>
      </c>
    </row>
    <row r="23" spans="1:11" s="1" customFormat="1" x14ac:dyDescent="0.2">
      <c r="A23" s="110" t="s">
        <v>72</v>
      </c>
      <c r="B23" s="74"/>
      <c r="C23" s="35"/>
      <c r="D23" s="35">
        <f>SUM(D19:D22)</f>
        <v>29.68</v>
      </c>
      <c r="E23" s="73"/>
      <c r="F23" s="35"/>
      <c r="G23" s="35">
        <f>SUM(G19:G22)</f>
        <v>30.76</v>
      </c>
      <c r="H23" s="35">
        <f t="shared" si="0"/>
        <v>1.0800000000000018</v>
      </c>
      <c r="I23" s="36">
        <f t="shared" si="1"/>
        <v>3.6388140161725133E-2</v>
      </c>
      <c r="J23" s="36">
        <f t="shared" si="5"/>
        <v>0.37841891796627991</v>
      </c>
      <c r="K23" s="111">
        <f t="shared" si="3"/>
        <v>0.36383141376911432</v>
      </c>
    </row>
    <row r="24" spans="1:11" s="1" customFormat="1" x14ac:dyDescent="0.2">
      <c r="A24" s="119" t="s">
        <v>73</v>
      </c>
      <c r="B24" s="120">
        <v>1</v>
      </c>
      <c r="C24" s="78">
        <f>VLOOKUP($B$3,'Data for Bill Impacts'!$A$3:$Y$21,9,0)</f>
        <v>0.79</v>
      </c>
      <c r="D24" s="22">
        <f>B24*C24</f>
        <v>0.79</v>
      </c>
      <c r="E24" s="73">
        <v>1</v>
      </c>
      <c r="F24" s="78">
        <f>VLOOKUP($B$3,'Data for Bill Impacts'!$A$3:$Y$21,18,0)</f>
        <v>0.79</v>
      </c>
      <c r="G24" s="22">
        <f>E24*F24</f>
        <v>0.79</v>
      </c>
      <c r="H24" s="22">
        <f t="shared" si="0"/>
        <v>0</v>
      </c>
      <c r="I24" s="23">
        <f>IF(ISERROR(H24/D24),0,(H24/D24))</f>
        <v>0</v>
      </c>
      <c r="J24" s="23">
        <f t="shared" si="5"/>
        <v>9.7188213651937944E-3</v>
      </c>
      <c r="K24" s="108">
        <f t="shared" si="3"/>
        <v>9.3441748009622985E-3</v>
      </c>
    </row>
    <row r="25" spans="1:11" s="1" customFormat="1" x14ac:dyDescent="0.2">
      <c r="A25" s="119" t="s">
        <v>75</v>
      </c>
      <c r="B25" s="120">
        <f>C8-C4</f>
        <v>15.08499999999998</v>
      </c>
      <c r="C25" s="121">
        <f>IF(B4&gt;B7,C13,C12)</f>
        <v>0.10299999999999999</v>
      </c>
      <c r="D25" s="22">
        <f>B25*C25</f>
        <v>1.5537549999999978</v>
      </c>
      <c r="E25" s="120">
        <f>B8-B4</f>
        <v>19.949999999999989</v>
      </c>
      <c r="F25" s="121">
        <f>C25</f>
        <v>0.10299999999999999</v>
      </c>
      <c r="G25" s="22">
        <f>E25*F25</f>
        <v>2.0548499999999987</v>
      </c>
      <c r="H25" s="22">
        <f t="shared" si="0"/>
        <v>0.50109500000000096</v>
      </c>
      <c r="I25" s="23">
        <f>IF(ISERROR(H25/D25),0,(H25/D25))</f>
        <v>0.32250580046403821</v>
      </c>
      <c r="J25" s="23">
        <f t="shared" si="5"/>
        <v>2.5279392509200579E-2</v>
      </c>
      <c r="K25" s="108">
        <f t="shared" si="3"/>
        <v>2.4304908341465023E-2</v>
      </c>
    </row>
    <row r="26" spans="1:11" s="1" customFormat="1" x14ac:dyDescent="0.2">
      <c r="A26" s="119" t="s">
        <v>74</v>
      </c>
      <c r="B26" s="120">
        <f>C8-C4</f>
        <v>15.08499999999998</v>
      </c>
      <c r="C26" s="121">
        <f>0.65*C15+0.17*C16+0.18*C17</f>
        <v>0.11139</v>
      </c>
      <c r="D26" s="22">
        <f>B26*C26</f>
        <v>1.6803181499999977</v>
      </c>
      <c r="E26" s="120">
        <f>B8-B4</f>
        <v>19.949999999999989</v>
      </c>
      <c r="F26" s="121">
        <f>C26</f>
        <v>0.11139</v>
      </c>
      <c r="G26" s="22">
        <f>E26*F26</f>
        <v>2.2222304999999989</v>
      </c>
      <c r="H26" s="22">
        <f t="shared" si="0"/>
        <v>0.54191235000000115</v>
      </c>
      <c r="I26" s="23">
        <f>IF(ISERROR(H26/D26),0,(H26/D26))</f>
        <v>0.32250580046403826</v>
      </c>
      <c r="J26" s="23">
        <f t="shared" si="5"/>
        <v>2.7338558559221869E-2</v>
      </c>
      <c r="K26" s="108">
        <f t="shared" si="3"/>
        <v>2.6284696506366886E-2</v>
      </c>
    </row>
    <row r="27" spans="1:11" s="1" customFormat="1" x14ac:dyDescent="0.2">
      <c r="A27" s="110" t="s">
        <v>78</v>
      </c>
      <c r="B27" s="74"/>
      <c r="C27" s="35"/>
      <c r="D27" s="35">
        <f>SUM(D23,D24:D25)</f>
        <v>32.023754999999994</v>
      </c>
      <c r="E27" s="73"/>
      <c r="F27" s="35"/>
      <c r="G27" s="35">
        <f>SUM(G23,G24:G25)</f>
        <v>33.604849999999999</v>
      </c>
      <c r="H27" s="35">
        <f t="shared" si="0"/>
        <v>1.5810950000000048</v>
      </c>
      <c r="I27" s="36">
        <f>IF(ISERROR(H27/D27),0,(H27/D27))</f>
        <v>4.9372567333218889E-2</v>
      </c>
      <c r="J27" s="36">
        <f t="shared" si="5"/>
        <v>0.41341713184067425</v>
      </c>
      <c r="K27" s="111">
        <f t="shared" si="3"/>
        <v>0.39748049691154164</v>
      </c>
    </row>
    <row r="28" spans="1:11" s="1" customFormat="1" x14ac:dyDescent="0.2">
      <c r="A28" s="110" t="s">
        <v>77</v>
      </c>
      <c r="B28" s="74"/>
      <c r="C28" s="35"/>
      <c r="D28" s="35">
        <f>SUM(D23,D24,D26)</f>
        <v>32.150318149999997</v>
      </c>
      <c r="E28" s="73"/>
      <c r="F28" s="35"/>
      <c r="G28" s="35">
        <f>SUM(G23,G24,G26)</f>
        <v>33.772230499999999</v>
      </c>
      <c r="H28" s="35">
        <f t="shared" si="0"/>
        <v>1.6219123500000023</v>
      </c>
      <c r="I28" s="36">
        <f>IF(ISERROR(H28/D28),0,(H28/D28))</f>
        <v>5.044778538217988E-2</v>
      </c>
      <c r="J28" s="36">
        <f t="shared" si="5"/>
        <v>0.41547629789069557</v>
      </c>
      <c r="K28" s="111">
        <f t="shared" si="3"/>
        <v>0.39946028507644349</v>
      </c>
    </row>
    <row r="29" spans="1:11" x14ac:dyDescent="0.2">
      <c r="A29" s="107" t="s">
        <v>40</v>
      </c>
      <c r="B29" s="73">
        <f>C8</f>
        <v>365.08499999999998</v>
      </c>
      <c r="C29" s="78">
        <f>VLOOKUP($B$3,'Data for Bill Impacts'!$A$3:$Y$21,15,0)</f>
        <v>7.1999999999999998E-3</v>
      </c>
      <c r="D29" s="22">
        <f>B29*C29</f>
        <v>2.6286119999999999</v>
      </c>
      <c r="E29" s="73">
        <f>B8</f>
        <v>369.95</v>
      </c>
      <c r="F29" s="78">
        <f>VLOOKUP($B$3,'Data for Bill Impacts'!$A$3:$Y$21,24,0)</f>
        <v>7.3000000000000001E-3</v>
      </c>
      <c r="G29" s="22">
        <f>E29*F29</f>
        <v>2.7006350000000001</v>
      </c>
      <c r="H29" s="22">
        <f t="shared" si="0"/>
        <v>7.202300000000017E-2</v>
      </c>
      <c r="I29" s="23">
        <f t="shared" si="1"/>
        <v>2.7399631440471309E-2</v>
      </c>
      <c r="J29" s="23">
        <f t="shared" si="5"/>
        <v>3.3224036883025498E-2</v>
      </c>
      <c r="K29" s="108">
        <f t="shared" si="3"/>
        <v>3.1943298118476987E-2</v>
      </c>
    </row>
    <row r="30" spans="1:11" x14ac:dyDescent="0.2">
      <c r="A30" s="107" t="s">
        <v>41</v>
      </c>
      <c r="B30" s="73">
        <f>C8</f>
        <v>365.08499999999998</v>
      </c>
      <c r="C30" s="126">
        <f>VLOOKUP($B$3,'Data for Bill Impacts'!$A$3:$Y$21,16,0)</f>
        <v>5.5688910375990336E-3</v>
      </c>
      <c r="D30" s="22">
        <f>B30*C30</f>
        <v>2.0331185844618429</v>
      </c>
      <c r="E30" s="73">
        <f>B8</f>
        <v>369.95</v>
      </c>
      <c r="F30" s="78">
        <f>VLOOKUP($B$3,'Data for Bill Impacts'!$A$3:$Y$21,25,0)</f>
        <v>6.1999999999999998E-3</v>
      </c>
      <c r="G30" s="22">
        <f>E30*F30</f>
        <v>2.2936899999999998</v>
      </c>
      <c r="H30" s="22">
        <f t="shared" si="0"/>
        <v>0.26057141553815688</v>
      </c>
      <c r="I30" s="23">
        <f t="shared" si="1"/>
        <v>0.12816341237032611</v>
      </c>
      <c r="J30" s="23">
        <f t="shared" si="5"/>
        <v>2.8217675160925763E-2</v>
      </c>
      <c r="K30" s="108">
        <f t="shared" si="3"/>
        <v>2.7129924429391408E-2</v>
      </c>
    </row>
    <row r="31" spans="1:11" s="1" customFormat="1" x14ac:dyDescent="0.2">
      <c r="A31" s="110" t="s">
        <v>76</v>
      </c>
      <c r="B31" s="74"/>
      <c r="C31" s="35"/>
      <c r="D31" s="35">
        <f>SUM(D29:D30)</f>
        <v>4.6617305844618429</v>
      </c>
      <c r="E31" s="73"/>
      <c r="F31" s="35"/>
      <c r="G31" s="35">
        <f>SUM(G29:G30)</f>
        <v>4.9943249999999999</v>
      </c>
      <c r="H31" s="35">
        <f t="shared" si="0"/>
        <v>0.33259441553815705</v>
      </c>
      <c r="I31" s="36">
        <f t="shared" si="1"/>
        <v>7.1345696520244584E-2</v>
      </c>
      <c r="J31" s="36">
        <f t="shared" si="5"/>
        <v>6.1441712043951262E-2</v>
      </c>
      <c r="K31" s="111">
        <f t="shared" si="3"/>
        <v>5.9073222547868391E-2</v>
      </c>
    </row>
    <row r="32" spans="1:11" s="1" customFormat="1" x14ac:dyDescent="0.2">
      <c r="A32" s="110" t="s">
        <v>95</v>
      </c>
      <c r="B32" s="74"/>
      <c r="C32" s="35"/>
      <c r="D32" s="35">
        <f>D27+D31</f>
        <v>36.685485584461837</v>
      </c>
      <c r="E32" s="73"/>
      <c r="F32" s="35"/>
      <c r="G32" s="35">
        <f>G27+G31</f>
        <v>38.599175000000002</v>
      </c>
      <c r="H32" s="35">
        <f t="shared" si="0"/>
        <v>1.9136894155381654</v>
      </c>
      <c r="I32" s="36">
        <f t="shared" si="1"/>
        <v>5.2164756307565681E-2</v>
      </c>
      <c r="J32" s="36">
        <f t="shared" si="5"/>
        <v>0.47485884388462557</v>
      </c>
      <c r="K32" s="111">
        <f t="shared" si="3"/>
        <v>0.45655371945941009</v>
      </c>
    </row>
    <row r="33" spans="1:11" s="1" customFormat="1" x14ac:dyDescent="0.2">
      <c r="A33" s="110" t="s">
        <v>96</v>
      </c>
      <c r="B33" s="74"/>
      <c r="C33" s="35"/>
      <c r="D33" s="35">
        <f>D28+D31</f>
        <v>36.81204873446184</v>
      </c>
      <c r="E33" s="73"/>
      <c r="F33" s="35"/>
      <c r="G33" s="35">
        <f>G28+G31</f>
        <v>38.766555499999996</v>
      </c>
      <c r="H33" s="35">
        <f t="shared" si="0"/>
        <v>1.9545067655381558</v>
      </c>
      <c r="I33" s="36">
        <f t="shared" si="1"/>
        <v>5.3094213246230752E-2</v>
      </c>
      <c r="J33" s="36">
        <f t="shared" si="5"/>
        <v>0.47691800993464678</v>
      </c>
      <c r="K33" s="111">
        <f t="shared" si="3"/>
        <v>0.45853350762431183</v>
      </c>
    </row>
    <row r="34" spans="1:11" x14ac:dyDescent="0.2">
      <c r="A34" s="107" t="s">
        <v>42</v>
      </c>
      <c r="B34" s="73">
        <f>C8</f>
        <v>365.08499999999998</v>
      </c>
      <c r="C34" s="34">
        <v>3.5999999999999999E-3</v>
      </c>
      <c r="D34" s="22">
        <f>B34*C34</f>
        <v>1.314306</v>
      </c>
      <c r="E34" s="73">
        <f>B8</f>
        <v>369.95</v>
      </c>
      <c r="F34" s="34">
        <v>3.5999999999999999E-3</v>
      </c>
      <c r="G34" s="22">
        <f>E34*F34</f>
        <v>1.33182</v>
      </c>
      <c r="H34" s="22">
        <f t="shared" si="0"/>
        <v>1.751400000000003E-2</v>
      </c>
      <c r="I34" s="23">
        <f t="shared" si="1"/>
        <v>1.3325663886492209E-2</v>
      </c>
      <c r="J34" s="23">
        <f t="shared" si="5"/>
        <v>1.6384456545053671E-2</v>
      </c>
      <c r="K34" s="108">
        <f t="shared" si="3"/>
        <v>1.5752859346098238E-2</v>
      </c>
    </row>
    <row r="35" spans="1:11" x14ac:dyDescent="0.2">
      <c r="A35" s="107" t="s">
        <v>43</v>
      </c>
      <c r="B35" s="73">
        <f>C8</f>
        <v>365.08499999999998</v>
      </c>
      <c r="C35" s="34">
        <v>2.0999999999999999E-3</v>
      </c>
      <c r="D35" s="22">
        <f>B35*C35</f>
        <v>0.76667849999999993</v>
      </c>
      <c r="E35" s="73">
        <f>B8</f>
        <v>369.95</v>
      </c>
      <c r="F35" s="34">
        <v>2.0999999999999999E-3</v>
      </c>
      <c r="G35" s="22">
        <f>E35*F35</f>
        <v>0.77689499999999989</v>
      </c>
      <c r="H35" s="22">
        <f>G35-D35</f>
        <v>1.0216499999999962E-2</v>
      </c>
      <c r="I35" s="23">
        <f t="shared" si="1"/>
        <v>1.3325663886492138E-2</v>
      </c>
      <c r="J35" s="23">
        <f t="shared" si="5"/>
        <v>9.5575996512813066E-3</v>
      </c>
      <c r="K35" s="108">
        <f t="shared" si="3"/>
        <v>9.1891679518906373E-3</v>
      </c>
    </row>
    <row r="36" spans="1:11" x14ac:dyDescent="0.2">
      <c r="A36" s="107" t="s">
        <v>100</v>
      </c>
      <c r="B36" s="73">
        <f>C8</f>
        <v>365.08499999999998</v>
      </c>
      <c r="C36" s="34">
        <v>1.1000000000000001E-3</v>
      </c>
      <c r="D36" s="22">
        <f>B36*C36</f>
        <v>0.40159349999999999</v>
      </c>
      <c r="E36" s="73">
        <f>B8</f>
        <v>369.95</v>
      </c>
      <c r="F36" s="34">
        <v>1.1000000000000001E-3</v>
      </c>
      <c r="G36" s="22">
        <f>E36*F36</f>
        <v>0.406945</v>
      </c>
      <c r="H36" s="22">
        <f>G36-D36</f>
        <v>5.351500000000009E-3</v>
      </c>
      <c r="I36" s="23">
        <f t="shared" si="1"/>
        <v>1.3325663886492209E-2</v>
      </c>
      <c r="J36" s="23">
        <f t="shared" si="5"/>
        <v>5.0063617220997324E-3</v>
      </c>
      <c r="K36" s="108">
        <f t="shared" si="3"/>
        <v>4.8133736890855726E-3</v>
      </c>
    </row>
    <row r="37" spans="1:11" x14ac:dyDescent="0.2">
      <c r="A37" s="107" t="s">
        <v>44</v>
      </c>
      <c r="B37" s="73">
        <v>1</v>
      </c>
      <c r="C37" s="22">
        <v>0.25</v>
      </c>
      <c r="D37" s="22">
        <f>B37*C37</f>
        <v>0.25</v>
      </c>
      <c r="E37" s="73">
        <v>1</v>
      </c>
      <c r="F37" s="22">
        <f>C37</f>
        <v>0.25</v>
      </c>
      <c r="G37" s="22">
        <f>E37*F37</f>
        <v>0.25</v>
      </c>
      <c r="H37" s="22">
        <f t="shared" si="0"/>
        <v>0</v>
      </c>
      <c r="I37" s="23">
        <f t="shared" si="1"/>
        <v>0</v>
      </c>
      <c r="J37" s="23">
        <f t="shared" si="5"/>
        <v>3.0755763813904414E-3</v>
      </c>
      <c r="K37" s="108">
        <f t="shared" si="3"/>
        <v>2.9570173420766766E-3</v>
      </c>
    </row>
    <row r="38" spans="1:11" s="1" customFormat="1" x14ac:dyDescent="0.2">
      <c r="A38" s="110" t="s">
        <v>45</v>
      </c>
      <c r="B38" s="74"/>
      <c r="C38" s="35"/>
      <c r="D38" s="35">
        <f>SUM(D34:D37)</f>
        <v>2.7325780000000002</v>
      </c>
      <c r="E38" s="73"/>
      <c r="F38" s="35"/>
      <c r="G38" s="35">
        <f>SUM(G34:G37)</f>
        <v>2.76566</v>
      </c>
      <c r="H38" s="35">
        <f t="shared" si="0"/>
        <v>3.3081999999999834E-2</v>
      </c>
      <c r="I38" s="36">
        <f t="shared" si="1"/>
        <v>1.2106516264128538E-2</v>
      </c>
      <c r="J38" s="36">
        <f t="shared" si="5"/>
        <v>3.4023994299825153E-2</v>
      </c>
      <c r="K38" s="111">
        <f t="shared" si="3"/>
        <v>3.271241832915113E-2</v>
      </c>
    </row>
    <row r="39" spans="1:11" s="1" customFormat="1" ht="13.5" thickBot="1" x14ac:dyDescent="0.25">
      <c r="A39" s="112" t="s">
        <v>46</v>
      </c>
      <c r="B39" s="113">
        <f>C4</f>
        <v>350</v>
      </c>
      <c r="C39" s="114">
        <v>0</v>
      </c>
      <c r="D39" s="115">
        <f>B39*C39</f>
        <v>0</v>
      </c>
      <c r="E39" s="116">
        <f>B4</f>
        <v>350</v>
      </c>
      <c r="F39" s="114">
        <f>C39</f>
        <v>0</v>
      </c>
      <c r="G39" s="115">
        <f>E39*F39</f>
        <v>0</v>
      </c>
      <c r="H39" s="115">
        <f t="shared" si="0"/>
        <v>0</v>
      </c>
      <c r="I39" s="117">
        <f t="shared" si="1"/>
        <v>0</v>
      </c>
      <c r="J39" s="117">
        <f t="shared" si="5"/>
        <v>0</v>
      </c>
      <c r="K39" s="118">
        <f t="shared" si="3"/>
        <v>0</v>
      </c>
    </row>
    <row r="40" spans="1:11" s="1" customFormat="1" x14ac:dyDescent="0.2">
      <c r="A40" s="37" t="s">
        <v>137</v>
      </c>
      <c r="B40" s="38"/>
      <c r="C40" s="39"/>
      <c r="D40" s="39">
        <f>SUM(D14,D23,D24,D25,D31,D38,D39)</f>
        <v>75.468063584461831</v>
      </c>
      <c r="E40" s="38"/>
      <c r="F40" s="39"/>
      <c r="G40" s="39">
        <f>SUM(G14,G23,G24,G25,G31,G38,G39)</f>
        <v>77.414835000000011</v>
      </c>
      <c r="H40" s="39">
        <f t="shared" si="0"/>
        <v>1.9467714155381799</v>
      </c>
      <c r="I40" s="40">
        <f>IF(ISERROR(H40/D40),0,(H40/D40))</f>
        <v>2.5795963525146046E-2</v>
      </c>
      <c r="J40" s="40">
        <f t="shared" si="5"/>
        <v>0.95238095238095244</v>
      </c>
      <c r="K40" s="41"/>
    </row>
    <row r="41" spans="1:11" x14ac:dyDescent="0.2">
      <c r="A41" s="150" t="s">
        <v>138</v>
      </c>
      <c r="B41" s="43"/>
      <c r="C41" s="26">
        <v>0.13</v>
      </c>
      <c r="D41" s="26">
        <f>D40*C41</f>
        <v>9.810848265980038</v>
      </c>
      <c r="E41" s="26"/>
      <c r="F41" s="26">
        <f>C41</f>
        <v>0.13</v>
      </c>
      <c r="G41" s="26">
        <f>G40*F41</f>
        <v>10.063928550000002</v>
      </c>
      <c r="H41" s="26">
        <f t="shared" si="0"/>
        <v>0.25308028401996374</v>
      </c>
      <c r="I41" s="44">
        <f t="shared" si="1"/>
        <v>2.5795963525146081E-2</v>
      </c>
      <c r="J41" s="44">
        <f t="shared" si="5"/>
        <v>0.12380952380952383</v>
      </c>
      <c r="K41" s="45"/>
    </row>
    <row r="42" spans="1:11" s="1" customFormat="1" x14ac:dyDescent="0.2">
      <c r="A42" s="46" t="s">
        <v>139</v>
      </c>
      <c r="B42" s="24"/>
      <c r="C42" s="25"/>
      <c r="D42" s="25">
        <f>SUM(D40:D41)</f>
        <v>85.278911850441872</v>
      </c>
      <c r="E42" s="25"/>
      <c r="F42" s="25"/>
      <c r="G42" s="25">
        <f>SUM(G40:G41)</f>
        <v>87.478763550000011</v>
      </c>
      <c r="H42" s="25">
        <f t="shared" si="0"/>
        <v>2.1998516995581383</v>
      </c>
      <c r="I42" s="27">
        <f t="shared" si="1"/>
        <v>2.5795963525145987E-2</v>
      </c>
      <c r="J42" s="27">
        <f t="shared" si="5"/>
        <v>1.0761904761904764</v>
      </c>
      <c r="K42" s="47"/>
    </row>
    <row r="43" spans="1:11" x14ac:dyDescent="0.2">
      <c r="A43" s="42" t="s">
        <v>140</v>
      </c>
      <c r="B43" s="43"/>
      <c r="C43" s="26">
        <v>-0.08</v>
      </c>
      <c r="D43" s="26">
        <f>D40*C43</f>
        <v>-6.0374450867569465</v>
      </c>
      <c r="E43" s="26"/>
      <c r="F43" s="26">
        <f>C43</f>
        <v>-0.08</v>
      </c>
      <c r="G43" s="26">
        <f>G40*F43</f>
        <v>-6.1931868000000012</v>
      </c>
      <c r="H43" s="26">
        <f t="shared" si="0"/>
        <v>-0.15574171324305475</v>
      </c>
      <c r="I43" s="44">
        <f t="shared" si="1"/>
        <v>2.5795963525146105E-2</v>
      </c>
      <c r="J43" s="44">
        <f t="shared" ref="J43:J44" si="8">G43/$G$44</f>
        <v>-7.6190476190476197E-2</v>
      </c>
      <c r="K43" s="45"/>
    </row>
    <row r="44" spans="1:11" s="1" customFormat="1" ht="13.5" thickBot="1" x14ac:dyDescent="0.25">
      <c r="A44" s="48" t="s">
        <v>141</v>
      </c>
      <c r="B44" s="49"/>
      <c r="C44" s="50"/>
      <c r="D44" s="50">
        <f>SUM(D42:D43)</f>
        <v>79.241466763684926</v>
      </c>
      <c r="E44" s="50"/>
      <c r="F44" s="50"/>
      <c r="G44" s="50">
        <f>SUM(G42:G43)</f>
        <v>81.285576750000004</v>
      </c>
      <c r="H44" s="50">
        <f t="shared" si="0"/>
        <v>2.0441099863150782</v>
      </c>
      <c r="I44" s="51">
        <f t="shared" si="1"/>
        <v>2.5795963525145911E-2</v>
      </c>
      <c r="J44" s="51">
        <f t="shared" si="8"/>
        <v>1</v>
      </c>
      <c r="K44" s="52"/>
    </row>
    <row r="45" spans="1:11" x14ac:dyDescent="0.2">
      <c r="A45" s="53" t="s">
        <v>142</v>
      </c>
      <c r="B45" s="54"/>
      <c r="C45" s="55"/>
      <c r="D45" s="55">
        <f>SUM(D18,D23,D24,D26,D31,D38,D39)</f>
        <v>78.531126734461836</v>
      </c>
      <c r="E45" s="55"/>
      <c r="F45" s="55"/>
      <c r="G45" s="55">
        <f>SUM(G18,G23,G24,G26,G31,G38,G39)</f>
        <v>80.518715499999999</v>
      </c>
      <c r="H45" s="55">
        <f>G45-D45</f>
        <v>1.9875887655381632</v>
      </c>
      <c r="I45" s="56">
        <f>IF(ISERROR(H45/D45),0,(H45/D45))</f>
        <v>2.5309566387081379E-2</v>
      </c>
      <c r="J45" s="56"/>
      <c r="K45" s="57">
        <f>G45/$G$49</f>
        <v>0.95238095238095244</v>
      </c>
    </row>
    <row r="46" spans="1:11" x14ac:dyDescent="0.2">
      <c r="A46" s="151" t="s">
        <v>138</v>
      </c>
      <c r="B46" s="59"/>
      <c r="C46" s="31">
        <v>0.13</v>
      </c>
      <c r="D46" s="31">
        <f>D45*C46</f>
        <v>10.209046475480038</v>
      </c>
      <c r="E46" s="31"/>
      <c r="F46" s="31">
        <f>C46</f>
        <v>0.13</v>
      </c>
      <c r="G46" s="31">
        <f>G45*F46</f>
        <v>10.467433015000001</v>
      </c>
      <c r="H46" s="31">
        <f>G46-D46</f>
        <v>0.25838653951996271</v>
      </c>
      <c r="I46" s="32">
        <f>IF(ISERROR(H46/D46),0,(H46/D46))</f>
        <v>2.5309566387081529E-2</v>
      </c>
      <c r="J46" s="32"/>
      <c r="K46" s="60">
        <f>G46/$G$49</f>
        <v>0.12380952380952383</v>
      </c>
    </row>
    <row r="47" spans="1:11" x14ac:dyDescent="0.2">
      <c r="A47" s="61" t="s">
        <v>143</v>
      </c>
      <c r="B47" s="29"/>
      <c r="C47" s="30"/>
      <c r="D47" s="30">
        <f>SUM(D45:D46)</f>
        <v>88.740173209941872</v>
      </c>
      <c r="E47" s="30"/>
      <c r="F47" s="30"/>
      <c r="G47" s="30">
        <f>SUM(G45:G46)</f>
        <v>90.986148514999996</v>
      </c>
      <c r="H47" s="30">
        <f>G47-D47</f>
        <v>2.2459753050581241</v>
      </c>
      <c r="I47" s="33">
        <f>IF(ISERROR(H47/D47),0,(H47/D47))</f>
        <v>2.5309566387081376E-2</v>
      </c>
      <c r="J47" s="33"/>
      <c r="K47" s="62">
        <f>G47/$G$49</f>
        <v>1.0761904761904761</v>
      </c>
    </row>
    <row r="48" spans="1:11" x14ac:dyDescent="0.2">
      <c r="A48" s="58" t="s">
        <v>140</v>
      </c>
      <c r="B48" s="59"/>
      <c r="C48" s="31">
        <v>-0.08</v>
      </c>
      <c r="D48" s="31">
        <f>D45*C48</f>
        <v>-6.2824901387569474</v>
      </c>
      <c r="E48" s="31"/>
      <c r="F48" s="31">
        <f>C48</f>
        <v>-0.08</v>
      </c>
      <c r="G48" s="31">
        <f>G45*F48</f>
        <v>-6.4414972400000003</v>
      </c>
      <c r="H48" s="31">
        <f>G48-D48</f>
        <v>-0.15900710124305295</v>
      </c>
      <c r="I48" s="32">
        <f>IF(ISERROR(H48/D48),0,(H48/D48))</f>
        <v>2.5309566387081362E-2</v>
      </c>
      <c r="J48" s="32"/>
      <c r="K48" s="60">
        <f>G48/$G$49</f>
        <v>-7.6190476190476197E-2</v>
      </c>
    </row>
    <row r="49" spans="1:11" ht="13.5" thickBot="1" x14ac:dyDescent="0.25">
      <c r="A49" s="63" t="s">
        <v>144</v>
      </c>
      <c r="B49" s="64"/>
      <c r="C49" s="65"/>
      <c r="D49" s="65">
        <f>SUM(D47:D48)</f>
        <v>82.457683071184931</v>
      </c>
      <c r="E49" s="65"/>
      <c r="F49" s="65"/>
      <c r="G49" s="65">
        <f>SUM(G47:G48)</f>
        <v>84.544651274999993</v>
      </c>
      <c r="H49" s="65">
        <f>G49-D49</f>
        <v>2.0869682038150614</v>
      </c>
      <c r="I49" s="66">
        <f>IF(ISERROR(H49/D49),0,(H49/D49))</f>
        <v>2.5309566387081258E-2</v>
      </c>
      <c r="J49" s="66"/>
      <c r="K49" s="67">
        <f>G49/$G$49</f>
        <v>1</v>
      </c>
    </row>
    <row r="50" spans="1:11" x14ac:dyDescent="0.2">
      <c r="C50" s="68"/>
      <c r="F50" s="69"/>
    </row>
    <row r="51" spans="1:11" x14ac:dyDescent="0.2">
      <c r="F51" s="69"/>
    </row>
    <row r="52" spans="1:11" x14ac:dyDescent="0.2">
      <c r="F52" s="69"/>
    </row>
    <row r="53" spans="1:11" x14ac:dyDescent="0.2">
      <c r="A53" s="70"/>
      <c r="B53" s="71"/>
      <c r="F53" s="69"/>
    </row>
    <row r="54" spans="1:11" x14ac:dyDescent="0.2">
      <c r="B54" s="71"/>
      <c r="F54" s="69"/>
    </row>
    <row r="55" spans="1:11" x14ac:dyDescent="0.2">
      <c r="F55" s="69"/>
    </row>
    <row r="56" spans="1:11" x14ac:dyDescent="0.2">
      <c r="D56" s="72"/>
      <c r="F56" s="69"/>
    </row>
    <row r="57" spans="1:11" x14ac:dyDescent="0.2">
      <c r="F57" s="69"/>
    </row>
    <row r="58" spans="1:11" x14ac:dyDescent="0.2">
      <c r="A58" s="70"/>
      <c r="B58" s="71"/>
      <c r="F58" s="69"/>
    </row>
    <row r="59" spans="1:11" x14ac:dyDescent="0.2">
      <c r="B59" s="72"/>
      <c r="D59" s="72"/>
      <c r="F59" s="69"/>
    </row>
    <row r="60" spans="1:11" x14ac:dyDescent="0.2">
      <c r="F60" s="69"/>
    </row>
    <row r="61" spans="1:11" x14ac:dyDescent="0.2">
      <c r="F61" s="69"/>
    </row>
    <row r="62" spans="1:11" x14ac:dyDescent="0.2">
      <c r="F62" s="69"/>
      <c r="K62"/>
    </row>
    <row r="63" spans="1:11" x14ac:dyDescent="0.2">
      <c r="F63" s="69"/>
      <c r="K63"/>
    </row>
    <row r="64" spans="1:11" x14ac:dyDescent="0.2">
      <c r="F64" s="69"/>
      <c r="K64"/>
    </row>
    <row r="65" spans="6:11" x14ac:dyDescent="0.2">
      <c r="F65" s="69"/>
      <c r="K65"/>
    </row>
    <row r="66" spans="6:11" x14ac:dyDescent="0.2">
      <c r="F66" s="69"/>
      <c r="K66"/>
    </row>
  </sheetData>
  <mergeCells count="1">
    <mergeCell ref="A1:K1"/>
  </mergeCell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'Data for Bill Impacts'!$A$3:$A$21</xm:f>
          </x14:formula1>
          <xm:sqref>B3</xm:sqref>
        </x14:dataValidation>
        <x14:dataValidation type="list" allowBlank="1" showInputMessage="1" showErrorMessage="1">
          <x14:formula1>
            <xm:f>'Data for Bill Impacts'!$A$3:$A$39</xm:f>
          </x14:formula1>
          <xm:sqref>C3</xm:sqref>
        </x14:dataValidation>
      </x14:dataValidations>
    </ext>
  </extLs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pageSetUpPr fitToPage="1"/>
  </sheetPr>
  <dimension ref="A1:K66"/>
  <sheetViews>
    <sheetView topLeftCell="A19" workbookViewId="0">
      <selection activeCell="C19" sqref="C19"/>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48" t="s">
        <v>112</v>
      </c>
      <c r="B1" s="349"/>
      <c r="C1" s="349"/>
      <c r="D1" s="349"/>
      <c r="E1" s="349"/>
      <c r="F1" s="349"/>
      <c r="G1" s="349"/>
      <c r="H1" s="349"/>
      <c r="I1" s="349"/>
      <c r="J1" s="349"/>
      <c r="K1" s="350"/>
    </row>
    <row r="3" spans="1:11" x14ac:dyDescent="0.2">
      <c r="A3" s="13" t="s">
        <v>13</v>
      </c>
      <c r="B3" s="13" t="s">
        <v>195</v>
      </c>
      <c r="C3" s="13" t="s">
        <v>113</v>
      </c>
    </row>
    <row r="4" spans="1:11" x14ac:dyDescent="0.2">
      <c r="A4" s="15" t="s">
        <v>62</v>
      </c>
      <c r="B4" s="79">
        <f>C4</f>
        <v>600</v>
      </c>
      <c r="C4" s="79">
        <f>'Data for Bill Impacts_HONI Avg '!D16</f>
        <v>600</v>
      </c>
    </row>
    <row r="5" spans="1:11" x14ac:dyDescent="0.2">
      <c r="A5" s="15" t="s">
        <v>16</v>
      </c>
      <c r="B5" s="15">
        <f>VLOOKUP($B$3,'Data for Bill Impacts'!$A$3:$Y$21,5,0)</f>
        <v>0</v>
      </c>
      <c r="C5" s="15">
        <f>VLOOKUP($B$3,'Data for Bill Impacts'!$A$3:$Y$21,5,0)</f>
        <v>0</v>
      </c>
    </row>
    <row r="6" spans="1:11" x14ac:dyDescent="0.2">
      <c r="A6" s="15" t="s">
        <v>20</v>
      </c>
      <c r="B6" s="15">
        <f>VLOOKUP($B$3,'Data for Bill Impacts'!$A$3:$Y$21,2,0)</f>
        <v>1.0569999999999999</v>
      </c>
      <c r="C6" s="15">
        <f>VLOOKUP($C$3,'Data for Bill Impacts'!$A$3:$Y$30,2,0)</f>
        <v>1.0430999999999999</v>
      </c>
    </row>
    <row r="7" spans="1:11" x14ac:dyDescent="0.2">
      <c r="A7" s="15" t="s">
        <v>15</v>
      </c>
      <c r="B7" s="15">
        <f>VLOOKUP($B$3,'Data for Bill Impacts'!$A$3:$Y$21,4,0)</f>
        <v>600</v>
      </c>
      <c r="C7" s="15">
        <f>VLOOKUP($B$3,'Data for Bill Impacts'!$A$3:$Y$21,4,0)</f>
        <v>600</v>
      </c>
    </row>
    <row r="8" spans="1:11" x14ac:dyDescent="0.2">
      <c r="A8" s="15" t="s">
        <v>82</v>
      </c>
      <c r="B8" s="193">
        <f>B4*B6</f>
        <v>634.19999999999993</v>
      </c>
      <c r="C8" s="193">
        <f>C4*C6</f>
        <v>625.8599999999999</v>
      </c>
    </row>
    <row r="9" spans="1:11" x14ac:dyDescent="0.2">
      <c r="A9" s="15" t="s">
        <v>21</v>
      </c>
      <c r="B9" s="16" t="str">
        <f>VLOOKUP($B$3,'Data for Bill Impacts'!$A$3:$Y$21,6,0)</f>
        <v>kWh</v>
      </c>
      <c r="C9" s="16" t="str">
        <f>VLOOKUP($B$3,'Data for Bill Impacts'!$A$3:$Y$21,6,0)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IF(C4&gt;C7,C7,C4)</f>
        <v>600</v>
      </c>
      <c r="C12" s="103">
        <v>0.10299999999999999</v>
      </c>
      <c r="D12" s="104">
        <f>B12*C12</f>
        <v>61.8</v>
      </c>
      <c r="E12" s="102">
        <f>IF(B4&gt;B7,B7,B4)</f>
        <v>600</v>
      </c>
      <c r="F12" s="103">
        <f>C12</f>
        <v>0.10299999999999999</v>
      </c>
      <c r="G12" s="104">
        <f>E12*F12</f>
        <v>61.8</v>
      </c>
      <c r="H12" s="104">
        <f>G12-D12</f>
        <v>0</v>
      </c>
      <c r="I12" s="105">
        <f>IF(ISERROR(H12/D12),0,(H12/D12))</f>
        <v>0</v>
      </c>
      <c r="J12" s="105">
        <f>G12/$G$44</f>
        <v>0.53508020917272414</v>
      </c>
      <c r="K12" s="106"/>
    </row>
    <row r="13" spans="1:11" x14ac:dyDescent="0.2">
      <c r="A13" s="107" t="s">
        <v>32</v>
      </c>
      <c r="B13" s="73">
        <f>IF(C4&gt;C7,(C4)-C7,0)</f>
        <v>0</v>
      </c>
      <c r="C13" s="21">
        <v>0.121</v>
      </c>
      <c r="D13" s="22">
        <f>IF(B4&gt;B7,(B4)-B7,0)</f>
        <v>0</v>
      </c>
      <c r="E13" s="73">
        <f>IF(B4&gt;B7,(B4)-B7,0)</f>
        <v>0</v>
      </c>
      <c r="F13" s="21">
        <f>C13</f>
        <v>0.121</v>
      </c>
      <c r="G13" s="22">
        <f>E13*F13</f>
        <v>0</v>
      </c>
      <c r="H13" s="22">
        <f t="shared" ref="H13:H44" si="0">G13-D13</f>
        <v>0</v>
      </c>
      <c r="I13" s="23">
        <f t="shared" ref="I13:I44" si="1">IF(ISERROR(H13/D13),0,(H13/D13))</f>
        <v>0</v>
      </c>
      <c r="J13" s="23">
        <f>G13/$G$44</f>
        <v>0</v>
      </c>
      <c r="K13" s="108"/>
    </row>
    <row r="14" spans="1:11" s="1" customFormat="1" x14ac:dyDescent="0.2">
      <c r="A14" s="46" t="s">
        <v>33</v>
      </c>
      <c r="B14" s="24"/>
      <c r="C14" s="25"/>
      <c r="D14" s="25">
        <f>SUM(D12:D13)</f>
        <v>61.8</v>
      </c>
      <c r="E14" s="76"/>
      <c r="F14" s="25"/>
      <c r="G14" s="25">
        <f>SUM(G12:G13)</f>
        <v>61.8</v>
      </c>
      <c r="H14" s="25">
        <f t="shared" si="0"/>
        <v>0</v>
      </c>
      <c r="I14" s="27">
        <f t="shared" si="1"/>
        <v>0</v>
      </c>
      <c r="J14" s="27">
        <f>G14/$G$44</f>
        <v>0.53508020917272414</v>
      </c>
      <c r="K14" s="108"/>
    </row>
    <row r="15" spans="1:11" s="1" customFormat="1" x14ac:dyDescent="0.2">
      <c r="A15" s="109" t="s">
        <v>34</v>
      </c>
      <c r="B15" s="75">
        <f>C4*0.65</f>
        <v>390</v>
      </c>
      <c r="C15" s="28">
        <v>8.6999999999999994E-2</v>
      </c>
      <c r="D15" s="272">
        <f>B15*C15</f>
        <v>33.93</v>
      </c>
      <c r="E15" s="75">
        <f>B4*0.65</f>
        <v>390</v>
      </c>
      <c r="F15" s="28">
        <f t="shared" ref="F15:F17" si="2">C15</f>
        <v>8.6999999999999994E-2</v>
      </c>
      <c r="G15" s="22">
        <f>E15*F15</f>
        <v>33.93</v>
      </c>
      <c r="H15" s="22">
        <f t="shared" si="0"/>
        <v>0</v>
      </c>
      <c r="I15" s="23">
        <f t="shared" si="1"/>
        <v>0</v>
      </c>
      <c r="J15" s="23"/>
      <c r="K15" s="108">
        <f t="shared" ref="K15:K39" si="3">G15/$G$49</f>
        <v>0.28021941343595297</v>
      </c>
    </row>
    <row r="16" spans="1:11" s="1" customFormat="1" x14ac:dyDescent="0.2">
      <c r="A16" s="109" t="s">
        <v>35</v>
      </c>
      <c r="B16" s="75">
        <f>C4*0.17</f>
        <v>102.00000000000001</v>
      </c>
      <c r="C16" s="28">
        <v>0.13200000000000001</v>
      </c>
      <c r="D16" s="272">
        <f t="shared" ref="D16:D17" si="4">B16*C16</f>
        <v>13.464000000000002</v>
      </c>
      <c r="E16" s="75">
        <f>B4*0.17</f>
        <v>102.00000000000001</v>
      </c>
      <c r="F16" s="28">
        <f t="shared" si="2"/>
        <v>0.13200000000000001</v>
      </c>
      <c r="G16" s="22">
        <f>E16*F16</f>
        <v>13.464000000000002</v>
      </c>
      <c r="H16" s="22">
        <f t="shared" si="0"/>
        <v>0</v>
      </c>
      <c r="I16" s="23">
        <f t="shared" si="1"/>
        <v>0</v>
      </c>
      <c r="J16" s="23"/>
      <c r="K16" s="108">
        <f t="shared" si="3"/>
        <v>0.11119582029182645</v>
      </c>
    </row>
    <row r="17" spans="1:11" s="1" customFormat="1" x14ac:dyDescent="0.2">
      <c r="A17" s="109" t="s">
        <v>36</v>
      </c>
      <c r="B17" s="75">
        <f>C4*0.18</f>
        <v>108</v>
      </c>
      <c r="C17" s="28">
        <v>0.18</v>
      </c>
      <c r="D17" s="272">
        <f t="shared" si="4"/>
        <v>19.439999999999998</v>
      </c>
      <c r="E17" s="75">
        <f>B4*0.18</f>
        <v>108</v>
      </c>
      <c r="F17" s="28">
        <f t="shared" si="2"/>
        <v>0.18</v>
      </c>
      <c r="G17" s="22">
        <f>E17*F17</f>
        <v>19.439999999999998</v>
      </c>
      <c r="H17" s="22">
        <f t="shared" si="0"/>
        <v>0</v>
      </c>
      <c r="I17" s="23">
        <f t="shared" si="1"/>
        <v>0</v>
      </c>
      <c r="J17" s="23"/>
      <c r="K17" s="108">
        <f t="shared" si="3"/>
        <v>0.16055011485985632</v>
      </c>
    </row>
    <row r="18" spans="1:11" s="1" customFormat="1" x14ac:dyDescent="0.2">
      <c r="A18" s="61" t="s">
        <v>37</v>
      </c>
      <c r="B18" s="29"/>
      <c r="C18" s="30"/>
      <c r="D18" s="30">
        <f>SUM(D15:D17)</f>
        <v>66.834000000000003</v>
      </c>
      <c r="E18" s="77"/>
      <c r="F18" s="30"/>
      <c r="G18" s="30">
        <f>SUM(G15:G17)</f>
        <v>66.834000000000003</v>
      </c>
      <c r="H18" s="31">
        <f t="shared" si="0"/>
        <v>0</v>
      </c>
      <c r="I18" s="32">
        <f t="shared" si="1"/>
        <v>0</v>
      </c>
      <c r="J18" s="33">
        <f t="shared" ref="J18:J42" si="5">G18/$G$44</f>
        <v>0.57866586892960914</v>
      </c>
      <c r="K18" s="62">
        <f t="shared" si="3"/>
        <v>0.5519653485876358</v>
      </c>
    </row>
    <row r="19" spans="1:11" x14ac:dyDescent="0.2">
      <c r="A19" s="107" t="s">
        <v>38</v>
      </c>
      <c r="B19" s="73">
        <v>1</v>
      </c>
      <c r="C19" s="122">
        <f>'Data for Bill Impacts'!G22</f>
        <v>29.98</v>
      </c>
      <c r="D19" s="22">
        <f>B19*C19</f>
        <v>29.98</v>
      </c>
      <c r="E19" s="73">
        <v>1</v>
      </c>
      <c r="F19" s="122">
        <f>VLOOKUP($B$3,'Data for Bill Impacts'!$A$3:$Y$21,17,0)</f>
        <v>30.76</v>
      </c>
      <c r="G19" s="22">
        <f>E19*F19</f>
        <v>30.76</v>
      </c>
      <c r="H19" s="22">
        <f t="shared" si="0"/>
        <v>0.78000000000000114</v>
      </c>
      <c r="I19" s="23">
        <f t="shared" si="1"/>
        <v>2.601734489659777E-2</v>
      </c>
      <c r="J19" s="23">
        <f t="shared" si="5"/>
        <v>0.26632794877270216</v>
      </c>
      <c r="K19" s="108">
        <f t="shared" si="3"/>
        <v>0.25403917351281796</v>
      </c>
    </row>
    <row r="20" spans="1:11" x14ac:dyDescent="0.2">
      <c r="A20" s="107" t="s">
        <v>188</v>
      </c>
      <c r="B20" s="73">
        <v>1</v>
      </c>
      <c r="C20" s="122">
        <f>'Data for Bill Impacts'!K22</f>
        <v>-0.3</v>
      </c>
      <c r="D20" s="22">
        <f t="shared" ref="D20" si="6">B20*C20</f>
        <v>-0.3</v>
      </c>
      <c r="E20" s="73">
        <v>1</v>
      </c>
      <c r="F20" s="122">
        <v>0</v>
      </c>
      <c r="G20" s="22">
        <f t="shared" ref="G20" si="7">E20*F20</f>
        <v>0</v>
      </c>
      <c r="H20" s="22">
        <f t="shared" si="0"/>
        <v>0.3</v>
      </c>
      <c r="I20" s="23">
        <f t="shared" si="1"/>
        <v>-1</v>
      </c>
      <c r="J20" s="23">
        <f t="shared" si="5"/>
        <v>0</v>
      </c>
      <c r="K20" s="108">
        <f t="shared" si="3"/>
        <v>0</v>
      </c>
    </row>
    <row r="21" spans="1:11" x14ac:dyDescent="0.2">
      <c r="A21" s="107" t="s">
        <v>39</v>
      </c>
      <c r="B21" s="73">
        <f>IF($C$9="kWh",$C$4,$C$5)</f>
        <v>600</v>
      </c>
      <c r="C21" s="126">
        <f>'Data for Bill Impacts'!J22</f>
        <v>0</v>
      </c>
      <c r="D21" s="22">
        <f>B21*C21</f>
        <v>0</v>
      </c>
      <c r="E21" s="73">
        <f>IF($B$9="kWh",$B$4,$B$5)</f>
        <v>600</v>
      </c>
      <c r="F21" s="126">
        <f>VLOOKUP($B$3,'Data for Bill Impacts'!$A$3:$Y$21,19,0)</f>
        <v>0</v>
      </c>
      <c r="G21" s="22">
        <f>E21*F21</f>
        <v>0</v>
      </c>
      <c r="H21" s="22">
        <f t="shared" si="0"/>
        <v>0</v>
      </c>
      <c r="I21" s="23">
        <f t="shared" si="1"/>
        <v>0</v>
      </c>
      <c r="J21" s="23">
        <f t="shared" si="5"/>
        <v>0</v>
      </c>
      <c r="K21" s="108">
        <f t="shared" si="3"/>
        <v>0</v>
      </c>
    </row>
    <row r="22" spans="1:11" x14ac:dyDescent="0.2">
      <c r="A22" s="107" t="s">
        <v>190</v>
      </c>
      <c r="B22" s="73">
        <f>IF($C$9="kWh",$C$4,$C$5)</f>
        <v>600</v>
      </c>
      <c r="C22" s="126">
        <v>0</v>
      </c>
      <c r="D22" s="22">
        <f>B22*C22</f>
        <v>0</v>
      </c>
      <c r="E22" s="73">
        <f>IF($B$9="kWh",$B$4,$B$5)</f>
        <v>600</v>
      </c>
      <c r="F22" s="126">
        <v>0</v>
      </c>
      <c r="G22" s="22">
        <f>E22*F22</f>
        <v>0</v>
      </c>
      <c r="H22" s="22">
        <f>G22-D22</f>
        <v>0</v>
      </c>
      <c r="I22" s="23">
        <f>IF(ISERROR(H22/D22),0,(H22/D22))</f>
        <v>0</v>
      </c>
      <c r="J22" s="23">
        <f t="shared" si="5"/>
        <v>0</v>
      </c>
      <c r="K22" s="108">
        <f t="shared" si="3"/>
        <v>0</v>
      </c>
    </row>
    <row r="23" spans="1:11" s="1" customFormat="1" x14ac:dyDescent="0.2">
      <c r="A23" s="110" t="s">
        <v>72</v>
      </c>
      <c r="B23" s="74"/>
      <c r="C23" s="35"/>
      <c r="D23" s="35">
        <f>SUM(D19:D22)</f>
        <v>29.68</v>
      </c>
      <c r="E23" s="73"/>
      <c r="F23" s="35"/>
      <c r="G23" s="35">
        <f>SUM(G19:G22)</f>
        <v>30.76</v>
      </c>
      <c r="H23" s="35">
        <f t="shared" si="0"/>
        <v>1.0800000000000018</v>
      </c>
      <c r="I23" s="36">
        <f t="shared" si="1"/>
        <v>3.6388140161725133E-2</v>
      </c>
      <c r="J23" s="36">
        <f t="shared" si="5"/>
        <v>0.26632794877270216</v>
      </c>
      <c r="K23" s="111">
        <f t="shared" si="3"/>
        <v>0.25403917351281796</v>
      </c>
    </row>
    <row r="24" spans="1:11" s="1" customFormat="1" x14ac:dyDescent="0.2">
      <c r="A24" s="119" t="s">
        <v>73</v>
      </c>
      <c r="B24" s="120">
        <v>1</v>
      </c>
      <c r="C24" s="78">
        <f>VLOOKUP($B$3,'Data for Bill Impacts'!$A$3:$Y$21,9,0)</f>
        <v>0.79</v>
      </c>
      <c r="D24" s="22">
        <f>B24*C24</f>
        <v>0.79</v>
      </c>
      <c r="E24" s="73">
        <v>1</v>
      </c>
      <c r="F24" s="78">
        <f>VLOOKUP($B$3,'Data for Bill Impacts'!$A$3:$Y$21,18,0)</f>
        <v>0.79</v>
      </c>
      <c r="G24" s="22">
        <f>E24*F24</f>
        <v>0.79</v>
      </c>
      <c r="H24" s="22">
        <f t="shared" si="0"/>
        <v>0</v>
      </c>
      <c r="I24" s="23">
        <f>IF(ISERROR(H24/D24),0,(H24/D24))</f>
        <v>0</v>
      </c>
      <c r="J24" s="23">
        <f t="shared" si="5"/>
        <v>6.8400220913665388E-3</v>
      </c>
      <c r="K24" s="108">
        <f t="shared" si="3"/>
        <v>6.5244131038727634E-3</v>
      </c>
    </row>
    <row r="25" spans="1:11" s="1" customFormat="1" x14ac:dyDescent="0.2">
      <c r="A25" s="119" t="s">
        <v>75</v>
      </c>
      <c r="B25" s="120">
        <f>C8-C4</f>
        <v>25.8599999999999</v>
      </c>
      <c r="C25" s="121">
        <f>IF(B4&gt;B7,C13,C12)</f>
        <v>0.10299999999999999</v>
      </c>
      <c r="D25" s="22">
        <f>B25*C25</f>
        <v>2.6635799999999894</v>
      </c>
      <c r="E25" s="120">
        <f>B8-B4</f>
        <v>34.199999999999932</v>
      </c>
      <c r="F25" s="121">
        <f>C25</f>
        <v>0.10299999999999999</v>
      </c>
      <c r="G25" s="22">
        <f>E25*F25</f>
        <v>3.5225999999999926</v>
      </c>
      <c r="H25" s="22">
        <f t="shared" si="0"/>
        <v>0.85902000000000323</v>
      </c>
      <c r="I25" s="23">
        <f>IF(ISERROR(H25/D25),0,(H25/D25))</f>
        <v>0.32250580046403959</v>
      </c>
      <c r="J25" s="23">
        <f t="shared" si="5"/>
        <v>3.0499571922845213E-2</v>
      </c>
      <c r="K25" s="108">
        <f t="shared" si="3"/>
        <v>2.9092275442660943E-2</v>
      </c>
    </row>
    <row r="26" spans="1:11" s="1" customFormat="1" x14ac:dyDescent="0.2">
      <c r="A26" s="119" t="s">
        <v>74</v>
      </c>
      <c r="B26" s="120">
        <f>C8-C4</f>
        <v>25.8599999999999</v>
      </c>
      <c r="C26" s="121">
        <f>0.65*C15+0.17*C16+0.18*C17</f>
        <v>0.11139</v>
      </c>
      <c r="D26" s="22">
        <f>B26*C26</f>
        <v>2.8805453999999888</v>
      </c>
      <c r="E26" s="120">
        <f>B8-B4</f>
        <v>34.199999999999932</v>
      </c>
      <c r="F26" s="121">
        <f>C26</f>
        <v>0.11139</v>
      </c>
      <c r="G26" s="22">
        <f>E26*F26</f>
        <v>3.8095379999999923</v>
      </c>
      <c r="H26" s="22">
        <f t="shared" si="0"/>
        <v>0.9289926000000035</v>
      </c>
      <c r="I26" s="23">
        <f>IF(ISERROR(H26/D26),0,(H26/D26))</f>
        <v>0.32250580046403959</v>
      </c>
      <c r="J26" s="23">
        <f t="shared" si="5"/>
        <v>3.2983954528987655E-2</v>
      </c>
      <c r="K26" s="108">
        <f t="shared" si="3"/>
        <v>3.1462024869495175E-2</v>
      </c>
    </row>
    <row r="27" spans="1:11" s="1" customFormat="1" x14ac:dyDescent="0.2">
      <c r="A27" s="110" t="s">
        <v>78</v>
      </c>
      <c r="B27" s="74"/>
      <c r="C27" s="35"/>
      <c r="D27" s="35">
        <f>SUM(D23,D24:D25)</f>
        <v>33.133579999999988</v>
      </c>
      <c r="E27" s="73"/>
      <c r="F27" s="35"/>
      <c r="G27" s="35">
        <f>SUM(G23,G24:G25)</f>
        <v>35.072599999999994</v>
      </c>
      <c r="H27" s="35">
        <f t="shared" si="0"/>
        <v>1.9390200000000064</v>
      </c>
      <c r="I27" s="36">
        <f>IF(ISERROR(H27/D27),0,(H27/D27))</f>
        <v>5.8521294710683458E-2</v>
      </c>
      <c r="J27" s="36">
        <f t="shared" si="5"/>
        <v>0.30366754278691394</v>
      </c>
      <c r="K27" s="111">
        <f t="shared" si="3"/>
        <v>0.28965586205935168</v>
      </c>
    </row>
    <row r="28" spans="1:11" s="1" customFormat="1" x14ac:dyDescent="0.2">
      <c r="A28" s="110" t="s">
        <v>77</v>
      </c>
      <c r="B28" s="74"/>
      <c r="C28" s="35"/>
      <c r="D28" s="35">
        <f>SUM(D23,D24,D26)</f>
        <v>33.350545399999987</v>
      </c>
      <c r="E28" s="73"/>
      <c r="F28" s="35"/>
      <c r="G28" s="35">
        <f>SUM(G23,G24,G26)</f>
        <v>35.359537999999993</v>
      </c>
      <c r="H28" s="35">
        <f t="shared" si="0"/>
        <v>2.0089926000000062</v>
      </c>
      <c r="I28" s="36">
        <f>IF(ISERROR(H28/D28),0,(H28/D28))</f>
        <v>6.0238673038312804E-2</v>
      </c>
      <c r="J28" s="36">
        <f t="shared" si="5"/>
        <v>0.30615192539305636</v>
      </c>
      <c r="K28" s="111">
        <f t="shared" si="3"/>
        <v>0.29202561148618589</v>
      </c>
    </row>
    <row r="29" spans="1:11" x14ac:dyDescent="0.2">
      <c r="A29" s="107" t="s">
        <v>40</v>
      </c>
      <c r="B29" s="73">
        <f>C8</f>
        <v>625.8599999999999</v>
      </c>
      <c r="C29" s="78">
        <f>VLOOKUP($B$3,'Data for Bill Impacts'!$A$3:$Y$21,15,0)</f>
        <v>7.1999999999999998E-3</v>
      </c>
      <c r="D29" s="22">
        <f>B29*C29</f>
        <v>4.5061919999999995</v>
      </c>
      <c r="E29" s="73">
        <f>B8</f>
        <v>634.19999999999993</v>
      </c>
      <c r="F29" s="78">
        <f>VLOOKUP($B$3,'Data for Bill Impacts'!$A$3:$Y$21,24,0)</f>
        <v>7.3000000000000001E-3</v>
      </c>
      <c r="G29" s="22">
        <f>E29*F29</f>
        <v>4.6296599999999994</v>
      </c>
      <c r="H29" s="22">
        <f t="shared" si="0"/>
        <v>0.12346799999999991</v>
      </c>
      <c r="I29" s="23">
        <f t="shared" si="1"/>
        <v>2.739963144047123E-2</v>
      </c>
      <c r="J29" s="23">
        <f t="shared" si="5"/>
        <v>4.0084780601918994E-2</v>
      </c>
      <c r="K29" s="108">
        <f t="shared" si="3"/>
        <v>3.8235208063893127E-2</v>
      </c>
    </row>
    <row r="30" spans="1:11" x14ac:dyDescent="0.2">
      <c r="A30" s="107" t="s">
        <v>41</v>
      </c>
      <c r="B30" s="73">
        <f>C8</f>
        <v>625.8599999999999</v>
      </c>
      <c r="C30" s="126">
        <f>VLOOKUP($B$3,'Data for Bill Impacts'!$A$3:$Y$21,16,0)</f>
        <v>5.5688910375990336E-3</v>
      </c>
      <c r="D30" s="22">
        <f>B30*C30</f>
        <v>3.4853461447917304</v>
      </c>
      <c r="E30" s="73">
        <f>B8</f>
        <v>634.19999999999993</v>
      </c>
      <c r="F30" s="78">
        <f>VLOOKUP($B$3,'Data for Bill Impacts'!$A$3:$Y$21,25,0)</f>
        <v>6.1999999999999998E-3</v>
      </c>
      <c r="G30" s="22">
        <f>E30*F30</f>
        <v>3.9320399999999993</v>
      </c>
      <c r="H30" s="22">
        <f t="shared" si="0"/>
        <v>0.44669385520826888</v>
      </c>
      <c r="I30" s="23">
        <f t="shared" si="1"/>
        <v>0.12816341237032611</v>
      </c>
      <c r="J30" s="23">
        <f t="shared" si="5"/>
        <v>3.4044608182451745E-2</v>
      </c>
      <c r="K30" s="108">
        <f t="shared" si="3"/>
        <v>3.2473738355635259E-2</v>
      </c>
    </row>
    <row r="31" spans="1:11" s="1" customFormat="1" x14ac:dyDescent="0.2">
      <c r="A31" s="110" t="s">
        <v>76</v>
      </c>
      <c r="B31" s="74"/>
      <c r="C31" s="35"/>
      <c r="D31" s="35">
        <f>SUM(D29:D30)</f>
        <v>7.99153814479173</v>
      </c>
      <c r="E31" s="73"/>
      <c r="F31" s="35"/>
      <c r="G31" s="35">
        <f>SUM(G29:G30)</f>
        <v>8.5616999999999983</v>
      </c>
      <c r="H31" s="35">
        <f t="shared" si="0"/>
        <v>0.57016185520826834</v>
      </c>
      <c r="I31" s="36">
        <f t="shared" si="1"/>
        <v>7.1345696520244473E-2</v>
      </c>
      <c r="J31" s="36">
        <f t="shared" si="5"/>
        <v>7.4129388784370726E-2</v>
      </c>
      <c r="K31" s="111">
        <f t="shared" si="3"/>
        <v>7.0708946419528379E-2</v>
      </c>
    </row>
    <row r="32" spans="1:11" s="1" customFormat="1" x14ac:dyDescent="0.2">
      <c r="A32" s="110" t="s">
        <v>95</v>
      </c>
      <c r="B32" s="74"/>
      <c r="C32" s="35"/>
      <c r="D32" s="35">
        <f>D27+D31</f>
        <v>41.12511814479172</v>
      </c>
      <c r="E32" s="73"/>
      <c r="F32" s="35"/>
      <c r="G32" s="35">
        <f>G27+G31</f>
        <v>43.634299999999996</v>
      </c>
      <c r="H32" s="35">
        <f t="shared" si="0"/>
        <v>2.5091818552082756</v>
      </c>
      <c r="I32" s="36">
        <f t="shared" si="1"/>
        <v>6.1013365271658203E-2</v>
      </c>
      <c r="J32" s="36">
        <f t="shared" si="5"/>
        <v>0.37779693157128469</v>
      </c>
      <c r="K32" s="111">
        <f t="shared" si="3"/>
        <v>0.36036480847888008</v>
      </c>
    </row>
    <row r="33" spans="1:11" s="1" customFormat="1" x14ac:dyDescent="0.2">
      <c r="A33" s="110" t="s">
        <v>96</v>
      </c>
      <c r="B33" s="74"/>
      <c r="C33" s="35"/>
      <c r="D33" s="35">
        <f>D28+D31</f>
        <v>41.34208354479172</v>
      </c>
      <c r="E33" s="73"/>
      <c r="F33" s="35"/>
      <c r="G33" s="35">
        <f>G28+G31</f>
        <v>43.921237999999988</v>
      </c>
      <c r="H33" s="35">
        <f t="shared" si="0"/>
        <v>2.5791544552082684</v>
      </c>
      <c r="I33" s="36">
        <f t="shared" si="1"/>
        <v>6.2385691142390197E-2</v>
      </c>
      <c r="J33" s="36">
        <f t="shared" si="5"/>
        <v>0.38028131417742705</v>
      </c>
      <c r="K33" s="111">
        <f t="shared" si="3"/>
        <v>0.36273455790571424</v>
      </c>
    </row>
    <row r="34" spans="1:11" x14ac:dyDescent="0.2">
      <c r="A34" s="107" t="s">
        <v>42</v>
      </c>
      <c r="B34" s="73">
        <f>C8</f>
        <v>625.8599999999999</v>
      </c>
      <c r="C34" s="34">
        <v>3.5999999999999999E-3</v>
      </c>
      <c r="D34" s="22">
        <f>B34*C34</f>
        <v>2.2530959999999998</v>
      </c>
      <c r="E34" s="73">
        <f>B8</f>
        <v>634.19999999999993</v>
      </c>
      <c r="F34" s="34">
        <v>3.5999999999999999E-3</v>
      </c>
      <c r="G34" s="22">
        <f>E34*F34</f>
        <v>2.2831199999999998</v>
      </c>
      <c r="H34" s="22">
        <f t="shared" si="0"/>
        <v>3.0024000000000051E-2</v>
      </c>
      <c r="I34" s="23">
        <f t="shared" si="1"/>
        <v>1.3325663886492211E-2</v>
      </c>
      <c r="J34" s="23">
        <f t="shared" si="5"/>
        <v>1.9767837009165529E-2</v>
      </c>
      <c r="K34" s="108">
        <f t="shared" si="3"/>
        <v>1.885571904520757E-2</v>
      </c>
    </row>
    <row r="35" spans="1:11" x14ac:dyDescent="0.2">
      <c r="A35" s="107" t="s">
        <v>43</v>
      </c>
      <c r="B35" s="73">
        <f>C8</f>
        <v>625.8599999999999</v>
      </c>
      <c r="C35" s="34">
        <v>2.0999999999999999E-3</v>
      </c>
      <c r="D35" s="22">
        <f>B35*C35</f>
        <v>1.3143059999999998</v>
      </c>
      <c r="E35" s="73">
        <f>B8</f>
        <v>634.19999999999993</v>
      </c>
      <c r="F35" s="34">
        <v>2.0999999999999999E-3</v>
      </c>
      <c r="G35" s="22">
        <f>E35*F35</f>
        <v>1.3318199999999998</v>
      </c>
      <c r="H35" s="22">
        <f>G35-D35</f>
        <v>1.751400000000003E-2</v>
      </c>
      <c r="I35" s="23">
        <f t="shared" si="1"/>
        <v>1.3325663886492211E-2</v>
      </c>
      <c r="J35" s="23">
        <f t="shared" si="5"/>
        <v>1.1531238255346559E-2</v>
      </c>
      <c r="K35" s="108">
        <f t="shared" si="3"/>
        <v>1.0999169443037748E-2</v>
      </c>
    </row>
    <row r="36" spans="1:11" x14ac:dyDescent="0.2">
      <c r="A36" s="107" t="s">
        <v>100</v>
      </c>
      <c r="B36" s="73">
        <f>C8</f>
        <v>625.8599999999999</v>
      </c>
      <c r="C36" s="34">
        <v>1.1000000000000001E-3</v>
      </c>
      <c r="D36" s="22">
        <f>B36*C36</f>
        <v>0.68844599999999989</v>
      </c>
      <c r="E36" s="73">
        <f>B8</f>
        <v>634.19999999999993</v>
      </c>
      <c r="F36" s="34">
        <v>1.1000000000000001E-3</v>
      </c>
      <c r="G36" s="22">
        <f>E36*F36</f>
        <v>0.69762000000000002</v>
      </c>
      <c r="H36" s="22">
        <f>G36-D36</f>
        <v>9.1740000000001265E-3</v>
      </c>
      <c r="I36" s="23">
        <f t="shared" si="1"/>
        <v>1.3325663886492372E-2</v>
      </c>
      <c r="J36" s="23">
        <f t="shared" si="5"/>
        <v>6.0401724194672464E-3</v>
      </c>
      <c r="K36" s="108">
        <f t="shared" si="3"/>
        <v>5.7614697082578699E-3</v>
      </c>
    </row>
    <row r="37" spans="1:11" x14ac:dyDescent="0.2">
      <c r="A37" s="107" t="s">
        <v>44</v>
      </c>
      <c r="B37" s="73">
        <v>1</v>
      </c>
      <c r="C37" s="22">
        <v>0.25</v>
      </c>
      <c r="D37" s="22">
        <f>B37*C37</f>
        <v>0.25</v>
      </c>
      <c r="E37" s="73">
        <v>1</v>
      </c>
      <c r="F37" s="22">
        <f>C37</f>
        <v>0.25</v>
      </c>
      <c r="G37" s="22">
        <f>E37*F37</f>
        <v>0.25</v>
      </c>
      <c r="H37" s="22">
        <f t="shared" si="0"/>
        <v>0</v>
      </c>
      <c r="I37" s="23">
        <f t="shared" si="1"/>
        <v>0</v>
      </c>
      <c r="J37" s="23">
        <f t="shared" si="5"/>
        <v>2.1645639529640943E-3</v>
      </c>
      <c r="K37" s="108">
        <f t="shared" si="3"/>
        <v>2.0646876910989757E-3</v>
      </c>
    </row>
    <row r="38" spans="1:11" s="1" customFormat="1" x14ac:dyDescent="0.2">
      <c r="A38" s="110" t="s">
        <v>45</v>
      </c>
      <c r="B38" s="74"/>
      <c r="C38" s="35"/>
      <c r="D38" s="35">
        <f>SUM(D34:D37)</f>
        <v>4.5058479999999994</v>
      </c>
      <c r="E38" s="73"/>
      <c r="F38" s="35"/>
      <c r="G38" s="35">
        <f>SUM(G34:G37)</f>
        <v>4.5625599999999995</v>
      </c>
      <c r="H38" s="35">
        <f t="shared" si="0"/>
        <v>5.6712000000000096E-2</v>
      </c>
      <c r="I38" s="36">
        <f t="shared" si="1"/>
        <v>1.2586310057507511E-2</v>
      </c>
      <c r="J38" s="36">
        <f t="shared" si="5"/>
        <v>3.9503811636943428E-2</v>
      </c>
      <c r="K38" s="111">
        <f t="shared" si="3"/>
        <v>3.7681045887602162E-2</v>
      </c>
    </row>
    <row r="39" spans="1:11" s="1" customFormat="1" ht="13.5" thickBot="1" x14ac:dyDescent="0.25">
      <c r="A39" s="112" t="s">
        <v>46</v>
      </c>
      <c r="B39" s="113">
        <f>C4</f>
        <v>600</v>
      </c>
      <c r="C39" s="114">
        <v>0</v>
      </c>
      <c r="D39" s="115">
        <f>B39*C39</f>
        <v>0</v>
      </c>
      <c r="E39" s="116">
        <f>B4</f>
        <v>600</v>
      </c>
      <c r="F39" s="114">
        <f>C39</f>
        <v>0</v>
      </c>
      <c r="G39" s="115">
        <f>E39*F39</f>
        <v>0</v>
      </c>
      <c r="H39" s="115">
        <f t="shared" si="0"/>
        <v>0</v>
      </c>
      <c r="I39" s="117">
        <f t="shared" si="1"/>
        <v>0</v>
      </c>
      <c r="J39" s="117">
        <f t="shared" si="5"/>
        <v>0</v>
      </c>
      <c r="K39" s="118">
        <f t="shared" si="3"/>
        <v>0</v>
      </c>
    </row>
    <row r="40" spans="1:11" s="1" customFormat="1" x14ac:dyDescent="0.2">
      <c r="A40" s="37" t="s">
        <v>137</v>
      </c>
      <c r="B40" s="38"/>
      <c r="C40" s="39"/>
      <c r="D40" s="39">
        <f>SUM(D14,D23,D24,D25,D31,D38,D39)</f>
        <v>107.43096614479173</v>
      </c>
      <c r="E40" s="38"/>
      <c r="F40" s="39"/>
      <c r="G40" s="39">
        <f>SUM(G14,G23,G24,G25,G31,G38,G39)</f>
        <v>109.99686000000001</v>
      </c>
      <c r="H40" s="39">
        <f t="shared" si="0"/>
        <v>2.5658938552082873</v>
      </c>
      <c r="I40" s="40">
        <f>IF(ISERROR(H40/D40),0,(H40/D40))</f>
        <v>2.3884117841312762E-2</v>
      </c>
      <c r="J40" s="40">
        <f t="shared" si="5"/>
        <v>0.95238095238095244</v>
      </c>
      <c r="K40" s="41"/>
    </row>
    <row r="41" spans="1:11" x14ac:dyDescent="0.2">
      <c r="A41" s="150" t="s">
        <v>138</v>
      </c>
      <c r="B41" s="43"/>
      <c r="C41" s="26">
        <v>0.13</v>
      </c>
      <c r="D41" s="26">
        <f>D40*C41</f>
        <v>13.966025598822926</v>
      </c>
      <c r="E41" s="26"/>
      <c r="F41" s="26">
        <f>C41</f>
        <v>0.13</v>
      </c>
      <c r="G41" s="26">
        <f>G40*F41</f>
        <v>14.299591800000002</v>
      </c>
      <c r="H41" s="26">
        <f t="shared" si="0"/>
        <v>0.33356620117707614</v>
      </c>
      <c r="I41" s="44">
        <f t="shared" si="1"/>
        <v>2.3884117841312672E-2</v>
      </c>
      <c r="J41" s="44">
        <f t="shared" si="5"/>
        <v>0.12380952380952381</v>
      </c>
      <c r="K41" s="45"/>
    </row>
    <row r="42" spans="1:11" s="1" customFormat="1" x14ac:dyDescent="0.2">
      <c r="A42" s="46" t="s">
        <v>139</v>
      </c>
      <c r="B42" s="24"/>
      <c r="C42" s="25"/>
      <c r="D42" s="25">
        <f>SUM(D40:D41)</f>
        <v>121.39699174361465</v>
      </c>
      <c r="E42" s="25"/>
      <c r="F42" s="25"/>
      <c r="G42" s="25">
        <f>SUM(G40:G41)</f>
        <v>124.29645180000001</v>
      </c>
      <c r="H42" s="25">
        <f t="shared" si="0"/>
        <v>2.8994600563853652</v>
      </c>
      <c r="I42" s="27">
        <f t="shared" si="1"/>
        <v>2.3884117841312766E-2</v>
      </c>
      <c r="J42" s="27">
        <f t="shared" si="5"/>
        <v>1.0761904761904761</v>
      </c>
      <c r="K42" s="47"/>
    </row>
    <row r="43" spans="1:11" x14ac:dyDescent="0.2">
      <c r="A43" s="42" t="s">
        <v>140</v>
      </c>
      <c r="B43" s="43"/>
      <c r="C43" s="26">
        <v>-0.08</v>
      </c>
      <c r="D43" s="26">
        <f>D40*C43</f>
        <v>-8.5944772915833383</v>
      </c>
      <c r="E43" s="26"/>
      <c r="F43" s="26">
        <f>C43</f>
        <v>-0.08</v>
      </c>
      <c r="G43" s="26">
        <f>G40*F43</f>
        <v>-8.7997488000000015</v>
      </c>
      <c r="H43" s="26">
        <f t="shared" si="0"/>
        <v>-0.2052715084166632</v>
      </c>
      <c r="I43" s="44">
        <f t="shared" si="1"/>
        <v>2.3884117841312787E-2</v>
      </c>
      <c r="J43" s="44">
        <f t="shared" ref="J43:J44" si="8">G43/$G$44</f>
        <v>-7.6190476190476197E-2</v>
      </c>
      <c r="K43" s="45"/>
    </row>
    <row r="44" spans="1:11" s="1" customFormat="1" ht="13.5" thickBot="1" x14ac:dyDescent="0.25">
      <c r="A44" s="48" t="s">
        <v>141</v>
      </c>
      <c r="B44" s="49"/>
      <c r="C44" s="50"/>
      <c r="D44" s="50">
        <f>SUM(D42:D43)</f>
        <v>112.80251445203132</v>
      </c>
      <c r="E44" s="50"/>
      <c r="F44" s="50"/>
      <c r="G44" s="50">
        <f>SUM(G42:G43)</f>
        <v>115.49670300000001</v>
      </c>
      <c r="H44" s="50">
        <f t="shared" si="0"/>
        <v>2.6941885479686931</v>
      </c>
      <c r="I44" s="51">
        <f t="shared" si="1"/>
        <v>2.3884117841312686E-2</v>
      </c>
      <c r="J44" s="51">
        <f t="shared" si="8"/>
        <v>1</v>
      </c>
      <c r="K44" s="52"/>
    </row>
    <row r="45" spans="1:11" x14ac:dyDescent="0.2">
      <c r="A45" s="53" t="s">
        <v>142</v>
      </c>
      <c r="B45" s="54"/>
      <c r="C45" s="55"/>
      <c r="D45" s="55">
        <f>SUM(D18,D23,D24,D26,D31,D38,D39)</f>
        <v>112.68193154479174</v>
      </c>
      <c r="E45" s="55"/>
      <c r="F45" s="55"/>
      <c r="G45" s="55">
        <f>SUM(G18,G23,G24,G26,G31,G38,G39)</f>
        <v>115.31779800000001</v>
      </c>
      <c r="H45" s="55">
        <f>G45-D45</f>
        <v>2.6358664552082729</v>
      </c>
      <c r="I45" s="56">
        <f>IF(ISERROR(H45/D45),0,(H45/D45))</f>
        <v>2.3392095068591367E-2</v>
      </c>
      <c r="J45" s="56"/>
      <c r="K45" s="57">
        <f>G45/$G$49</f>
        <v>0.95238095238095233</v>
      </c>
    </row>
    <row r="46" spans="1:11" x14ac:dyDescent="0.2">
      <c r="A46" s="151" t="s">
        <v>138</v>
      </c>
      <c r="B46" s="59"/>
      <c r="C46" s="31">
        <v>0.13</v>
      </c>
      <c r="D46" s="31">
        <f>D45*C46</f>
        <v>14.648651100822926</v>
      </c>
      <c r="E46" s="31"/>
      <c r="F46" s="31">
        <f>C46</f>
        <v>0.13</v>
      </c>
      <c r="G46" s="31">
        <f>G45*F46</f>
        <v>14.991313740000002</v>
      </c>
      <c r="H46" s="31">
        <f>G46-D46</f>
        <v>0.3426626391770764</v>
      </c>
      <c r="I46" s="32">
        <f>IF(ISERROR(H46/D46),0,(H46/D46))</f>
        <v>2.3392095068591429E-2</v>
      </c>
      <c r="J46" s="32"/>
      <c r="K46" s="60">
        <f>G46/$G$49</f>
        <v>0.12380952380952381</v>
      </c>
    </row>
    <row r="47" spans="1:11" x14ac:dyDescent="0.2">
      <c r="A47" s="61" t="s">
        <v>143</v>
      </c>
      <c r="B47" s="29"/>
      <c r="C47" s="30"/>
      <c r="D47" s="30">
        <f>SUM(D45:D46)</f>
        <v>127.33058264561467</v>
      </c>
      <c r="E47" s="30"/>
      <c r="F47" s="30"/>
      <c r="G47" s="30">
        <f>SUM(G45:G46)</f>
        <v>130.30911174000002</v>
      </c>
      <c r="H47" s="30">
        <f>G47-D47</f>
        <v>2.9785290943853511</v>
      </c>
      <c r="I47" s="33">
        <f>IF(ISERROR(H47/D47),0,(H47/D47))</f>
        <v>2.3392095068591388E-2</v>
      </c>
      <c r="J47" s="33"/>
      <c r="K47" s="62">
        <f>G47/$G$49</f>
        <v>1.0761904761904761</v>
      </c>
    </row>
    <row r="48" spans="1:11" x14ac:dyDescent="0.2">
      <c r="A48" s="58" t="s">
        <v>140</v>
      </c>
      <c r="B48" s="59"/>
      <c r="C48" s="31">
        <v>-0.08</v>
      </c>
      <c r="D48" s="31">
        <f>D45*C48</f>
        <v>-9.0145545235833389</v>
      </c>
      <c r="E48" s="31"/>
      <c r="F48" s="31">
        <f>C48</f>
        <v>-0.08</v>
      </c>
      <c r="G48" s="31">
        <f>G45*F48</f>
        <v>-9.2254238400000013</v>
      </c>
      <c r="H48" s="31">
        <f>G48-D48</f>
        <v>-0.2108693164166624</v>
      </c>
      <c r="I48" s="32">
        <f>IF(ISERROR(H48/D48),0,(H48/D48))</f>
        <v>2.3392095068591433E-2</v>
      </c>
      <c r="J48" s="32"/>
      <c r="K48" s="60">
        <f>G48/$G$49</f>
        <v>-7.6190476190476197E-2</v>
      </c>
    </row>
    <row r="49" spans="1:11" ht="13.5" thickBot="1" x14ac:dyDescent="0.25">
      <c r="A49" s="63" t="s">
        <v>144</v>
      </c>
      <c r="B49" s="64"/>
      <c r="C49" s="65"/>
      <c r="D49" s="65">
        <f>SUM(D47:D48)</f>
        <v>118.31602812203133</v>
      </c>
      <c r="E49" s="65"/>
      <c r="F49" s="65"/>
      <c r="G49" s="65">
        <f>SUM(G47:G48)</f>
        <v>121.08368790000002</v>
      </c>
      <c r="H49" s="65">
        <f>G49-D49</f>
        <v>2.7676597779686887</v>
      </c>
      <c r="I49" s="66">
        <f>IF(ISERROR(H49/D49),0,(H49/D49))</f>
        <v>2.3392095068591384E-2</v>
      </c>
      <c r="J49" s="66"/>
      <c r="K49" s="67">
        <f>G49/$G$49</f>
        <v>1</v>
      </c>
    </row>
    <row r="50" spans="1:11" x14ac:dyDescent="0.2">
      <c r="C50" s="68"/>
      <c r="F50" s="69"/>
    </row>
    <row r="51" spans="1:11" x14ac:dyDescent="0.2">
      <c r="F51" s="69"/>
    </row>
    <row r="52" spans="1:11" x14ac:dyDescent="0.2">
      <c r="F52" s="69"/>
    </row>
    <row r="53" spans="1:11" x14ac:dyDescent="0.2">
      <c r="A53" s="70"/>
      <c r="B53" s="71"/>
      <c r="F53" s="69"/>
    </row>
    <row r="54" spans="1:11" x14ac:dyDescent="0.2">
      <c r="B54" s="71"/>
      <c r="F54" s="69"/>
    </row>
    <row r="55" spans="1:11" x14ac:dyDescent="0.2">
      <c r="F55" s="69"/>
    </row>
    <row r="56" spans="1:11" x14ac:dyDescent="0.2">
      <c r="D56" s="72"/>
      <c r="F56" s="69"/>
    </row>
    <row r="57" spans="1:11" x14ac:dyDescent="0.2">
      <c r="F57" s="69"/>
    </row>
    <row r="58" spans="1:11" x14ac:dyDescent="0.2">
      <c r="A58" s="70"/>
      <c r="B58" s="71"/>
      <c r="F58" s="69"/>
    </row>
    <row r="59" spans="1:11" x14ac:dyDescent="0.2">
      <c r="B59" s="72"/>
      <c r="D59" s="72"/>
      <c r="F59" s="69"/>
    </row>
    <row r="60" spans="1:11" x14ac:dyDescent="0.2">
      <c r="F60" s="69"/>
    </row>
    <row r="61" spans="1:11" x14ac:dyDescent="0.2">
      <c r="F61" s="69"/>
    </row>
    <row r="62" spans="1:11" x14ac:dyDescent="0.2">
      <c r="F62" s="69"/>
      <c r="K62"/>
    </row>
    <row r="63" spans="1:11" x14ac:dyDescent="0.2">
      <c r="F63" s="69"/>
      <c r="K63"/>
    </row>
    <row r="64" spans="1:11" x14ac:dyDescent="0.2">
      <c r="F64" s="69"/>
      <c r="K64"/>
    </row>
    <row r="65" spans="6:11" x14ac:dyDescent="0.2">
      <c r="F65" s="69"/>
      <c r="K65"/>
    </row>
    <row r="66" spans="6:11" x14ac:dyDescent="0.2">
      <c r="F66" s="69"/>
      <c r="K66"/>
    </row>
  </sheetData>
  <mergeCells count="1">
    <mergeCell ref="A1:K1"/>
  </mergeCell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'Data for Bill Impacts'!$A$3:$A$21</xm:f>
          </x14:formula1>
          <xm:sqref>B3</xm:sqref>
        </x14:dataValidation>
        <x14:dataValidation type="list" allowBlank="1" showInputMessage="1" showErrorMessage="1">
          <x14:formula1>
            <xm:f>'Data for Bill Impacts'!$A$3:$A$39</xm:f>
          </x14:formula1>
          <xm:sqref>C3</xm:sqref>
        </x14:dataValidation>
      </x14:dataValidations>
    </ext>
  </extLs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8">
    <pageSetUpPr fitToPage="1"/>
  </sheetPr>
  <dimension ref="A1:K66"/>
  <sheetViews>
    <sheetView workbookViewId="0">
      <selection activeCell="C19" sqref="C19"/>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48" t="s">
        <v>110</v>
      </c>
      <c r="B1" s="349"/>
      <c r="C1" s="349"/>
      <c r="D1" s="349"/>
      <c r="E1" s="349"/>
      <c r="F1" s="349"/>
      <c r="G1" s="349"/>
      <c r="H1" s="349"/>
      <c r="I1" s="349"/>
      <c r="J1" s="349"/>
      <c r="K1" s="350"/>
    </row>
    <row r="3" spans="1:11" x14ac:dyDescent="0.2">
      <c r="A3" s="13" t="s">
        <v>13</v>
      </c>
      <c r="B3" s="13" t="s">
        <v>195</v>
      </c>
      <c r="C3" s="13" t="s">
        <v>113</v>
      </c>
    </row>
    <row r="4" spans="1:11" x14ac:dyDescent="0.2">
      <c r="A4" s="15" t="s">
        <v>62</v>
      </c>
      <c r="B4" s="79">
        <v>750</v>
      </c>
      <c r="C4" s="79">
        <v>750</v>
      </c>
    </row>
    <row r="5" spans="1:11" x14ac:dyDescent="0.2">
      <c r="A5" s="15" t="s">
        <v>16</v>
      </c>
      <c r="B5" s="15">
        <f>VLOOKUP($B$3,'Data for Bill Impacts'!$A$3:$Y$21,5,0)</f>
        <v>0</v>
      </c>
      <c r="C5" s="15">
        <f>VLOOKUP($B$3,'Data for Bill Impacts'!$A$3:$Y$21,5,0)</f>
        <v>0</v>
      </c>
    </row>
    <row r="6" spans="1:11" x14ac:dyDescent="0.2">
      <c r="A6" s="15" t="s">
        <v>20</v>
      </c>
      <c r="B6" s="15">
        <f>VLOOKUP($B$3,'Data for Bill Impacts'!$A$3:$Y$21,2,0)</f>
        <v>1.0569999999999999</v>
      </c>
      <c r="C6" s="15">
        <f>VLOOKUP($C$3,'Data for Bill Impacts'!$A$3:$Y$30,2,0)</f>
        <v>1.0430999999999999</v>
      </c>
    </row>
    <row r="7" spans="1:11" x14ac:dyDescent="0.2">
      <c r="A7" s="15" t="s">
        <v>15</v>
      </c>
      <c r="B7" s="15">
        <f>VLOOKUP($B$3,'Data for Bill Impacts'!$A$3:$Y$21,4,0)</f>
        <v>600</v>
      </c>
      <c r="C7" s="15">
        <f>VLOOKUP($B$3,'Data for Bill Impacts'!$A$3:$Y$21,4,0)</f>
        <v>600</v>
      </c>
    </row>
    <row r="8" spans="1:11" x14ac:dyDescent="0.2">
      <c r="A8" s="15" t="s">
        <v>82</v>
      </c>
      <c r="B8" s="193">
        <f>B4*B6</f>
        <v>792.75</v>
      </c>
      <c r="C8" s="193">
        <f>C4*C6</f>
        <v>782.32499999999993</v>
      </c>
    </row>
    <row r="9" spans="1:11" x14ac:dyDescent="0.2">
      <c r="A9" s="15" t="s">
        <v>21</v>
      </c>
      <c r="B9" s="16" t="str">
        <f>VLOOKUP($B$3,'Data for Bill Impacts'!$A$3:$Y$21,6,0)</f>
        <v>kWh</v>
      </c>
      <c r="C9" s="16" t="str">
        <f>VLOOKUP($B$3,'Data for Bill Impacts'!$A$3:$Y$21,6,0)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ht="13.5" thickBot="1" x14ac:dyDescent="0.25">
      <c r="A12" s="101" t="s">
        <v>31</v>
      </c>
      <c r="B12" s="102">
        <f>IF(C4&gt;C7,C7,C4)</f>
        <v>600</v>
      </c>
      <c r="C12" s="103">
        <v>0.10299999999999999</v>
      </c>
      <c r="D12" s="104">
        <f>B12*C12</f>
        <v>61.8</v>
      </c>
      <c r="E12" s="102">
        <f>IF(B4&gt;B7,B7,B4)</f>
        <v>600</v>
      </c>
      <c r="F12" s="103">
        <f>C12</f>
        <v>0.10299999999999999</v>
      </c>
      <c r="G12" s="104">
        <f>E12*F12</f>
        <v>61.8</v>
      </c>
      <c r="H12" s="104">
        <f>G12-D12</f>
        <v>0</v>
      </c>
      <c r="I12" s="105">
        <f>IF(ISERROR(H12/D12),0,(H12/D12))</f>
        <v>0</v>
      </c>
      <c r="J12" s="105">
        <f>G12/$G$44</f>
        <v>0.44248309160143734</v>
      </c>
      <c r="K12" s="106"/>
    </row>
    <row r="13" spans="1:11" x14ac:dyDescent="0.2">
      <c r="A13" s="107" t="s">
        <v>32</v>
      </c>
      <c r="B13" s="73">
        <f>IF(C4&gt;C7,(C4)-C7,0)</f>
        <v>150</v>
      </c>
      <c r="C13" s="21">
        <v>0.121</v>
      </c>
      <c r="D13" s="104">
        <f>B13*C13</f>
        <v>18.149999999999999</v>
      </c>
      <c r="E13" s="73">
        <f>IF(B4&gt;B7,(B4)-B7,0)</f>
        <v>150</v>
      </c>
      <c r="F13" s="21">
        <f>C13</f>
        <v>0.121</v>
      </c>
      <c r="G13" s="22">
        <f>E13*F13</f>
        <v>18.149999999999999</v>
      </c>
      <c r="H13" s="22">
        <f t="shared" ref="H13:H44" si="0">G13-D13</f>
        <v>0</v>
      </c>
      <c r="I13" s="23">
        <f t="shared" ref="I13:I44" si="1">IF(ISERROR(H13/D13),0,(H13/D13))</f>
        <v>0</v>
      </c>
      <c r="J13" s="23">
        <f>G13/$G$44</f>
        <v>0.12995255845576195</v>
      </c>
      <c r="K13" s="108"/>
    </row>
    <row r="14" spans="1:11" s="1" customFormat="1" x14ac:dyDescent="0.2">
      <c r="A14" s="46" t="s">
        <v>33</v>
      </c>
      <c r="B14" s="24"/>
      <c r="C14" s="25"/>
      <c r="D14" s="25">
        <f>SUM(D12:D13)</f>
        <v>79.949999999999989</v>
      </c>
      <c r="E14" s="76"/>
      <c r="F14" s="25"/>
      <c r="G14" s="25">
        <f>SUM(G12:G13)</f>
        <v>79.949999999999989</v>
      </c>
      <c r="H14" s="25">
        <f t="shared" si="0"/>
        <v>0</v>
      </c>
      <c r="I14" s="27">
        <f t="shared" si="1"/>
        <v>0</v>
      </c>
      <c r="J14" s="27">
        <f>G14/$G$44</f>
        <v>0.57243565005719921</v>
      </c>
      <c r="K14" s="108"/>
    </row>
    <row r="15" spans="1:11" s="1" customFormat="1" x14ac:dyDescent="0.2">
      <c r="A15" s="109" t="s">
        <v>34</v>
      </c>
      <c r="B15" s="75">
        <f>C4*0.65</f>
        <v>487.5</v>
      </c>
      <c r="C15" s="28">
        <v>8.6999999999999994E-2</v>
      </c>
      <c r="D15" s="272">
        <f>B15*C15</f>
        <v>42.412499999999994</v>
      </c>
      <c r="E15" s="75">
        <f>B4*0.65</f>
        <v>487.5</v>
      </c>
      <c r="F15" s="28">
        <f t="shared" ref="F15:F17" si="2">C15</f>
        <v>8.6999999999999994E-2</v>
      </c>
      <c r="G15" s="22">
        <f>E15*F15</f>
        <v>42.412499999999994</v>
      </c>
      <c r="H15" s="22">
        <f t="shared" si="0"/>
        <v>0</v>
      </c>
      <c r="I15" s="23">
        <f t="shared" si="1"/>
        <v>0</v>
      </c>
      <c r="J15" s="23"/>
      <c r="K15" s="108">
        <f t="shared" ref="K15:K39" si="3">G15/$G$49</f>
        <v>0.29657616350034627</v>
      </c>
    </row>
    <row r="16" spans="1:11" s="1" customFormat="1" x14ac:dyDescent="0.2">
      <c r="A16" s="109" t="s">
        <v>35</v>
      </c>
      <c r="B16" s="75">
        <f>C4*0.17</f>
        <v>127.50000000000001</v>
      </c>
      <c r="C16" s="28">
        <v>0.13200000000000001</v>
      </c>
      <c r="D16" s="272">
        <f t="shared" ref="D16:D17" si="4">B16*C16</f>
        <v>16.830000000000002</v>
      </c>
      <c r="E16" s="75">
        <f>B4*0.17</f>
        <v>127.50000000000001</v>
      </c>
      <c r="F16" s="28">
        <f t="shared" si="2"/>
        <v>0.13200000000000001</v>
      </c>
      <c r="G16" s="22">
        <f>E16*F16</f>
        <v>16.830000000000002</v>
      </c>
      <c r="H16" s="22">
        <f t="shared" si="0"/>
        <v>0</v>
      </c>
      <c r="I16" s="23">
        <f t="shared" si="1"/>
        <v>0</v>
      </c>
      <c r="J16" s="23"/>
      <c r="K16" s="108">
        <f t="shared" si="3"/>
        <v>0.11768645639164937</v>
      </c>
    </row>
    <row r="17" spans="1:11" s="1" customFormat="1" x14ac:dyDescent="0.2">
      <c r="A17" s="109" t="s">
        <v>36</v>
      </c>
      <c r="B17" s="75">
        <f>C4*0.18</f>
        <v>135</v>
      </c>
      <c r="C17" s="28">
        <v>0.18</v>
      </c>
      <c r="D17" s="272">
        <f t="shared" si="4"/>
        <v>24.3</v>
      </c>
      <c r="E17" s="75">
        <f>B4*0.18</f>
        <v>135</v>
      </c>
      <c r="F17" s="28">
        <f t="shared" si="2"/>
        <v>0.18</v>
      </c>
      <c r="G17" s="22">
        <f>E17*F17</f>
        <v>24.3</v>
      </c>
      <c r="H17" s="22">
        <f t="shared" si="0"/>
        <v>0</v>
      </c>
      <c r="I17" s="23">
        <f t="shared" si="1"/>
        <v>0</v>
      </c>
      <c r="J17" s="23"/>
      <c r="K17" s="108">
        <f t="shared" si="3"/>
        <v>0.1699216215280499</v>
      </c>
    </row>
    <row r="18" spans="1:11" s="1" customFormat="1" x14ac:dyDescent="0.2">
      <c r="A18" s="61" t="s">
        <v>37</v>
      </c>
      <c r="B18" s="29"/>
      <c r="C18" s="30"/>
      <c r="D18" s="30">
        <f>SUM(D15:D17)</f>
        <v>83.54249999999999</v>
      </c>
      <c r="E18" s="77"/>
      <c r="F18" s="30"/>
      <c r="G18" s="30">
        <f>SUM(G15:G17)</f>
        <v>83.54249999999999</v>
      </c>
      <c r="H18" s="31">
        <f t="shared" si="0"/>
        <v>0</v>
      </c>
      <c r="I18" s="32">
        <f t="shared" si="1"/>
        <v>0</v>
      </c>
      <c r="J18" s="33">
        <f t="shared" ref="J18:J44" si="5">G18/$G$44</f>
        <v>0.59815766472674881</v>
      </c>
      <c r="K18" s="62">
        <f t="shared" si="3"/>
        <v>0.58418424142004555</v>
      </c>
    </row>
    <row r="19" spans="1:11" x14ac:dyDescent="0.2">
      <c r="A19" s="107" t="s">
        <v>38</v>
      </c>
      <c r="B19" s="73">
        <v>1</v>
      </c>
      <c r="C19" s="122">
        <f>'Data for Bill Impacts'!G22</f>
        <v>29.98</v>
      </c>
      <c r="D19" s="22">
        <f>B19*C19</f>
        <v>29.98</v>
      </c>
      <c r="E19" s="73">
        <v>1</v>
      </c>
      <c r="F19" s="122">
        <f>VLOOKUP($B$3,'Data for Bill Impacts'!$A$3:$Y$21,17,0)</f>
        <v>30.76</v>
      </c>
      <c r="G19" s="22">
        <f>E19*F19</f>
        <v>30.76</v>
      </c>
      <c r="H19" s="22">
        <f t="shared" si="0"/>
        <v>0.78000000000000114</v>
      </c>
      <c r="I19" s="23">
        <f t="shared" si="1"/>
        <v>2.601734489659777E-2</v>
      </c>
      <c r="J19" s="23">
        <f t="shared" si="5"/>
        <v>0.22023915692006821</v>
      </c>
      <c r="K19" s="108">
        <f t="shared" si="3"/>
        <v>0.21509420074908703</v>
      </c>
    </row>
    <row r="20" spans="1:11" x14ac:dyDescent="0.2">
      <c r="A20" s="107" t="s">
        <v>188</v>
      </c>
      <c r="B20" s="73">
        <v>1</v>
      </c>
      <c r="C20" s="122">
        <f>'Data for Bill Impacts'!K22</f>
        <v>-0.3</v>
      </c>
      <c r="D20" s="22">
        <f t="shared" ref="D20" si="6">B20*C20</f>
        <v>-0.3</v>
      </c>
      <c r="E20" s="73">
        <v>1</v>
      </c>
      <c r="F20" s="122">
        <v>0</v>
      </c>
      <c r="G20" s="22">
        <f t="shared" ref="G20" si="7">E20*F20</f>
        <v>0</v>
      </c>
      <c r="H20" s="22">
        <f t="shared" si="0"/>
        <v>0.3</v>
      </c>
      <c r="I20" s="23">
        <f t="shared" si="1"/>
        <v>-1</v>
      </c>
      <c r="J20" s="23">
        <f t="shared" si="5"/>
        <v>0</v>
      </c>
      <c r="K20" s="108">
        <f t="shared" si="3"/>
        <v>0</v>
      </c>
    </row>
    <row r="21" spans="1:11" x14ac:dyDescent="0.2">
      <c r="A21" s="107" t="s">
        <v>39</v>
      </c>
      <c r="B21" s="73">
        <f>IF($C$9="kWh",$C$4,$C$5)</f>
        <v>750</v>
      </c>
      <c r="C21" s="126">
        <f>'Data for Bill Impacts'!J22</f>
        <v>0</v>
      </c>
      <c r="D21" s="22">
        <f>B21*C21</f>
        <v>0</v>
      </c>
      <c r="E21" s="73">
        <f>IF($B$9="kWh",$B$4,$B$5)</f>
        <v>750</v>
      </c>
      <c r="F21" s="126">
        <f>VLOOKUP($B$3,'Data for Bill Impacts'!$A$3:$Y$21,19,0)</f>
        <v>0</v>
      </c>
      <c r="G21" s="22">
        <f>E21*F21</f>
        <v>0</v>
      </c>
      <c r="H21" s="22">
        <f t="shared" si="0"/>
        <v>0</v>
      </c>
      <c r="I21" s="23">
        <f t="shared" si="1"/>
        <v>0</v>
      </c>
      <c r="J21" s="23">
        <f t="shared" si="5"/>
        <v>0</v>
      </c>
      <c r="K21" s="108">
        <f t="shared" si="3"/>
        <v>0</v>
      </c>
    </row>
    <row r="22" spans="1:11" x14ac:dyDescent="0.2">
      <c r="A22" s="107" t="s">
        <v>190</v>
      </c>
      <c r="B22" s="73">
        <f>IF($C$9="kWh",$C$4,$C$5)</f>
        <v>750</v>
      </c>
      <c r="C22" s="126">
        <v>0</v>
      </c>
      <c r="D22" s="22">
        <f>B22*C22</f>
        <v>0</v>
      </c>
      <c r="E22" s="73">
        <f>IF($B$9="kWh",$B$4,$B$5)</f>
        <v>750</v>
      </c>
      <c r="F22" s="126">
        <v>0</v>
      </c>
      <c r="G22" s="22">
        <f>E22*F22</f>
        <v>0</v>
      </c>
      <c r="H22" s="22">
        <f>G22-D22</f>
        <v>0</v>
      </c>
      <c r="I22" s="23">
        <f>IF(ISERROR(H22/D22),0,(H22/D22))</f>
        <v>0</v>
      </c>
      <c r="J22" s="23">
        <f t="shared" si="5"/>
        <v>0</v>
      </c>
      <c r="K22" s="108">
        <f t="shared" si="3"/>
        <v>0</v>
      </c>
    </row>
    <row r="23" spans="1:11" s="1" customFormat="1" x14ac:dyDescent="0.2">
      <c r="A23" s="110" t="s">
        <v>72</v>
      </c>
      <c r="B23" s="74"/>
      <c r="C23" s="35"/>
      <c r="D23" s="35">
        <f>SUM(D19:D22)</f>
        <v>29.68</v>
      </c>
      <c r="E23" s="73"/>
      <c r="F23" s="35"/>
      <c r="G23" s="35">
        <f>SUM(G19:G22)</f>
        <v>30.76</v>
      </c>
      <c r="H23" s="35">
        <f t="shared" si="0"/>
        <v>1.0800000000000018</v>
      </c>
      <c r="I23" s="36">
        <f t="shared" si="1"/>
        <v>3.6388140161725133E-2</v>
      </c>
      <c r="J23" s="36">
        <f t="shared" si="5"/>
        <v>0.22023915692006821</v>
      </c>
      <c r="K23" s="111">
        <f t="shared" si="3"/>
        <v>0.21509420074908703</v>
      </c>
    </row>
    <row r="24" spans="1:11" s="1" customFormat="1" x14ac:dyDescent="0.2">
      <c r="A24" s="119" t="s">
        <v>73</v>
      </c>
      <c r="B24" s="120">
        <v>1</v>
      </c>
      <c r="C24" s="78">
        <f>VLOOKUP($B$3,'Data for Bill Impacts'!$A$3:$Y$21,9,0)</f>
        <v>0.79</v>
      </c>
      <c r="D24" s="22">
        <f>B24*C24</f>
        <v>0.79</v>
      </c>
      <c r="E24" s="73">
        <v>1</v>
      </c>
      <c r="F24" s="78">
        <f>VLOOKUP($B$3,'Data for Bill Impacts'!$A$3:$Y$21,18,0)</f>
        <v>0.79</v>
      </c>
      <c r="G24" s="22">
        <f>E24*F24</f>
        <v>0.79</v>
      </c>
      <c r="H24" s="22">
        <f t="shared" si="0"/>
        <v>0</v>
      </c>
      <c r="I24" s="23">
        <f>IF(ISERROR(H24/D24),0,(H24/D24))</f>
        <v>0</v>
      </c>
      <c r="J24" s="23">
        <f t="shared" si="5"/>
        <v>5.6563372550992802E-3</v>
      </c>
      <c r="K24" s="108">
        <f t="shared" si="3"/>
        <v>5.5242008644921575E-3</v>
      </c>
    </row>
    <row r="25" spans="1:11" s="1" customFormat="1" x14ac:dyDescent="0.2">
      <c r="A25" s="119" t="s">
        <v>75</v>
      </c>
      <c r="B25" s="120">
        <f>C8-C4</f>
        <v>32.324999999999932</v>
      </c>
      <c r="C25" s="121">
        <f>IF(B4&gt;B7,C13,C12)</f>
        <v>0.121</v>
      </c>
      <c r="D25" s="22">
        <f>B25*C25</f>
        <v>3.9113249999999917</v>
      </c>
      <c r="E25" s="120">
        <f>B8-B4</f>
        <v>42.75</v>
      </c>
      <c r="F25" s="121">
        <f>C25</f>
        <v>0.121</v>
      </c>
      <c r="G25" s="22">
        <f>E25*F25</f>
        <v>5.1727499999999997</v>
      </c>
      <c r="H25" s="22">
        <f t="shared" si="0"/>
        <v>1.261425000000008</v>
      </c>
      <c r="I25" s="23">
        <f>IF(ISERROR(H25/D25),0,(H25/D25))</f>
        <v>0.32250580046403987</v>
      </c>
      <c r="J25" s="23">
        <f t="shared" si="5"/>
        <v>3.7036479159892152E-2</v>
      </c>
      <c r="K25" s="108">
        <f t="shared" si="3"/>
        <v>3.6171278508609878E-2</v>
      </c>
    </row>
    <row r="26" spans="1:11" s="1" customFormat="1" x14ac:dyDescent="0.2">
      <c r="A26" s="119" t="s">
        <v>74</v>
      </c>
      <c r="B26" s="120">
        <f>C8-C4</f>
        <v>32.324999999999932</v>
      </c>
      <c r="C26" s="121">
        <f>0.65*C15+0.17*C16+0.18*C17</f>
        <v>0.11139</v>
      </c>
      <c r="D26" s="22">
        <f>B26*C26</f>
        <v>3.6006817499999926</v>
      </c>
      <c r="E26" s="120">
        <f>B8-B4</f>
        <v>42.75</v>
      </c>
      <c r="F26" s="121">
        <f>C26</f>
        <v>0.11139</v>
      </c>
      <c r="G26" s="22">
        <f>E26*F26</f>
        <v>4.7619224999999998</v>
      </c>
      <c r="H26" s="22">
        <f t="shared" si="0"/>
        <v>1.1612407500000073</v>
      </c>
      <c r="I26" s="23">
        <f>IF(ISERROR(H26/D26),0,(H26/D26))</f>
        <v>0.32250580046403982</v>
      </c>
      <c r="J26" s="23">
        <f t="shared" si="5"/>
        <v>3.4094986889424687E-2</v>
      </c>
      <c r="K26" s="108">
        <f t="shared" si="3"/>
        <v>3.3298501760942595E-2</v>
      </c>
    </row>
    <row r="27" spans="1:11" s="1" customFormat="1" x14ac:dyDescent="0.2">
      <c r="A27" s="110" t="s">
        <v>78</v>
      </c>
      <c r="B27" s="74"/>
      <c r="C27" s="35"/>
      <c r="D27" s="35">
        <f>SUM(D23,D24:D25)</f>
        <v>34.38132499999999</v>
      </c>
      <c r="E27" s="73"/>
      <c r="F27" s="35"/>
      <c r="G27" s="35">
        <f>SUM(G23,G24:G25)</f>
        <v>36.722749999999998</v>
      </c>
      <c r="H27" s="35">
        <f t="shared" si="0"/>
        <v>2.3414250000000081</v>
      </c>
      <c r="I27" s="36">
        <f>IF(ISERROR(H27/D27),0,(H27/D27))</f>
        <v>6.8101651114377035E-2</v>
      </c>
      <c r="J27" s="36">
        <f t="shared" si="5"/>
        <v>0.26293197333505958</v>
      </c>
      <c r="K27" s="111">
        <f t="shared" si="3"/>
        <v>0.25678968012218906</v>
      </c>
    </row>
    <row r="28" spans="1:11" s="1" customFormat="1" x14ac:dyDescent="0.2">
      <c r="A28" s="110" t="s">
        <v>77</v>
      </c>
      <c r="B28" s="74"/>
      <c r="C28" s="35"/>
      <c r="D28" s="35">
        <f>SUM(D23,D24,D26)</f>
        <v>34.070681749999991</v>
      </c>
      <c r="E28" s="73"/>
      <c r="F28" s="35"/>
      <c r="G28" s="35">
        <f>SUM(G23,G24,G26)</f>
        <v>36.311922500000001</v>
      </c>
      <c r="H28" s="35">
        <f t="shared" si="0"/>
        <v>2.24124075000001</v>
      </c>
      <c r="I28" s="36">
        <f>IF(ISERROR(H28/D28),0,(H28/D28))</f>
        <v>6.5782092839982889E-2</v>
      </c>
      <c r="J28" s="36">
        <f t="shared" si="5"/>
        <v>0.25999048106459216</v>
      </c>
      <c r="K28" s="111">
        <f t="shared" si="3"/>
        <v>0.25391690337452177</v>
      </c>
    </row>
    <row r="29" spans="1:11" x14ac:dyDescent="0.2">
      <c r="A29" s="107" t="s">
        <v>40</v>
      </c>
      <c r="B29" s="73">
        <f>C8</f>
        <v>782.32499999999993</v>
      </c>
      <c r="C29" s="78">
        <f>VLOOKUP($B$3,'Data for Bill Impacts'!$A$3:$Y$21,15,0)</f>
        <v>7.1999999999999998E-3</v>
      </c>
      <c r="D29" s="22">
        <f>B29*C29</f>
        <v>5.6327399999999992</v>
      </c>
      <c r="E29" s="73">
        <f>B8</f>
        <v>792.75</v>
      </c>
      <c r="F29" s="78">
        <f>VLOOKUP($B$3,'Data for Bill Impacts'!$A$3:$Y$21,24,0)</f>
        <v>7.3000000000000001E-3</v>
      </c>
      <c r="G29" s="22">
        <f>E29*F29</f>
        <v>5.7870749999999997</v>
      </c>
      <c r="H29" s="22">
        <f t="shared" si="0"/>
        <v>0.15433500000000056</v>
      </c>
      <c r="I29" s="23">
        <f t="shared" si="1"/>
        <v>2.7399631440471348E-2</v>
      </c>
      <c r="J29" s="23">
        <f t="shared" si="5"/>
        <v>4.1434997367789453E-2</v>
      </c>
      <c r="K29" s="108">
        <f t="shared" si="3"/>
        <v>4.0467043946684746E-2</v>
      </c>
    </row>
    <row r="30" spans="1:11" x14ac:dyDescent="0.2">
      <c r="A30" s="107" t="s">
        <v>41</v>
      </c>
      <c r="B30" s="73">
        <f>C8</f>
        <v>782.32499999999993</v>
      </c>
      <c r="C30" s="126">
        <f>VLOOKUP($B$3,'Data for Bill Impacts'!$A$3:$Y$21,16,0)</f>
        <v>5.5688910375990336E-3</v>
      </c>
      <c r="D30" s="22">
        <f>B30*C30</f>
        <v>4.3566826809896639</v>
      </c>
      <c r="E30" s="73">
        <f>B8</f>
        <v>792.75</v>
      </c>
      <c r="F30" s="78">
        <f>VLOOKUP($B$3,'Data for Bill Impacts'!$A$3:$Y$21,25,0)</f>
        <v>6.1999999999999998E-3</v>
      </c>
      <c r="G30" s="22">
        <f>E30*F30</f>
        <v>4.9150499999999999</v>
      </c>
      <c r="H30" s="22">
        <f t="shared" si="0"/>
        <v>0.55836731901033598</v>
      </c>
      <c r="I30" s="23">
        <f t="shared" si="1"/>
        <v>0.12816341237032605</v>
      </c>
      <c r="J30" s="23">
        <f t="shared" si="5"/>
        <v>3.5191367627437617E-2</v>
      </c>
      <c r="K30" s="108">
        <f t="shared" si="3"/>
        <v>3.4369270201293892E-2</v>
      </c>
    </row>
    <row r="31" spans="1:11" s="1" customFormat="1" x14ac:dyDescent="0.2">
      <c r="A31" s="110" t="s">
        <v>76</v>
      </c>
      <c r="B31" s="74"/>
      <c r="C31" s="35"/>
      <c r="D31" s="35">
        <f>SUM(D29:D30)</f>
        <v>9.9894226809896622</v>
      </c>
      <c r="E31" s="73"/>
      <c r="F31" s="35"/>
      <c r="G31" s="35">
        <f>SUM(G29:G30)</f>
        <v>10.702124999999999</v>
      </c>
      <c r="H31" s="35">
        <f t="shared" si="0"/>
        <v>0.71270231901033654</v>
      </c>
      <c r="I31" s="36">
        <f t="shared" si="1"/>
        <v>7.1345696520244598E-2</v>
      </c>
      <c r="J31" s="36">
        <f t="shared" si="5"/>
        <v>7.6626364995227056E-2</v>
      </c>
      <c r="K31" s="111">
        <f t="shared" si="3"/>
        <v>7.483631414797863E-2</v>
      </c>
    </row>
    <row r="32" spans="1:11" s="1" customFormat="1" x14ac:dyDescent="0.2">
      <c r="A32" s="110" t="s">
        <v>95</v>
      </c>
      <c r="B32" s="74"/>
      <c r="C32" s="35"/>
      <c r="D32" s="35">
        <f>D27+D31</f>
        <v>44.370747680989652</v>
      </c>
      <c r="E32" s="73"/>
      <c r="F32" s="35"/>
      <c r="G32" s="35">
        <f>G27+G31</f>
        <v>47.424875</v>
      </c>
      <c r="H32" s="35">
        <f t="shared" si="0"/>
        <v>3.0541273190103482</v>
      </c>
      <c r="I32" s="36">
        <f t="shared" si="1"/>
        <v>6.8832000329777376E-2</v>
      </c>
      <c r="J32" s="36">
        <f t="shared" si="5"/>
        <v>0.3395583383302867</v>
      </c>
      <c r="K32" s="111">
        <f t="shared" si="3"/>
        <v>0.3316259942701677</v>
      </c>
    </row>
    <row r="33" spans="1:11" s="1" customFormat="1" x14ac:dyDescent="0.2">
      <c r="A33" s="110" t="s">
        <v>96</v>
      </c>
      <c r="B33" s="74"/>
      <c r="C33" s="35"/>
      <c r="D33" s="35">
        <f>D28+D31</f>
        <v>44.060104430989654</v>
      </c>
      <c r="E33" s="73"/>
      <c r="F33" s="35"/>
      <c r="G33" s="35">
        <f>G28+G31</f>
        <v>47.014047500000004</v>
      </c>
      <c r="H33" s="35">
        <f t="shared" si="0"/>
        <v>2.9539430690103501</v>
      </c>
      <c r="I33" s="36">
        <f t="shared" si="1"/>
        <v>6.7043487689345913E-2</v>
      </c>
      <c r="J33" s="36">
        <f t="shared" si="5"/>
        <v>0.33661684605981923</v>
      </c>
      <c r="K33" s="111">
        <f t="shared" si="3"/>
        <v>0.32875321752250042</v>
      </c>
    </row>
    <row r="34" spans="1:11" x14ac:dyDescent="0.2">
      <c r="A34" s="107" t="s">
        <v>42</v>
      </c>
      <c r="B34" s="73">
        <f>C8</f>
        <v>782.32499999999993</v>
      </c>
      <c r="C34" s="34">
        <v>3.5999999999999999E-3</v>
      </c>
      <c r="D34" s="22">
        <f>B34*C34</f>
        <v>2.8163699999999996</v>
      </c>
      <c r="E34" s="73">
        <f>B8</f>
        <v>792.75</v>
      </c>
      <c r="F34" s="34">
        <v>3.5999999999999999E-3</v>
      </c>
      <c r="G34" s="22">
        <f>E34*F34</f>
        <v>2.8538999999999999</v>
      </c>
      <c r="H34" s="22">
        <f t="shared" si="0"/>
        <v>3.7530000000000285E-2</v>
      </c>
      <c r="I34" s="23">
        <f t="shared" si="1"/>
        <v>1.3325663886492291E-2</v>
      </c>
      <c r="J34" s="23">
        <f t="shared" si="5"/>
        <v>2.043369733206055E-2</v>
      </c>
      <c r="K34" s="108">
        <f t="shared" si="3"/>
        <v>1.9956350439460969E-2</v>
      </c>
    </row>
    <row r="35" spans="1:11" x14ac:dyDescent="0.2">
      <c r="A35" s="107" t="s">
        <v>43</v>
      </c>
      <c r="B35" s="73">
        <f>C8</f>
        <v>782.32499999999993</v>
      </c>
      <c r="C35" s="34">
        <v>2.0999999999999999E-3</v>
      </c>
      <c r="D35" s="22">
        <f>B35*C35</f>
        <v>1.6428824999999998</v>
      </c>
      <c r="E35" s="73">
        <f>B8</f>
        <v>792.75</v>
      </c>
      <c r="F35" s="34">
        <v>2.0999999999999999E-3</v>
      </c>
      <c r="G35" s="22">
        <f>E35*F35</f>
        <v>1.6647749999999999</v>
      </c>
      <c r="H35" s="22">
        <f>G35-D35</f>
        <v>2.1892500000000092E-2</v>
      </c>
      <c r="I35" s="23">
        <f t="shared" si="1"/>
        <v>1.3325663886492244E-2</v>
      </c>
      <c r="J35" s="23">
        <f t="shared" si="5"/>
        <v>1.1919656777035322E-2</v>
      </c>
      <c r="K35" s="108">
        <f t="shared" si="3"/>
        <v>1.1641204423018898E-2</v>
      </c>
    </row>
    <row r="36" spans="1:11" x14ac:dyDescent="0.2">
      <c r="A36" s="107" t="s">
        <v>100</v>
      </c>
      <c r="B36" s="73">
        <f>C8</f>
        <v>782.32499999999993</v>
      </c>
      <c r="C36" s="34">
        <v>1.1000000000000001E-3</v>
      </c>
      <c r="D36" s="22">
        <f>B36*C36</f>
        <v>0.86055749999999998</v>
      </c>
      <c r="E36" s="73">
        <f>B8</f>
        <v>792.75</v>
      </c>
      <c r="F36" s="34">
        <v>1.1000000000000001E-3</v>
      </c>
      <c r="G36" s="22">
        <f>E36*F36</f>
        <v>0.87202500000000005</v>
      </c>
      <c r="H36" s="22">
        <f>G36-D36</f>
        <v>1.1467500000000075E-2</v>
      </c>
      <c r="I36" s="23">
        <f t="shared" si="1"/>
        <v>1.3325663886492273E-2</v>
      </c>
      <c r="J36" s="23">
        <f t="shared" si="5"/>
        <v>6.2436297403518359E-3</v>
      </c>
      <c r="K36" s="108">
        <f t="shared" si="3"/>
        <v>6.0977737453908522E-3</v>
      </c>
    </row>
    <row r="37" spans="1:11" x14ac:dyDescent="0.2">
      <c r="A37" s="107" t="s">
        <v>44</v>
      </c>
      <c r="B37" s="73">
        <v>1</v>
      </c>
      <c r="C37" s="22">
        <v>0.25</v>
      </c>
      <c r="D37" s="22">
        <f>B37*C37</f>
        <v>0.25</v>
      </c>
      <c r="E37" s="73">
        <v>1</v>
      </c>
      <c r="F37" s="22">
        <f>C37</f>
        <v>0.25</v>
      </c>
      <c r="G37" s="22">
        <f>E37*F37</f>
        <v>0.25</v>
      </c>
      <c r="H37" s="22">
        <f t="shared" si="0"/>
        <v>0</v>
      </c>
      <c r="I37" s="23">
        <f t="shared" si="1"/>
        <v>0</v>
      </c>
      <c r="J37" s="23">
        <f t="shared" si="5"/>
        <v>1.7899801440187596E-3</v>
      </c>
      <c r="K37" s="108">
        <f t="shared" si="3"/>
        <v>1.7481648305354926E-3</v>
      </c>
    </row>
    <row r="38" spans="1:11" s="1" customFormat="1" x14ac:dyDescent="0.2">
      <c r="A38" s="110" t="s">
        <v>45</v>
      </c>
      <c r="B38" s="74"/>
      <c r="C38" s="35"/>
      <c r="D38" s="35">
        <f>SUM(D34:D37)</f>
        <v>5.5698099999999995</v>
      </c>
      <c r="E38" s="73"/>
      <c r="F38" s="35"/>
      <c r="G38" s="35">
        <f>SUM(G34:G37)</f>
        <v>5.6406999999999998</v>
      </c>
      <c r="H38" s="35">
        <f t="shared" si="0"/>
        <v>7.0890000000000342E-2</v>
      </c>
      <c r="I38" s="36">
        <f t="shared" si="1"/>
        <v>1.272754366845554E-2</v>
      </c>
      <c r="J38" s="36">
        <f t="shared" si="5"/>
        <v>4.0386963993466467E-2</v>
      </c>
      <c r="K38" s="111">
        <f t="shared" si="3"/>
        <v>3.944349343840621E-2</v>
      </c>
    </row>
    <row r="39" spans="1:11" s="1" customFormat="1" ht="13.5" thickBot="1" x14ac:dyDescent="0.25">
      <c r="A39" s="112" t="s">
        <v>46</v>
      </c>
      <c r="B39" s="113">
        <f>C4</f>
        <v>750</v>
      </c>
      <c r="C39" s="114">
        <v>0</v>
      </c>
      <c r="D39" s="115">
        <f>B39*C39</f>
        <v>0</v>
      </c>
      <c r="E39" s="116">
        <f>B4</f>
        <v>750</v>
      </c>
      <c r="F39" s="114">
        <f>C39</f>
        <v>0</v>
      </c>
      <c r="G39" s="115">
        <f>E39*F39</f>
        <v>0</v>
      </c>
      <c r="H39" s="115">
        <f t="shared" si="0"/>
        <v>0</v>
      </c>
      <c r="I39" s="117">
        <f t="shared" si="1"/>
        <v>0</v>
      </c>
      <c r="J39" s="117">
        <f t="shared" si="5"/>
        <v>0</v>
      </c>
      <c r="K39" s="118">
        <f t="shared" si="3"/>
        <v>0</v>
      </c>
    </row>
    <row r="40" spans="1:11" s="1" customFormat="1" x14ac:dyDescent="0.2">
      <c r="A40" s="37" t="s">
        <v>104</v>
      </c>
      <c r="B40" s="38"/>
      <c r="C40" s="39"/>
      <c r="D40" s="39">
        <f>SUM(D14,D23,D24,D25,D31,D38,D39)</f>
        <v>129.89055768098964</v>
      </c>
      <c r="E40" s="38"/>
      <c r="F40" s="39"/>
      <c r="G40" s="39">
        <f>SUM(G14,G23,G24,G25,G31,G38,G39)</f>
        <v>133.01557499999998</v>
      </c>
      <c r="H40" s="39">
        <f t="shared" si="0"/>
        <v>3.1250173190103396</v>
      </c>
      <c r="I40" s="40">
        <f>IF(ISERROR(H40/D40),0,(H40/D40))</f>
        <v>2.4058849040323328E-2</v>
      </c>
      <c r="J40" s="40">
        <f t="shared" si="5"/>
        <v>0.95238095238095233</v>
      </c>
      <c r="K40" s="41"/>
    </row>
    <row r="41" spans="1:11" x14ac:dyDescent="0.2">
      <c r="A41" s="150" t="s">
        <v>47</v>
      </c>
      <c r="B41" s="43"/>
      <c r="C41" s="26">
        <v>0.13</v>
      </c>
      <c r="D41" s="26">
        <f>D40*C41</f>
        <v>16.885772498528656</v>
      </c>
      <c r="E41" s="26"/>
      <c r="F41" s="26">
        <f>C41</f>
        <v>0.13</v>
      </c>
      <c r="G41" s="26">
        <f>G40*F41</f>
        <v>17.29202475</v>
      </c>
      <c r="H41" s="26">
        <f t="shared" si="0"/>
        <v>0.40625225147134358</v>
      </c>
      <c r="I41" s="44">
        <f t="shared" si="1"/>
        <v>2.405884904032329E-2</v>
      </c>
      <c r="J41" s="44">
        <f t="shared" si="5"/>
        <v>0.12380952380952381</v>
      </c>
      <c r="K41" s="45"/>
    </row>
    <row r="42" spans="1:11" s="1" customFormat="1" x14ac:dyDescent="0.2">
      <c r="A42" s="46" t="s">
        <v>102</v>
      </c>
      <c r="B42" s="24"/>
      <c r="C42" s="25"/>
      <c r="D42" s="25">
        <f>SUM(D40:D41)</f>
        <v>146.77633017951831</v>
      </c>
      <c r="E42" s="25"/>
      <c r="F42" s="25"/>
      <c r="G42" s="25">
        <f>SUM(G40:G41)</f>
        <v>150.30759974999998</v>
      </c>
      <c r="H42" s="25">
        <f t="shared" si="0"/>
        <v>3.531269570481669</v>
      </c>
      <c r="I42" s="27">
        <f t="shared" si="1"/>
        <v>2.4058849040323224E-2</v>
      </c>
      <c r="J42" s="27">
        <f t="shared" si="5"/>
        <v>1.0761904761904761</v>
      </c>
      <c r="K42" s="47"/>
    </row>
    <row r="43" spans="1:11" x14ac:dyDescent="0.2">
      <c r="A43" s="42" t="s">
        <v>140</v>
      </c>
      <c r="B43" s="43"/>
      <c r="C43" s="26">
        <v>-0.08</v>
      </c>
      <c r="D43" s="26">
        <f>D40*C43</f>
        <v>-10.391244614479172</v>
      </c>
      <c r="E43" s="26"/>
      <c r="F43" s="26">
        <f>C43</f>
        <v>-0.08</v>
      </c>
      <c r="G43" s="26">
        <f>G40*F43</f>
        <v>-10.641245999999999</v>
      </c>
      <c r="H43" s="26">
        <f t="shared" si="0"/>
        <v>-0.25000138552082696</v>
      </c>
      <c r="I43" s="44">
        <f t="shared" si="1"/>
        <v>2.4058849040323307E-2</v>
      </c>
      <c r="J43" s="44">
        <f t="shared" si="5"/>
        <v>-7.6190476190476197E-2</v>
      </c>
      <c r="K43" s="45"/>
    </row>
    <row r="44" spans="1:11" s="1" customFormat="1" ht="13.5" thickBot="1" x14ac:dyDescent="0.25">
      <c r="A44" s="48" t="s">
        <v>183</v>
      </c>
      <c r="B44" s="49"/>
      <c r="C44" s="50"/>
      <c r="D44" s="50">
        <f>SUM(D42:D43)</f>
        <v>136.38508556503913</v>
      </c>
      <c r="E44" s="50"/>
      <c r="F44" s="50"/>
      <c r="G44" s="50">
        <f>SUM(G42:G43)</f>
        <v>139.66635374999998</v>
      </c>
      <c r="H44" s="50">
        <f t="shared" si="0"/>
        <v>3.2812681849608509</v>
      </c>
      <c r="I44" s="51">
        <f t="shared" si="1"/>
        <v>2.4058849040323287E-2</v>
      </c>
      <c r="J44" s="51">
        <f t="shared" si="5"/>
        <v>1</v>
      </c>
      <c r="K44" s="52"/>
    </row>
    <row r="45" spans="1:11" x14ac:dyDescent="0.2">
      <c r="A45" s="53" t="s">
        <v>105</v>
      </c>
      <c r="B45" s="54"/>
      <c r="C45" s="55"/>
      <c r="D45" s="55">
        <f>SUM(D18,D23,D24,D26,D31,D38,D39)</f>
        <v>133.17241443098965</v>
      </c>
      <c r="E45" s="55"/>
      <c r="F45" s="55"/>
      <c r="G45" s="55">
        <f>SUM(G18,G23,G24,G26,G31,G38,G39)</f>
        <v>136.1972475</v>
      </c>
      <c r="H45" s="55">
        <f>G45-D45</f>
        <v>3.0248330690103558</v>
      </c>
      <c r="I45" s="56">
        <f>IF(ISERROR(H45/D45),0,(H45/D45))</f>
        <v>2.2713660947987345E-2</v>
      </c>
      <c r="J45" s="56"/>
      <c r="K45" s="57">
        <f>G45/$G$49</f>
        <v>0.95238095238095222</v>
      </c>
    </row>
    <row r="46" spans="1:11" x14ac:dyDescent="0.2">
      <c r="A46" s="151" t="s">
        <v>138</v>
      </c>
      <c r="B46" s="59"/>
      <c r="C46" s="31">
        <v>0.13</v>
      </c>
      <c r="D46" s="31">
        <f>D45*C46</f>
        <v>17.312413876028653</v>
      </c>
      <c r="E46" s="31"/>
      <c r="F46" s="31">
        <f>C46</f>
        <v>0.13</v>
      </c>
      <c r="G46" s="31">
        <f>G45*F46</f>
        <v>17.705642175000001</v>
      </c>
      <c r="H46" s="31">
        <f>G46-D46</f>
        <v>0.39322829897134781</v>
      </c>
      <c r="I46" s="32">
        <f>IF(ISERROR(H46/D46),0,(H46/D46))</f>
        <v>2.2713660947987435E-2</v>
      </c>
      <c r="J46" s="32"/>
      <c r="K46" s="60">
        <f>G46/$G$49</f>
        <v>0.1238095238095238</v>
      </c>
    </row>
    <row r="47" spans="1:11" x14ac:dyDescent="0.2">
      <c r="A47" s="61" t="s">
        <v>103</v>
      </c>
      <c r="B47" s="29"/>
      <c r="C47" s="30"/>
      <c r="D47" s="30">
        <f>SUM(D45:D46)</f>
        <v>150.48482830701829</v>
      </c>
      <c r="E47" s="30"/>
      <c r="F47" s="30"/>
      <c r="G47" s="30">
        <f>SUM(G45:G46)</f>
        <v>153.90288967500001</v>
      </c>
      <c r="H47" s="30">
        <f>G47-D47</f>
        <v>3.4180613679817213</v>
      </c>
      <c r="I47" s="33">
        <f>IF(ISERROR(H47/D47),0,(H47/D47))</f>
        <v>2.2713660947987473E-2</v>
      </c>
      <c r="J47" s="33"/>
      <c r="K47" s="62">
        <f>G47/$G$49</f>
        <v>1.0761904761904761</v>
      </c>
    </row>
    <row r="48" spans="1:11" x14ac:dyDescent="0.2">
      <c r="A48" s="151" t="s">
        <v>140</v>
      </c>
      <c r="B48" s="59"/>
      <c r="C48" s="31">
        <v>-0.08</v>
      </c>
      <c r="D48" s="31">
        <f>D45*C48</f>
        <v>-10.653793154479173</v>
      </c>
      <c r="E48" s="31"/>
      <c r="F48" s="31">
        <f>C48</f>
        <v>-0.08</v>
      </c>
      <c r="G48" s="31">
        <f>G45*F48</f>
        <v>-10.8957798</v>
      </c>
      <c r="H48" s="31">
        <f>G48-D48</f>
        <v>-0.24198664552082683</v>
      </c>
      <c r="I48" s="32">
        <f>IF(ISERROR(H48/D48),0,(H48/D48))</f>
        <v>2.2713660947987189E-2</v>
      </c>
      <c r="J48" s="32"/>
      <c r="K48" s="60">
        <f>G48/$G$49</f>
        <v>-7.619047619047617E-2</v>
      </c>
    </row>
    <row r="49" spans="1:11" ht="13.5" thickBot="1" x14ac:dyDescent="0.25">
      <c r="A49" s="63" t="s">
        <v>184</v>
      </c>
      <c r="B49" s="64"/>
      <c r="C49" s="65"/>
      <c r="D49" s="65">
        <f>SUM(D47:D48)</f>
        <v>139.83103515253913</v>
      </c>
      <c r="E49" s="65"/>
      <c r="F49" s="65"/>
      <c r="G49" s="65">
        <f>SUM(G47:G48)</f>
        <v>143.00710987500003</v>
      </c>
      <c r="H49" s="65">
        <f>G49-D49</f>
        <v>3.1760747224608963</v>
      </c>
      <c r="I49" s="66">
        <f>IF(ISERROR(H49/D49),0,(H49/D49))</f>
        <v>2.2713660947987508E-2</v>
      </c>
      <c r="J49" s="66"/>
      <c r="K49" s="67">
        <f>G49/$G$49</f>
        <v>1</v>
      </c>
    </row>
    <row r="50" spans="1:11" x14ac:dyDescent="0.2">
      <c r="C50" s="68"/>
      <c r="F50" s="69"/>
    </row>
    <row r="51" spans="1:11" x14ac:dyDescent="0.2">
      <c r="F51" s="69"/>
    </row>
    <row r="52" spans="1:11" x14ac:dyDescent="0.2">
      <c r="F52" s="69"/>
    </row>
    <row r="53" spans="1:11" x14ac:dyDescent="0.2">
      <c r="A53" s="70"/>
      <c r="B53" s="71"/>
      <c r="F53" s="69"/>
    </row>
    <row r="54" spans="1:11" x14ac:dyDescent="0.2">
      <c r="B54" s="71"/>
      <c r="F54" s="69"/>
    </row>
    <row r="55" spans="1:11" x14ac:dyDescent="0.2">
      <c r="F55" s="69"/>
    </row>
    <row r="56" spans="1:11" x14ac:dyDescent="0.2">
      <c r="D56" s="72"/>
      <c r="F56" s="69"/>
    </row>
    <row r="57" spans="1:11" x14ac:dyDescent="0.2">
      <c r="F57" s="69"/>
    </row>
    <row r="58" spans="1:11" x14ac:dyDescent="0.2">
      <c r="A58" s="70"/>
      <c r="B58" s="71"/>
      <c r="F58" s="69"/>
    </row>
    <row r="59" spans="1:11" x14ac:dyDescent="0.2">
      <c r="B59" s="72"/>
      <c r="D59" s="72"/>
      <c r="F59" s="69"/>
    </row>
    <row r="60" spans="1:11" x14ac:dyDescent="0.2">
      <c r="F60" s="69"/>
    </row>
    <row r="61" spans="1:11" x14ac:dyDescent="0.2">
      <c r="F61" s="69"/>
    </row>
    <row r="62" spans="1:11" x14ac:dyDescent="0.2">
      <c r="F62" s="69"/>
      <c r="K62"/>
    </row>
    <row r="63" spans="1:11" x14ac:dyDescent="0.2">
      <c r="F63" s="69"/>
      <c r="K63"/>
    </row>
    <row r="64" spans="1:11" x14ac:dyDescent="0.2">
      <c r="F64" s="69"/>
      <c r="K64"/>
    </row>
    <row r="65" spans="6:11" x14ac:dyDescent="0.2">
      <c r="F65" s="69"/>
      <c r="K65"/>
    </row>
    <row r="66" spans="6:11" x14ac:dyDescent="0.2">
      <c r="F66" s="69"/>
      <c r="K66"/>
    </row>
  </sheetData>
  <mergeCells count="1">
    <mergeCell ref="A1:K1"/>
  </mergeCell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'Data for Bill Impacts'!$A$3:$A$21</xm:f>
          </x14:formula1>
          <xm:sqref>B3</xm:sqref>
        </x14:dataValidation>
        <x14:dataValidation type="list" allowBlank="1" showInputMessage="1" showErrorMessage="1">
          <x14:formula1>
            <xm:f>'Data for Bill Impacts'!$A$3:$A$39</xm:f>
          </x14:formula1>
          <xm:sqref>C3</xm:sqref>
        </x14:dataValidation>
      </x14:dataValidations>
    </ext>
  </extLst>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pageSetUpPr fitToPage="1"/>
  </sheetPr>
  <dimension ref="A1:K66"/>
  <sheetViews>
    <sheetView workbookViewId="0">
      <selection activeCell="C19" sqref="C19"/>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48" t="s">
        <v>111</v>
      </c>
      <c r="B1" s="349"/>
      <c r="C1" s="349"/>
      <c r="D1" s="349"/>
      <c r="E1" s="349"/>
      <c r="F1" s="349"/>
      <c r="G1" s="349"/>
      <c r="H1" s="349"/>
      <c r="I1" s="349"/>
      <c r="J1" s="349"/>
      <c r="K1" s="350"/>
    </row>
    <row r="3" spans="1:11" x14ac:dyDescent="0.2">
      <c r="A3" s="13" t="s">
        <v>13</v>
      </c>
      <c r="B3" s="13" t="s">
        <v>195</v>
      </c>
      <c r="C3" s="13" t="s">
        <v>113</v>
      </c>
    </row>
    <row r="4" spans="1:11" x14ac:dyDescent="0.2">
      <c r="A4" s="15" t="s">
        <v>62</v>
      </c>
      <c r="B4" s="15">
        <v>1400</v>
      </c>
      <c r="C4" s="15">
        <v>1400</v>
      </c>
    </row>
    <row r="5" spans="1:11" x14ac:dyDescent="0.2">
      <c r="A5" s="15" t="s">
        <v>16</v>
      </c>
      <c r="B5" s="15">
        <f>VLOOKUP($B$3,'Data for Bill Impacts'!$A$3:$Y$21,5,0)</f>
        <v>0</v>
      </c>
      <c r="C5" s="15">
        <f>VLOOKUP($B$3,'Data for Bill Impacts'!$A$3:$Y$21,5,0)</f>
        <v>0</v>
      </c>
    </row>
    <row r="6" spans="1:11" x14ac:dyDescent="0.2">
      <c r="A6" s="15" t="s">
        <v>20</v>
      </c>
      <c r="B6" s="15">
        <f>VLOOKUP($B$3,'Data for Bill Impacts'!$A$3:$Y$21,2,0)</f>
        <v>1.0569999999999999</v>
      </c>
      <c r="C6" s="15">
        <f>VLOOKUP($C$3,'Data for Bill Impacts'!$A$3:$Y$30,2,0)</f>
        <v>1.0430999999999999</v>
      </c>
    </row>
    <row r="7" spans="1:11" x14ac:dyDescent="0.2">
      <c r="A7" s="15" t="s">
        <v>15</v>
      </c>
      <c r="B7" s="15">
        <f>VLOOKUP($B$3,'Data for Bill Impacts'!$A$3:$Y$21,4,0)</f>
        <v>600</v>
      </c>
      <c r="C7" s="15">
        <f>VLOOKUP($B$3,'Data for Bill Impacts'!$A$3:$Y$21,4,0)</f>
        <v>600</v>
      </c>
    </row>
    <row r="8" spans="1:11" x14ac:dyDescent="0.2">
      <c r="A8" s="15" t="s">
        <v>82</v>
      </c>
      <c r="B8" s="193">
        <f>B4*B6</f>
        <v>1479.8</v>
      </c>
      <c r="C8" s="193">
        <f>C4*C6</f>
        <v>1460.34</v>
      </c>
    </row>
    <row r="9" spans="1:11" x14ac:dyDescent="0.2">
      <c r="A9" s="15" t="s">
        <v>21</v>
      </c>
      <c r="B9" s="16" t="str">
        <f>VLOOKUP($B$3,'Data for Bill Impacts'!$A$3:$Y$21,6,0)</f>
        <v>kWh</v>
      </c>
      <c r="C9" s="16" t="str">
        <f>VLOOKUP($B$3,'Data for Bill Impacts'!$A$3:$Y$21,6,0)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ht="13.5" thickBot="1" x14ac:dyDescent="0.25">
      <c r="A12" s="101" t="s">
        <v>31</v>
      </c>
      <c r="B12" s="102">
        <f>IF(C4&gt;C7,C7,C4)</f>
        <v>600</v>
      </c>
      <c r="C12" s="103">
        <v>0.10299999999999999</v>
      </c>
      <c r="D12" s="104">
        <f>B12*C12</f>
        <v>61.8</v>
      </c>
      <c r="E12" s="102">
        <f>IF(B4&gt;B7,B7,B4)</f>
        <v>600</v>
      </c>
      <c r="F12" s="103">
        <f>C12</f>
        <v>0.10299999999999999</v>
      </c>
      <c r="G12" s="104">
        <f>E12*F12</f>
        <v>61.8</v>
      </c>
      <c r="H12" s="104">
        <f>G12-D12</f>
        <v>0</v>
      </c>
      <c r="I12" s="105">
        <f>IF(ISERROR(H12/D12),0,(H12/D12))</f>
        <v>0</v>
      </c>
      <c r="J12" s="105">
        <f>G12/$G$44</f>
        <v>0.25579414402519085</v>
      </c>
      <c r="K12" s="106"/>
    </row>
    <row r="13" spans="1:11" x14ac:dyDescent="0.2">
      <c r="A13" s="107" t="s">
        <v>32</v>
      </c>
      <c r="B13" s="73">
        <f>IF(C4&gt;C7,(C4)-C7,0)</f>
        <v>800</v>
      </c>
      <c r="C13" s="21">
        <v>0.121</v>
      </c>
      <c r="D13" s="104">
        <f>B13*C13</f>
        <v>96.8</v>
      </c>
      <c r="E13" s="73">
        <f>IF(B4&gt;B7,(B4)-B7,0)</f>
        <v>800</v>
      </c>
      <c r="F13" s="21">
        <f>C13</f>
        <v>0.121</v>
      </c>
      <c r="G13" s="22">
        <f>E13*F13</f>
        <v>96.8</v>
      </c>
      <c r="H13" s="22">
        <f t="shared" ref="H13:H44" si="0">G13-D13</f>
        <v>0</v>
      </c>
      <c r="I13" s="23">
        <f t="shared" ref="I13:I44" si="1">IF(ISERROR(H13/D13),0,(H13/D13))</f>
        <v>0</v>
      </c>
      <c r="J13" s="23">
        <f>G13/$G$44</f>
        <v>0.40066137769641547</v>
      </c>
      <c r="K13" s="108"/>
    </row>
    <row r="14" spans="1:11" s="1" customFormat="1" x14ac:dyDescent="0.2">
      <c r="A14" s="46" t="s">
        <v>33</v>
      </c>
      <c r="B14" s="24"/>
      <c r="C14" s="25"/>
      <c r="D14" s="25">
        <f>SUM(D12:D13)</f>
        <v>158.6</v>
      </c>
      <c r="E14" s="76"/>
      <c r="F14" s="25"/>
      <c r="G14" s="25">
        <f>SUM(G12:G13)</f>
        <v>158.6</v>
      </c>
      <c r="H14" s="25">
        <f t="shared" si="0"/>
        <v>0</v>
      </c>
      <c r="I14" s="27">
        <f t="shared" si="1"/>
        <v>0</v>
      </c>
      <c r="J14" s="27">
        <f>G14/$G$44</f>
        <v>0.65645552172160626</v>
      </c>
      <c r="K14" s="108"/>
    </row>
    <row r="15" spans="1:11" s="1" customFormat="1" x14ac:dyDescent="0.2">
      <c r="A15" s="109" t="s">
        <v>34</v>
      </c>
      <c r="B15" s="75">
        <f>C4*0.65</f>
        <v>910</v>
      </c>
      <c r="C15" s="28">
        <v>8.6999999999999994E-2</v>
      </c>
      <c r="D15" s="272">
        <f>B15*C15</f>
        <v>79.169999999999987</v>
      </c>
      <c r="E15" s="75">
        <f>B4*0.65</f>
        <v>910</v>
      </c>
      <c r="F15" s="28">
        <f t="shared" ref="F15:F17" si="2">C15</f>
        <v>8.6999999999999994E-2</v>
      </c>
      <c r="G15" s="22">
        <f>E15*F15</f>
        <v>79.169999999999987</v>
      </c>
      <c r="H15" s="22">
        <f t="shared" si="0"/>
        <v>0</v>
      </c>
      <c r="I15" s="23">
        <f t="shared" si="1"/>
        <v>0</v>
      </c>
      <c r="J15" s="23"/>
      <c r="K15" s="108">
        <f t="shared" ref="K15:K39" si="3">G15/$G$49</f>
        <v>0.33263503211044199</v>
      </c>
    </row>
    <row r="16" spans="1:11" s="1" customFormat="1" x14ac:dyDescent="0.2">
      <c r="A16" s="109" t="s">
        <v>35</v>
      </c>
      <c r="B16" s="75">
        <f>C4*0.17</f>
        <v>238.00000000000003</v>
      </c>
      <c r="C16" s="28">
        <v>0.13200000000000001</v>
      </c>
      <c r="D16" s="272">
        <f t="shared" ref="D16:D17" si="4">B16*C16</f>
        <v>31.416000000000004</v>
      </c>
      <c r="E16" s="75">
        <f>B4*0.17</f>
        <v>238.00000000000003</v>
      </c>
      <c r="F16" s="28">
        <f t="shared" si="2"/>
        <v>0.13200000000000001</v>
      </c>
      <c r="G16" s="22">
        <f>E16*F16</f>
        <v>31.416000000000004</v>
      </c>
      <c r="H16" s="22">
        <f t="shared" si="0"/>
        <v>0</v>
      </c>
      <c r="I16" s="23">
        <f t="shared" si="1"/>
        <v>0</v>
      </c>
      <c r="J16" s="23"/>
      <c r="K16" s="108">
        <f t="shared" si="3"/>
        <v>0.13199522759607993</v>
      </c>
    </row>
    <row r="17" spans="1:11" s="1" customFormat="1" x14ac:dyDescent="0.2">
      <c r="A17" s="109" t="s">
        <v>36</v>
      </c>
      <c r="B17" s="75">
        <f>C4*0.18</f>
        <v>252</v>
      </c>
      <c r="C17" s="28">
        <v>0.18</v>
      </c>
      <c r="D17" s="272">
        <f t="shared" si="4"/>
        <v>45.36</v>
      </c>
      <c r="E17" s="75">
        <f>B4*0.18</f>
        <v>252</v>
      </c>
      <c r="F17" s="28">
        <f t="shared" si="2"/>
        <v>0.18</v>
      </c>
      <c r="G17" s="22">
        <f>E17*F17</f>
        <v>45.36</v>
      </c>
      <c r="H17" s="22">
        <f t="shared" si="0"/>
        <v>0</v>
      </c>
      <c r="I17" s="23">
        <f t="shared" si="1"/>
        <v>0</v>
      </c>
      <c r="J17" s="23"/>
      <c r="K17" s="108">
        <f t="shared" si="3"/>
        <v>0.19058134465744159</v>
      </c>
    </row>
    <row r="18" spans="1:11" s="1" customFormat="1" x14ac:dyDescent="0.2">
      <c r="A18" s="61" t="s">
        <v>37</v>
      </c>
      <c r="B18" s="29"/>
      <c r="C18" s="30"/>
      <c r="D18" s="30">
        <f>SUM(D15:D17)</f>
        <v>155.94599999999997</v>
      </c>
      <c r="E18" s="77"/>
      <c r="F18" s="30"/>
      <c r="G18" s="30">
        <f>SUM(G15:G17)</f>
        <v>155.94599999999997</v>
      </c>
      <c r="H18" s="31">
        <f t="shared" si="0"/>
        <v>0</v>
      </c>
      <c r="I18" s="32">
        <f t="shared" si="1"/>
        <v>0</v>
      </c>
      <c r="J18" s="33">
        <f t="shared" ref="J18:J42" si="5">G18/$G$44</f>
        <v>0.64547044634550821</v>
      </c>
      <c r="K18" s="62">
        <f t="shared" si="3"/>
        <v>0.65521160436396342</v>
      </c>
    </row>
    <row r="19" spans="1:11" x14ac:dyDescent="0.2">
      <c r="A19" s="107" t="s">
        <v>38</v>
      </c>
      <c r="B19" s="73">
        <v>1</v>
      </c>
      <c r="C19" s="122">
        <f>'Data for Bill Impacts'!G22</f>
        <v>29.98</v>
      </c>
      <c r="D19" s="22">
        <f>B19*C19</f>
        <v>29.98</v>
      </c>
      <c r="E19" s="73">
        <v>1</v>
      </c>
      <c r="F19" s="122">
        <f>VLOOKUP($B$3,'Data for Bill Impacts'!$A$3:$Y$21,17,0)</f>
        <v>30.76</v>
      </c>
      <c r="G19" s="22">
        <f>E19*F19</f>
        <v>30.76</v>
      </c>
      <c r="H19" s="22">
        <f t="shared" si="0"/>
        <v>0.78000000000000114</v>
      </c>
      <c r="I19" s="23">
        <f t="shared" si="1"/>
        <v>2.601734489659777E-2</v>
      </c>
      <c r="J19" s="23">
        <f t="shared" si="5"/>
        <v>0.12731760307791054</v>
      </c>
      <c r="K19" s="108">
        <f t="shared" si="3"/>
        <v>0.12923902472801815</v>
      </c>
    </row>
    <row r="20" spans="1:11" x14ac:dyDescent="0.2">
      <c r="A20" s="107" t="s">
        <v>188</v>
      </c>
      <c r="B20" s="73">
        <v>1</v>
      </c>
      <c r="C20" s="122">
        <f>'Data for Bill Impacts'!K22</f>
        <v>-0.3</v>
      </c>
      <c r="D20" s="22">
        <f t="shared" ref="D20" si="6">B20*C20</f>
        <v>-0.3</v>
      </c>
      <c r="E20" s="73">
        <v>1</v>
      </c>
      <c r="F20" s="122">
        <v>0</v>
      </c>
      <c r="G20" s="22">
        <f t="shared" ref="G20" si="7">E20*F20</f>
        <v>0</v>
      </c>
      <c r="H20" s="22">
        <f t="shared" si="0"/>
        <v>0.3</v>
      </c>
      <c r="I20" s="23">
        <f t="shared" si="1"/>
        <v>-1</v>
      </c>
      <c r="J20" s="23">
        <f t="shared" si="5"/>
        <v>0</v>
      </c>
      <c r="K20" s="108">
        <f t="shared" si="3"/>
        <v>0</v>
      </c>
    </row>
    <row r="21" spans="1:11" x14ac:dyDescent="0.2">
      <c r="A21" s="107" t="s">
        <v>39</v>
      </c>
      <c r="B21" s="73">
        <f>IF($C$9="kWh",$C$4,$C$5)</f>
        <v>1400</v>
      </c>
      <c r="C21" s="126">
        <f>'Data for Bill Impacts'!J22</f>
        <v>0</v>
      </c>
      <c r="D21" s="22">
        <f>B21*C21</f>
        <v>0</v>
      </c>
      <c r="E21" s="73">
        <f>IF($B$9="kWh",$B$4,$B$5)</f>
        <v>1400</v>
      </c>
      <c r="F21" s="126">
        <f>VLOOKUP($B$3,'Data for Bill Impacts'!$A$3:$Y$21,19,0)</f>
        <v>0</v>
      </c>
      <c r="G21" s="22">
        <f>E21*F21</f>
        <v>0</v>
      </c>
      <c r="H21" s="22">
        <f t="shared" si="0"/>
        <v>0</v>
      </c>
      <c r="I21" s="23">
        <f t="shared" si="1"/>
        <v>0</v>
      </c>
      <c r="J21" s="23">
        <f t="shared" si="5"/>
        <v>0</v>
      </c>
      <c r="K21" s="108">
        <f t="shared" si="3"/>
        <v>0</v>
      </c>
    </row>
    <row r="22" spans="1:11" x14ac:dyDescent="0.2">
      <c r="A22" s="107" t="s">
        <v>190</v>
      </c>
      <c r="B22" s="73">
        <f>IF($C$9="kWh",$C$4,$C$5)</f>
        <v>1400</v>
      </c>
      <c r="C22" s="126">
        <v>0</v>
      </c>
      <c r="D22" s="22">
        <f>B22*C22</f>
        <v>0</v>
      </c>
      <c r="E22" s="73">
        <f>IF($B$9="kWh",$B$4,$B$5)</f>
        <v>1400</v>
      </c>
      <c r="F22" s="126">
        <v>0</v>
      </c>
      <c r="G22" s="22">
        <f>E22*F22</f>
        <v>0</v>
      </c>
      <c r="H22" s="22">
        <f>G22-D22</f>
        <v>0</v>
      </c>
      <c r="I22" s="23">
        <f>IF(ISERROR(H22/D22),0,(H22/D22))</f>
        <v>0</v>
      </c>
      <c r="J22" s="23">
        <f t="shared" si="5"/>
        <v>0</v>
      </c>
      <c r="K22" s="108">
        <f t="shared" si="3"/>
        <v>0</v>
      </c>
    </row>
    <row r="23" spans="1:11" s="1" customFormat="1" x14ac:dyDescent="0.2">
      <c r="A23" s="110" t="s">
        <v>72</v>
      </c>
      <c r="B23" s="74"/>
      <c r="C23" s="35"/>
      <c r="D23" s="35">
        <f>SUM(D19:D22)</f>
        <v>29.68</v>
      </c>
      <c r="E23" s="73"/>
      <c r="F23" s="35"/>
      <c r="G23" s="35">
        <f>SUM(G19:G22)</f>
        <v>30.76</v>
      </c>
      <c r="H23" s="35">
        <f t="shared" si="0"/>
        <v>1.0800000000000018</v>
      </c>
      <c r="I23" s="36">
        <f t="shared" si="1"/>
        <v>3.6388140161725133E-2</v>
      </c>
      <c r="J23" s="36">
        <f t="shared" si="5"/>
        <v>0.12731760307791054</v>
      </c>
      <c r="K23" s="111">
        <f t="shared" si="3"/>
        <v>0.12923902472801815</v>
      </c>
    </row>
    <row r="24" spans="1:11" s="1" customFormat="1" x14ac:dyDescent="0.2">
      <c r="A24" s="119" t="s">
        <v>73</v>
      </c>
      <c r="B24" s="120">
        <v>1</v>
      </c>
      <c r="C24" s="78">
        <f>VLOOKUP($B$3,'Data for Bill Impacts'!$A$3:$Y$21,9,0)</f>
        <v>0.79</v>
      </c>
      <c r="D24" s="22">
        <f>B24*C24</f>
        <v>0.79</v>
      </c>
      <c r="E24" s="73">
        <v>1</v>
      </c>
      <c r="F24" s="78">
        <f>VLOOKUP($B$3,'Data for Bill Impacts'!$A$3:$Y$21,18,0)</f>
        <v>0.79</v>
      </c>
      <c r="G24" s="22">
        <f>E24*F24</f>
        <v>0.79</v>
      </c>
      <c r="H24" s="22">
        <f t="shared" si="0"/>
        <v>0</v>
      </c>
      <c r="I24" s="23">
        <f>IF(ISERROR(H24/D24),0,(H24/D24))</f>
        <v>0</v>
      </c>
      <c r="J24" s="23">
        <f t="shared" si="5"/>
        <v>3.2698604171504985E-3</v>
      </c>
      <c r="K24" s="108">
        <f t="shared" si="3"/>
        <v>3.3192077222085285E-3</v>
      </c>
    </row>
    <row r="25" spans="1:11" s="1" customFormat="1" x14ac:dyDescent="0.2">
      <c r="A25" s="119" t="s">
        <v>75</v>
      </c>
      <c r="B25" s="120">
        <f>C8-C4</f>
        <v>60.339999999999918</v>
      </c>
      <c r="C25" s="121">
        <f>IF(B4&gt;B7,C13,C12)</f>
        <v>0.121</v>
      </c>
      <c r="D25" s="22">
        <f>B25*C25</f>
        <v>7.3011399999999895</v>
      </c>
      <c r="E25" s="120">
        <f>B8-B4</f>
        <v>79.799999999999955</v>
      </c>
      <c r="F25" s="121">
        <f>C25</f>
        <v>0.121</v>
      </c>
      <c r="G25" s="22">
        <f>E25*F25</f>
        <v>9.6557999999999939</v>
      </c>
      <c r="H25" s="22">
        <f t="shared" si="0"/>
        <v>2.3546600000000044</v>
      </c>
      <c r="I25" s="23">
        <f>IF(ISERROR(H25/D25),0,(H25/D25))</f>
        <v>0.32250580046403821</v>
      </c>
      <c r="J25" s="23">
        <f t="shared" si="5"/>
        <v>3.9965972425217419E-2</v>
      </c>
      <c r="K25" s="108">
        <f t="shared" si="3"/>
        <v>4.0569121422912774E-2</v>
      </c>
    </row>
    <row r="26" spans="1:11" s="1" customFormat="1" x14ac:dyDescent="0.2">
      <c r="A26" s="119" t="s">
        <v>74</v>
      </c>
      <c r="B26" s="120">
        <f>C8-C4</f>
        <v>60.339999999999918</v>
      </c>
      <c r="C26" s="121">
        <f>0.65*C15+0.17*C16+0.18*C17</f>
        <v>0.11139</v>
      </c>
      <c r="D26" s="22">
        <f>B26*C26</f>
        <v>6.7212725999999909</v>
      </c>
      <c r="E26" s="120">
        <f>B8-B4</f>
        <v>79.799999999999955</v>
      </c>
      <c r="F26" s="121">
        <f>C26</f>
        <v>0.11139</v>
      </c>
      <c r="G26" s="22">
        <f>E26*F26</f>
        <v>8.8889219999999955</v>
      </c>
      <c r="H26" s="22">
        <f t="shared" si="0"/>
        <v>2.1676494000000046</v>
      </c>
      <c r="I26" s="23">
        <f>IF(ISERROR(H26/D26),0,(H26/D26))</f>
        <v>0.32250580046403826</v>
      </c>
      <c r="J26" s="23">
        <f t="shared" si="5"/>
        <v>3.6791815441693958E-2</v>
      </c>
      <c r="K26" s="108">
        <f t="shared" si="3"/>
        <v>3.7347061448745902E-2</v>
      </c>
    </row>
    <row r="27" spans="1:11" s="1" customFormat="1" x14ac:dyDescent="0.2">
      <c r="A27" s="110" t="s">
        <v>78</v>
      </c>
      <c r="B27" s="74"/>
      <c r="C27" s="35"/>
      <c r="D27" s="35">
        <f>SUM(D23,D24:D25)</f>
        <v>37.771139999999988</v>
      </c>
      <c r="E27" s="73"/>
      <c r="F27" s="35"/>
      <c r="G27" s="35">
        <f>SUM(G23,G24:G25)</f>
        <v>41.205799999999996</v>
      </c>
      <c r="H27" s="35">
        <f t="shared" si="0"/>
        <v>3.434660000000008</v>
      </c>
      <c r="I27" s="36">
        <f>IF(ISERROR(H27/D27),0,(H27/D27))</f>
        <v>9.0933448129974601E-2</v>
      </c>
      <c r="J27" s="36">
        <f t="shared" si="5"/>
        <v>0.17055343592027847</v>
      </c>
      <c r="K27" s="111">
        <f t="shared" si="3"/>
        <v>0.17312735387313946</v>
      </c>
    </row>
    <row r="28" spans="1:11" s="1" customFormat="1" x14ac:dyDescent="0.2">
      <c r="A28" s="110" t="s">
        <v>77</v>
      </c>
      <c r="B28" s="74"/>
      <c r="C28" s="35"/>
      <c r="D28" s="35">
        <f>SUM(D23,D24,D26)</f>
        <v>37.191272599999991</v>
      </c>
      <c r="E28" s="73"/>
      <c r="F28" s="35"/>
      <c r="G28" s="35">
        <f>SUM(G23,G24,G26)</f>
        <v>40.438921999999998</v>
      </c>
      <c r="H28" s="35">
        <f t="shared" si="0"/>
        <v>3.2476494000000073</v>
      </c>
      <c r="I28" s="36">
        <f>IF(ISERROR(H28/D28),0,(H28/D28))</f>
        <v>8.7322889833030562E-2</v>
      </c>
      <c r="J28" s="36">
        <f t="shared" si="5"/>
        <v>0.167379278936755</v>
      </c>
      <c r="K28" s="111">
        <f t="shared" si="3"/>
        <v>0.16990529389897258</v>
      </c>
    </row>
    <row r="29" spans="1:11" x14ac:dyDescent="0.2">
      <c r="A29" s="107" t="s">
        <v>40</v>
      </c>
      <c r="B29" s="73">
        <f>C8</f>
        <v>1460.34</v>
      </c>
      <c r="C29" s="78">
        <f>VLOOKUP($B$3,'Data for Bill Impacts'!$A$3:$Y$21,15,0)</f>
        <v>7.1999999999999998E-3</v>
      </c>
      <c r="D29" s="22">
        <f>B29*C29</f>
        <v>10.514448</v>
      </c>
      <c r="E29" s="73">
        <f>B8</f>
        <v>1479.8</v>
      </c>
      <c r="F29" s="78">
        <f>VLOOKUP($B$3,'Data for Bill Impacts'!$A$3:$Y$21,24,0)</f>
        <v>7.3000000000000001E-3</v>
      </c>
      <c r="G29" s="22">
        <f>E29*F29</f>
        <v>10.80254</v>
      </c>
      <c r="H29" s="22">
        <f t="shared" si="0"/>
        <v>0.28809200000000068</v>
      </c>
      <c r="I29" s="23">
        <f t="shared" si="1"/>
        <v>2.7399631440471309E-2</v>
      </c>
      <c r="J29" s="23">
        <f t="shared" si="5"/>
        <v>4.4712402469221445E-2</v>
      </c>
      <c r="K29" s="108">
        <f t="shared" si="3"/>
        <v>4.5387182515780403E-2</v>
      </c>
    </row>
    <row r="30" spans="1:11" x14ac:dyDescent="0.2">
      <c r="A30" s="107" t="s">
        <v>41</v>
      </c>
      <c r="B30" s="73">
        <f>C8</f>
        <v>1460.34</v>
      </c>
      <c r="C30" s="126">
        <f>VLOOKUP($B$3,'Data for Bill Impacts'!$A$3:$Y$21,16,0)</f>
        <v>5.5688910375990336E-3</v>
      </c>
      <c r="D30" s="22">
        <f>B30*C30</f>
        <v>8.1324743378473716</v>
      </c>
      <c r="E30" s="73">
        <f>B8</f>
        <v>1479.8</v>
      </c>
      <c r="F30" s="78">
        <f>VLOOKUP($B$3,'Data for Bill Impacts'!$A$3:$Y$21,25,0)</f>
        <v>6.1999999999999998E-3</v>
      </c>
      <c r="G30" s="22">
        <f>E30*F30</f>
        <v>9.1747599999999991</v>
      </c>
      <c r="H30" s="22">
        <f t="shared" si="0"/>
        <v>1.0422856621526275</v>
      </c>
      <c r="I30" s="23">
        <f t="shared" si="1"/>
        <v>0.12816341237032611</v>
      </c>
      <c r="J30" s="23">
        <f t="shared" si="5"/>
        <v>3.797491716564013E-2</v>
      </c>
      <c r="K30" s="108">
        <f t="shared" si="3"/>
        <v>3.8548018027101158E-2</v>
      </c>
    </row>
    <row r="31" spans="1:11" s="1" customFormat="1" x14ac:dyDescent="0.2">
      <c r="A31" s="110" t="s">
        <v>76</v>
      </c>
      <c r="B31" s="74"/>
      <c r="C31" s="35"/>
      <c r="D31" s="35">
        <f>SUM(D29:D30)</f>
        <v>18.646922337847371</v>
      </c>
      <c r="E31" s="73"/>
      <c r="F31" s="35"/>
      <c r="G31" s="35">
        <f>SUM(G29:G30)</f>
        <v>19.9773</v>
      </c>
      <c r="H31" s="35">
        <f t="shared" si="0"/>
        <v>1.3303776621526282</v>
      </c>
      <c r="I31" s="36">
        <f t="shared" si="1"/>
        <v>7.1345696520244584E-2</v>
      </c>
      <c r="J31" s="36">
        <f t="shared" si="5"/>
        <v>8.2687319634861575E-2</v>
      </c>
      <c r="K31" s="111">
        <f t="shared" si="3"/>
        <v>8.3935200542881561E-2</v>
      </c>
    </row>
    <row r="32" spans="1:11" s="1" customFormat="1" x14ac:dyDescent="0.2">
      <c r="A32" s="110" t="s">
        <v>95</v>
      </c>
      <c r="B32" s="74"/>
      <c r="C32" s="35"/>
      <c r="D32" s="35">
        <f>D27+D31</f>
        <v>56.41806233784736</v>
      </c>
      <c r="E32" s="73"/>
      <c r="F32" s="35"/>
      <c r="G32" s="35">
        <f>G27+G31</f>
        <v>61.183099999999996</v>
      </c>
      <c r="H32" s="35">
        <f t="shared" si="0"/>
        <v>4.7650376621526362</v>
      </c>
      <c r="I32" s="36">
        <f t="shared" si="1"/>
        <v>8.4459434881301657E-2</v>
      </c>
      <c r="J32" s="36">
        <f t="shared" si="5"/>
        <v>0.25324075555514003</v>
      </c>
      <c r="K32" s="111">
        <f t="shared" si="3"/>
        <v>0.25706255441602099</v>
      </c>
    </row>
    <row r="33" spans="1:11" s="1" customFormat="1" x14ac:dyDescent="0.2">
      <c r="A33" s="110" t="s">
        <v>96</v>
      </c>
      <c r="B33" s="74"/>
      <c r="C33" s="35"/>
      <c r="D33" s="35">
        <f>D28+D31</f>
        <v>55.838194937847362</v>
      </c>
      <c r="E33" s="73"/>
      <c r="F33" s="35"/>
      <c r="G33" s="35">
        <f>G28+G31</f>
        <v>60.416221999999998</v>
      </c>
      <c r="H33" s="35">
        <f t="shared" si="0"/>
        <v>4.5780270621526356</v>
      </c>
      <c r="I33" s="36">
        <f t="shared" si="1"/>
        <v>8.1987375617144628E-2</v>
      </c>
      <c r="J33" s="36">
        <f t="shared" si="5"/>
        <v>0.25006659857161656</v>
      </c>
      <c r="K33" s="111">
        <f t="shared" si="3"/>
        <v>0.25384049444185414</v>
      </c>
    </row>
    <row r="34" spans="1:11" x14ac:dyDescent="0.2">
      <c r="A34" s="107" t="s">
        <v>42</v>
      </c>
      <c r="B34" s="73">
        <f>C8</f>
        <v>1460.34</v>
      </c>
      <c r="C34" s="34">
        <v>3.5999999999999999E-3</v>
      </c>
      <c r="D34" s="22">
        <f>B34*C34</f>
        <v>5.2572239999999999</v>
      </c>
      <c r="E34" s="73">
        <f>B8</f>
        <v>1479.8</v>
      </c>
      <c r="F34" s="34">
        <v>3.5999999999999999E-3</v>
      </c>
      <c r="G34" s="22">
        <f>E34*F34</f>
        <v>5.32728</v>
      </c>
      <c r="H34" s="22">
        <f t="shared" si="0"/>
        <v>7.0056000000000118E-2</v>
      </c>
      <c r="I34" s="23">
        <f t="shared" si="1"/>
        <v>1.3325663886492209E-2</v>
      </c>
      <c r="J34" s="23">
        <f t="shared" si="5"/>
        <v>2.2049951902629754E-2</v>
      </c>
      <c r="K34" s="108">
        <f t="shared" si="3"/>
        <v>2.2382720144768418E-2</v>
      </c>
    </row>
    <row r="35" spans="1:11" x14ac:dyDescent="0.2">
      <c r="A35" s="107" t="s">
        <v>43</v>
      </c>
      <c r="B35" s="73">
        <f>C8</f>
        <v>1460.34</v>
      </c>
      <c r="C35" s="34">
        <v>2.0999999999999999E-3</v>
      </c>
      <c r="D35" s="22">
        <f>B35*C35</f>
        <v>3.0667139999999997</v>
      </c>
      <c r="E35" s="73">
        <f>B8</f>
        <v>1479.8</v>
      </c>
      <c r="F35" s="34">
        <v>2.0999999999999999E-3</v>
      </c>
      <c r="G35" s="22">
        <f>E35*F35</f>
        <v>3.1075799999999996</v>
      </c>
      <c r="H35" s="22">
        <f>G35-D35</f>
        <v>4.0865999999999847E-2</v>
      </c>
      <c r="I35" s="23">
        <f t="shared" si="1"/>
        <v>1.3325663886492138E-2</v>
      </c>
      <c r="J35" s="23">
        <f t="shared" si="5"/>
        <v>1.2862471943200688E-2</v>
      </c>
      <c r="K35" s="108">
        <f t="shared" si="3"/>
        <v>1.3056586751114908E-2</v>
      </c>
    </row>
    <row r="36" spans="1:11" x14ac:dyDescent="0.2">
      <c r="A36" s="107" t="s">
        <v>100</v>
      </c>
      <c r="B36" s="73">
        <f>C8</f>
        <v>1460.34</v>
      </c>
      <c r="C36" s="34">
        <v>1.1000000000000001E-3</v>
      </c>
      <c r="D36" s="22">
        <f>B36*C36</f>
        <v>1.606374</v>
      </c>
      <c r="E36" s="73">
        <f>B8</f>
        <v>1479.8</v>
      </c>
      <c r="F36" s="34">
        <v>1.1000000000000001E-3</v>
      </c>
      <c r="G36" s="22">
        <f>E36*F36</f>
        <v>1.62778</v>
      </c>
      <c r="H36" s="22">
        <f>G36-D36</f>
        <v>2.1406000000000036E-2</v>
      </c>
      <c r="I36" s="23">
        <f t="shared" si="1"/>
        <v>1.3325663886492209E-2</v>
      </c>
      <c r="J36" s="23">
        <f t="shared" si="5"/>
        <v>6.7374853035813134E-3</v>
      </c>
      <c r="K36" s="108">
        <f t="shared" si="3"/>
        <v>6.8391644886792386E-3</v>
      </c>
    </row>
    <row r="37" spans="1:11" x14ac:dyDescent="0.2">
      <c r="A37" s="107" t="s">
        <v>44</v>
      </c>
      <c r="B37" s="73">
        <v>1</v>
      </c>
      <c r="C37" s="22">
        <v>0.25</v>
      </c>
      <c r="D37" s="22">
        <f>B37*C37</f>
        <v>0.25</v>
      </c>
      <c r="E37" s="73">
        <v>1</v>
      </c>
      <c r="F37" s="22">
        <f>C37</f>
        <v>0.25</v>
      </c>
      <c r="G37" s="22">
        <f>E37*F37</f>
        <v>0.25</v>
      </c>
      <c r="H37" s="22">
        <f t="shared" si="0"/>
        <v>0</v>
      </c>
      <c r="I37" s="23">
        <f t="shared" si="1"/>
        <v>0</v>
      </c>
      <c r="J37" s="23">
        <f t="shared" si="5"/>
        <v>1.0347659547944614E-3</v>
      </c>
      <c r="K37" s="108">
        <f t="shared" si="3"/>
        <v>1.0503821905723191E-3</v>
      </c>
    </row>
    <row r="38" spans="1:11" s="1" customFormat="1" x14ac:dyDescent="0.2">
      <c r="A38" s="110" t="s">
        <v>45</v>
      </c>
      <c r="B38" s="74"/>
      <c r="C38" s="35"/>
      <c r="D38" s="35">
        <f>SUM(D34:D37)</f>
        <v>10.180312000000001</v>
      </c>
      <c r="E38" s="73"/>
      <c r="F38" s="35"/>
      <c r="G38" s="35">
        <f>SUM(G34:G37)</f>
        <v>10.31264</v>
      </c>
      <c r="H38" s="35">
        <f t="shared" si="0"/>
        <v>0.13232799999999934</v>
      </c>
      <c r="I38" s="36">
        <f t="shared" si="1"/>
        <v>1.2998422838121202E-2</v>
      </c>
      <c r="J38" s="36">
        <f t="shared" si="5"/>
        <v>4.2684675104206218E-2</v>
      </c>
      <c r="K38" s="111">
        <f t="shared" si="3"/>
        <v>4.3328853575134885E-2</v>
      </c>
    </row>
    <row r="39" spans="1:11" s="1" customFormat="1" ht="13.5" thickBot="1" x14ac:dyDescent="0.25">
      <c r="A39" s="112" t="s">
        <v>46</v>
      </c>
      <c r="B39" s="113">
        <f>C4</f>
        <v>1400</v>
      </c>
      <c r="C39" s="205">
        <v>0</v>
      </c>
      <c r="D39" s="115">
        <f>B39*C39</f>
        <v>0</v>
      </c>
      <c r="E39" s="116">
        <f>B4</f>
        <v>1400</v>
      </c>
      <c r="F39" s="205">
        <f>C39</f>
        <v>0</v>
      </c>
      <c r="G39" s="115">
        <f>E39*F39</f>
        <v>0</v>
      </c>
      <c r="H39" s="115">
        <f t="shared" si="0"/>
        <v>0</v>
      </c>
      <c r="I39" s="117">
        <f t="shared" si="1"/>
        <v>0</v>
      </c>
      <c r="J39" s="117">
        <f t="shared" si="5"/>
        <v>0</v>
      </c>
      <c r="K39" s="118">
        <f t="shared" si="3"/>
        <v>0</v>
      </c>
    </row>
    <row r="40" spans="1:11" s="1" customFormat="1" x14ac:dyDescent="0.2">
      <c r="A40" s="37" t="s">
        <v>137</v>
      </c>
      <c r="B40" s="38"/>
      <c r="C40" s="39"/>
      <c r="D40" s="39">
        <f>SUM(D14,D23,D24,D25,D31,D38,D39)</f>
        <v>225.19837433784733</v>
      </c>
      <c r="E40" s="38"/>
      <c r="F40" s="39"/>
      <c r="G40" s="39">
        <f>SUM(G14,G23,G24,G25,G31,G38,G39)</f>
        <v>230.09573999999998</v>
      </c>
      <c r="H40" s="39">
        <f t="shared" si="0"/>
        <v>4.8973656621526516</v>
      </c>
      <c r="I40" s="40">
        <f>IF(ISERROR(H40/D40),0,(H40/D40))</f>
        <v>2.1746896160118458E-2</v>
      </c>
      <c r="J40" s="40">
        <f t="shared" si="5"/>
        <v>0.95238095238095255</v>
      </c>
      <c r="K40" s="41"/>
    </row>
    <row r="41" spans="1:11" x14ac:dyDescent="0.2">
      <c r="A41" s="150" t="s">
        <v>138</v>
      </c>
      <c r="B41" s="43"/>
      <c r="C41" s="26">
        <v>0.13</v>
      </c>
      <c r="D41" s="26">
        <f>D40*C41</f>
        <v>29.275788663920153</v>
      </c>
      <c r="E41" s="26"/>
      <c r="F41" s="26">
        <f>C41</f>
        <v>0.13</v>
      </c>
      <c r="G41" s="26">
        <f>G40*F41</f>
        <v>29.912446199999998</v>
      </c>
      <c r="H41" s="26">
        <f t="shared" si="0"/>
        <v>0.63665753607984499</v>
      </c>
      <c r="I41" s="44">
        <f t="shared" si="1"/>
        <v>2.1746896160118469E-2</v>
      </c>
      <c r="J41" s="44">
        <f t="shared" si="5"/>
        <v>0.12380952380952383</v>
      </c>
      <c r="K41" s="45"/>
    </row>
    <row r="42" spans="1:11" s="1" customFormat="1" x14ac:dyDescent="0.2">
      <c r="A42" s="46" t="s">
        <v>139</v>
      </c>
      <c r="B42" s="24"/>
      <c r="C42" s="25"/>
      <c r="D42" s="25">
        <f>SUM(D40:D41)</f>
        <v>254.47416300176747</v>
      </c>
      <c r="E42" s="25"/>
      <c r="F42" s="25"/>
      <c r="G42" s="25">
        <f>SUM(G40:G41)</f>
        <v>260.00818619999995</v>
      </c>
      <c r="H42" s="25">
        <f t="shared" si="0"/>
        <v>5.5340231982324894</v>
      </c>
      <c r="I42" s="27">
        <f t="shared" si="1"/>
        <v>2.1746896160118434E-2</v>
      </c>
      <c r="J42" s="27">
        <f t="shared" si="5"/>
        <v>1.0761904761904764</v>
      </c>
      <c r="K42" s="47"/>
    </row>
    <row r="43" spans="1:11" x14ac:dyDescent="0.2">
      <c r="A43" s="42" t="s">
        <v>140</v>
      </c>
      <c r="B43" s="43"/>
      <c r="C43" s="26">
        <v>-0.08</v>
      </c>
      <c r="D43" s="26">
        <f>D40*C43</f>
        <v>-18.015869947027788</v>
      </c>
      <c r="E43" s="26"/>
      <c r="F43" s="26">
        <f>C43</f>
        <v>-0.08</v>
      </c>
      <c r="G43" s="26">
        <f>G40*F43</f>
        <v>-18.407659199999998</v>
      </c>
      <c r="H43" s="26">
        <f t="shared" si="0"/>
        <v>-0.39178925297220957</v>
      </c>
      <c r="I43" s="44">
        <f t="shared" si="1"/>
        <v>2.1746896160118316E-2</v>
      </c>
      <c r="J43" s="44">
        <f t="shared" ref="J43:J44" si="8">G43/$G$44</f>
        <v>-7.6190476190476197E-2</v>
      </c>
      <c r="K43" s="45"/>
    </row>
    <row r="44" spans="1:11" s="1" customFormat="1" ht="13.5" thickBot="1" x14ac:dyDescent="0.25">
      <c r="A44" s="48" t="s">
        <v>141</v>
      </c>
      <c r="B44" s="49"/>
      <c r="C44" s="50"/>
      <c r="D44" s="50">
        <f>SUM(D42:D43)</f>
        <v>236.45829305473967</v>
      </c>
      <c r="E44" s="50"/>
      <c r="F44" s="50"/>
      <c r="G44" s="50">
        <f>SUM(G42:G43)</f>
        <v>241.60052699999994</v>
      </c>
      <c r="H44" s="50">
        <f t="shared" si="0"/>
        <v>5.1422339452602728</v>
      </c>
      <c r="I44" s="51">
        <f t="shared" si="1"/>
        <v>2.1746896160118413E-2</v>
      </c>
      <c r="J44" s="51">
        <f t="shared" si="8"/>
        <v>1</v>
      </c>
      <c r="K44" s="52"/>
    </row>
    <row r="45" spans="1:11" x14ac:dyDescent="0.2">
      <c r="A45" s="53" t="s">
        <v>142</v>
      </c>
      <c r="B45" s="54"/>
      <c r="C45" s="55"/>
      <c r="D45" s="55">
        <f>SUM(D18,D23,D24,D26,D31,D38,D39)</f>
        <v>221.96450693784732</v>
      </c>
      <c r="E45" s="55"/>
      <c r="F45" s="55"/>
      <c r="G45" s="55">
        <f>SUM(G18,G23,G24,G26,G31,G38,G39)</f>
        <v>226.67486199999996</v>
      </c>
      <c r="H45" s="55">
        <f>G45-D45</f>
        <v>4.7103550621526438</v>
      </c>
      <c r="I45" s="56">
        <f>IF(ISERROR(H45/D45),0,(H45/D45))</f>
        <v>2.1221208413611817E-2</v>
      </c>
      <c r="J45" s="56"/>
      <c r="K45" s="57">
        <f>G45/$G$49</f>
        <v>0.95238095238095244</v>
      </c>
    </row>
    <row r="46" spans="1:11" x14ac:dyDescent="0.2">
      <c r="A46" s="151" t="s">
        <v>138</v>
      </c>
      <c r="B46" s="59"/>
      <c r="C46" s="31">
        <v>0.13</v>
      </c>
      <c r="D46" s="31">
        <f>D45*C46</f>
        <v>28.855385901920151</v>
      </c>
      <c r="E46" s="31"/>
      <c r="F46" s="31">
        <f>C46</f>
        <v>0.13</v>
      </c>
      <c r="G46" s="31">
        <f>G45*F46</f>
        <v>29.467732059999996</v>
      </c>
      <c r="H46" s="31">
        <f>G46-D46</f>
        <v>0.61234615807984483</v>
      </c>
      <c r="I46" s="32">
        <f>IF(ISERROR(H46/D46),0,(H46/D46))</f>
        <v>2.1221208413611855E-2</v>
      </c>
      <c r="J46" s="32"/>
      <c r="K46" s="60">
        <f>G46/$G$49</f>
        <v>0.12380952380952381</v>
      </c>
    </row>
    <row r="47" spans="1:11" x14ac:dyDescent="0.2">
      <c r="A47" s="61" t="s">
        <v>143</v>
      </c>
      <c r="B47" s="29"/>
      <c r="C47" s="30"/>
      <c r="D47" s="30">
        <f>SUM(D45:D46)</f>
        <v>250.81989283976748</v>
      </c>
      <c r="E47" s="30"/>
      <c r="F47" s="30"/>
      <c r="G47" s="30">
        <f>SUM(G45:G46)</f>
        <v>256.14259405999996</v>
      </c>
      <c r="H47" s="30">
        <f>G47-D47</f>
        <v>5.3227012202324886</v>
      </c>
      <c r="I47" s="33">
        <f>IF(ISERROR(H47/D47),0,(H47/D47))</f>
        <v>2.122120841361182E-2</v>
      </c>
      <c r="J47" s="33"/>
      <c r="K47" s="62">
        <f>G47/$G$49</f>
        <v>1.0761904761904761</v>
      </c>
    </row>
    <row r="48" spans="1:11" x14ac:dyDescent="0.2">
      <c r="A48" s="58" t="s">
        <v>140</v>
      </c>
      <c r="B48" s="59"/>
      <c r="C48" s="31">
        <v>-0.08</v>
      </c>
      <c r="D48" s="31">
        <f>D45*C48</f>
        <v>-17.757160555027784</v>
      </c>
      <c r="E48" s="31"/>
      <c r="F48" s="31">
        <f>C48</f>
        <v>-0.08</v>
      </c>
      <c r="G48" s="31">
        <f>G45*F48</f>
        <v>-18.133988959999996</v>
      </c>
      <c r="H48" s="31">
        <f>G48-D48</f>
        <v>-0.37682840497221193</v>
      </c>
      <c r="I48" s="32">
        <f>IF(ISERROR(H48/D48),0,(H48/D48))</f>
        <v>2.1221208413611841E-2</v>
      </c>
      <c r="J48" s="32"/>
      <c r="K48" s="60">
        <f>G48/$G$49</f>
        <v>-7.6190476190476183E-2</v>
      </c>
    </row>
    <row r="49" spans="1:11" ht="13.5" thickBot="1" x14ac:dyDescent="0.25">
      <c r="A49" s="63" t="s">
        <v>144</v>
      </c>
      <c r="B49" s="64"/>
      <c r="C49" s="65"/>
      <c r="D49" s="65">
        <f>SUM(D47:D48)</f>
        <v>233.0627322847397</v>
      </c>
      <c r="E49" s="65"/>
      <c r="F49" s="65"/>
      <c r="G49" s="65">
        <f>SUM(G47:G48)</f>
        <v>238.00860509999995</v>
      </c>
      <c r="H49" s="65">
        <f>G49-D49</f>
        <v>4.9458728152602589</v>
      </c>
      <c r="I49" s="66">
        <f>IF(ISERROR(H49/D49),0,(H49/D49))</f>
        <v>2.122120841361174E-2</v>
      </c>
      <c r="J49" s="66"/>
      <c r="K49" s="67">
        <f>G49/$G$49</f>
        <v>1</v>
      </c>
    </row>
    <row r="50" spans="1:11" x14ac:dyDescent="0.2">
      <c r="C50" s="68"/>
      <c r="F50" s="69"/>
    </row>
    <row r="51" spans="1:11" x14ac:dyDescent="0.2">
      <c r="F51" s="69"/>
    </row>
    <row r="52" spans="1:11" x14ac:dyDescent="0.2">
      <c r="F52" s="69"/>
    </row>
    <row r="53" spans="1:11" x14ac:dyDescent="0.2">
      <c r="A53" s="70"/>
      <c r="B53" s="71"/>
      <c r="F53" s="69"/>
    </row>
    <row r="54" spans="1:11" x14ac:dyDescent="0.2">
      <c r="B54" s="71"/>
      <c r="F54" s="69"/>
    </row>
    <row r="55" spans="1:11" x14ac:dyDescent="0.2">
      <c r="F55" s="69"/>
    </row>
    <row r="56" spans="1:11" x14ac:dyDescent="0.2">
      <c r="D56" s="72"/>
      <c r="F56" s="69"/>
    </row>
    <row r="57" spans="1:11" x14ac:dyDescent="0.2">
      <c r="F57" s="69"/>
    </row>
    <row r="58" spans="1:11" x14ac:dyDescent="0.2">
      <c r="A58" s="70"/>
      <c r="B58" s="71"/>
      <c r="F58" s="69"/>
    </row>
    <row r="59" spans="1:11" x14ac:dyDescent="0.2">
      <c r="B59" s="72"/>
      <c r="D59" s="72"/>
      <c r="F59" s="69"/>
    </row>
    <row r="60" spans="1:11" x14ac:dyDescent="0.2">
      <c r="F60" s="69"/>
    </row>
    <row r="61" spans="1:11" x14ac:dyDescent="0.2">
      <c r="F61" s="69"/>
    </row>
    <row r="62" spans="1:11" x14ac:dyDescent="0.2">
      <c r="F62" s="69"/>
      <c r="K62"/>
    </row>
    <row r="63" spans="1:11" x14ac:dyDescent="0.2">
      <c r="F63" s="69"/>
      <c r="K63"/>
    </row>
    <row r="64" spans="1:11" x14ac:dyDescent="0.2">
      <c r="F64" s="69"/>
      <c r="K64"/>
    </row>
    <row r="65" spans="6:11" x14ac:dyDescent="0.2">
      <c r="F65" s="69"/>
      <c r="K65"/>
    </row>
    <row r="66" spans="6:11" x14ac:dyDescent="0.2">
      <c r="F66" s="69"/>
      <c r="K66"/>
    </row>
  </sheetData>
  <mergeCells count="1">
    <mergeCell ref="A1:K1"/>
  </mergeCell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'Data for Bill Impacts'!$A$3:$A$21</xm:f>
          </x14:formula1>
          <xm:sqref>B3</xm:sqref>
        </x14:dataValidation>
        <x14:dataValidation type="list" allowBlank="1" showInputMessage="1" showErrorMessage="1">
          <x14:formula1>
            <xm:f>'Data for Bill Impacts'!$A$3:$A$39</xm:f>
          </x14:formula1>
          <xm:sqref>C3</xm:sqref>
        </x14:dataValidation>
      </x14:dataValidations>
    </ext>
  </extLst>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pageSetUpPr fitToPage="1"/>
  </sheetPr>
  <dimension ref="A1:K67"/>
  <sheetViews>
    <sheetView topLeftCell="A19" workbookViewId="0">
      <selection activeCell="C19" sqref="C19"/>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48" t="s">
        <v>109</v>
      </c>
      <c r="B1" s="349"/>
      <c r="C1" s="349"/>
      <c r="D1" s="349"/>
      <c r="E1" s="349"/>
      <c r="F1" s="349"/>
      <c r="G1" s="349"/>
      <c r="H1" s="349"/>
      <c r="I1" s="349"/>
      <c r="J1" s="349"/>
      <c r="K1" s="350"/>
    </row>
    <row r="3" spans="1:11" x14ac:dyDescent="0.2">
      <c r="A3" s="13" t="s">
        <v>13</v>
      </c>
      <c r="B3" s="13" t="s">
        <v>196</v>
      </c>
      <c r="C3" s="13" t="s">
        <v>114</v>
      </c>
    </row>
    <row r="4" spans="1:11" x14ac:dyDescent="0.2">
      <c r="A4" s="15" t="s">
        <v>62</v>
      </c>
      <c r="B4" s="15">
        <v>1000</v>
      </c>
      <c r="C4" s="15">
        <v>1000</v>
      </c>
    </row>
    <row r="5" spans="1:11" x14ac:dyDescent="0.2">
      <c r="A5" s="15" t="s">
        <v>16</v>
      </c>
      <c r="B5" s="15">
        <f>VLOOKUP($B$3,'Data for Bill Impacts'!$A$3:$Y$21,5,0)</f>
        <v>0</v>
      </c>
      <c r="C5" s="15">
        <f>VLOOKUP($B$3,'Data for Bill Impacts'!$A$3:$Y$21,5,0)</f>
        <v>0</v>
      </c>
    </row>
    <row r="6" spans="1:11" x14ac:dyDescent="0.2">
      <c r="A6" s="15" t="s">
        <v>20</v>
      </c>
      <c r="B6" s="15">
        <f>VLOOKUP($B$3,'Data for Bill Impacts'!$A$3:$Y$21,2,0)</f>
        <v>1.0569999999999999</v>
      </c>
      <c r="C6" s="15">
        <f>VLOOKUP($C$3,'Data for Bill Impacts'!$A$3:$Y$30,2,0)</f>
        <v>1.0430999999999999</v>
      </c>
    </row>
    <row r="7" spans="1:11" x14ac:dyDescent="0.2">
      <c r="A7" s="15" t="s">
        <v>15</v>
      </c>
      <c r="B7" s="15">
        <f>VLOOKUP($B$3,'Data for Bill Impacts'!$A$3:$Y$21,4,0)</f>
        <v>750</v>
      </c>
      <c r="C7" s="15">
        <f>VLOOKUP($B$3,'Data for Bill Impacts'!$A$3:$Y$21,4,0)</f>
        <v>750</v>
      </c>
    </row>
    <row r="8" spans="1:11" x14ac:dyDescent="0.2">
      <c r="A8" s="15" t="s">
        <v>82</v>
      </c>
      <c r="B8" s="15">
        <f>B4*B6</f>
        <v>1057</v>
      </c>
      <c r="C8" s="15">
        <f>C4*C6</f>
        <v>1043.0999999999999</v>
      </c>
    </row>
    <row r="9" spans="1:11" x14ac:dyDescent="0.2">
      <c r="A9" s="15" t="s">
        <v>21</v>
      </c>
      <c r="B9" s="16" t="str">
        <f>VLOOKUP($B$3,'Data for Bill Impacts'!$A$3:$Y$21,6,0)</f>
        <v>kWh</v>
      </c>
      <c r="C9" s="16" t="str">
        <f>VLOOKUP($B$3,'Data for Bill Impacts'!$A$3:$Y$21,6,0)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ht="13.5" thickBot="1" x14ac:dyDescent="0.25">
      <c r="A12" s="101" t="s">
        <v>31</v>
      </c>
      <c r="B12" s="102">
        <f>IF(C4&gt;C7,C7,C4)</f>
        <v>750</v>
      </c>
      <c r="C12" s="103">
        <v>0.10299999999999999</v>
      </c>
      <c r="D12" s="104">
        <f>B12*C12</f>
        <v>77.25</v>
      </c>
      <c r="E12" s="102">
        <f>B12</f>
        <v>750</v>
      </c>
      <c r="F12" s="103">
        <f>C12</f>
        <v>0.10299999999999999</v>
      </c>
      <c r="G12" s="104">
        <f>E12*F12</f>
        <v>77.25</v>
      </c>
      <c r="H12" s="104">
        <f>G12-D12</f>
        <v>0</v>
      </c>
      <c r="I12" s="105">
        <f>IF(ISERROR(H12/D12),0,(H12/D12))</f>
        <v>0</v>
      </c>
      <c r="J12" s="105">
        <f>G12/$G$45</f>
        <v>0.3912416566767099</v>
      </c>
      <c r="K12" s="106"/>
    </row>
    <row r="13" spans="1:11" x14ac:dyDescent="0.2">
      <c r="A13" s="107" t="s">
        <v>32</v>
      </c>
      <c r="B13" s="73">
        <f>IF(C4&gt;C7,(C4)-C7,0)</f>
        <v>250</v>
      </c>
      <c r="C13" s="21">
        <v>0.121</v>
      </c>
      <c r="D13" s="104">
        <f>B13*C13</f>
        <v>30.25</v>
      </c>
      <c r="E13" s="73">
        <f t="shared" ref="E13" si="0">B13</f>
        <v>250</v>
      </c>
      <c r="F13" s="21">
        <f>C13</f>
        <v>0.121</v>
      </c>
      <c r="G13" s="22">
        <f>E13*F13</f>
        <v>30.25</v>
      </c>
      <c r="H13" s="22">
        <f t="shared" ref="H13:H45" si="1">G13-D13</f>
        <v>0</v>
      </c>
      <c r="I13" s="23">
        <f t="shared" ref="I13:I45" si="2">IF(ISERROR(H13/D13),0,(H13/D13))</f>
        <v>0</v>
      </c>
      <c r="J13" s="23">
        <f>G13/$G$45</f>
        <v>0.1532046616759932</v>
      </c>
      <c r="K13" s="108"/>
    </row>
    <row r="14" spans="1:11" s="1" customFormat="1" x14ac:dyDescent="0.2">
      <c r="A14" s="46" t="s">
        <v>33</v>
      </c>
      <c r="B14" s="24"/>
      <c r="C14" s="25"/>
      <c r="D14" s="25">
        <f>SUM(D12:D13)</f>
        <v>107.5</v>
      </c>
      <c r="E14" s="76"/>
      <c r="F14" s="25"/>
      <c r="G14" s="25">
        <f>SUM(G12:G13)</f>
        <v>107.5</v>
      </c>
      <c r="H14" s="25">
        <f t="shared" si="1"/>
        <v>0</v>
      </c>
      <c r="I14" s="27">
        <f t="shared" si="2"/>
        <v>0</v>
      </c>
      <c r="J14" s="27">
        <f>G14/$G$45</f>
        <v>0.54444631835270307</v>
      </c>
      <c r="K14" s="108"/>
    </row>
    <row r="15" spans="1:11" s="1" customFormat="1" x14ac:dyDescent="0.2">
      <c r="A15" s="109" t="s">
        <v>34</v>
      </c>
      <c r="B15" s="75">
        <f>C4*0.65</f>
        <v>650</v>
      </c>
      <c r="C15" s="28">
        <v>8.6999999999999994E-2</v>
      </c>
      <c r="D15" s="272">
        <f>B15*C15</f>
        <v>56.55</v>
      </c>
      <c r="E15" s="75">
        <f>B4*0.65</f>
        <v>650</v>
      </c>
      <c r="F15" s="28">
        <f t="shared" ref="F15:F17" si="3">C15</f>
        <v>8.6999999999999994E-2</v>
      </c>
      <c r="G15" s="22">
        <f>E15*F15</f>
        <v>56.55</v>
      </c>
      <c r="H15" s="22">
        <f t="shared" si="1"/>
        <v>0</v>
      </c>
      <c r="I15" s="23">
        <f t="shared" si="2"/>
        <v>0</v>
      </c>
      <c r="J15" s="23"/>
      <c r="K15" s="108">
        <f t="shared" ref="K15:K25" si="4">G15/$G$50</f>
        <v>0.28140258602706586</v>
      </c>
    </row>
    <row r="16" spans="1:11" s="1" customFormat="1" x14ac:dyDescent="0.2">
      <c r="A16" s="109" t="s">
        <v>35</v>
      </c>
      <c r="B16" s="75">
        <f>C4*0.17</f>
        <v>170</v>
      </c>
      <c r="C16" s="28">
        <v>0.13200000000000001</v>
      </c>
      <c r="D16" s="272">
        <f t="shared" ref="D16:D17" si="5">B16*C16</f>
        <v>22.44</v>
      </c>
      <c r="E16" s="75">
        <f>B4*0.17</f>
        <v>170</v>
      </c>
      <c r="F16" s="28">
        <f t="shared" si="3"/>
        <v>0.13200000000000001</v>
      </c>
      <c r="G16" s="22">
        <f>E16*F16</f>
        <v>22.44</v>
      </c>
      <c r="H16" s="22">
        <f t="shared" si="1"/>
        <v>0</v>
      </c>
      <c r="I16" s="23">
        <f t="shared" si="2"/>
        <v>0</v>
      </c>
      <c r="J16" s="23"/>
      <c r="K16" s="108">
        <f t="shared" si="4"/>
        <v>0.11166532326166859</v>
      </c>
    </row>
    <row r="17" spans="1:11" s="1" customFormat="1" x14ac:dyDescent="0.2">
      <c r="A17" s="109" t="s">
        <v>36</v>
      </c>
      <c r="B17" s="75">
        <f>C4*0.18</f>
        <v>180</v>
      </c>
      <c r="C17" s="28">
        <v>0.18</v>
      </c>
      <c r="D17" s="272">
        <f t="shared" si="5"/>
        <v>32.4</v>
      </c>
      <c r="E17" s="75">
        <f>B4*0.18</f>
        <v>180</v>
      </c>
      <c r="F17" s="28">
        <f t="shared" si="3"/>
        <v>0.18</v>
      </c>
      <c r="G17" s="22">
        <f>E17*F17</f>
        <v>32.4</v>
      </c>
      <c r="H17" s="22">
        <f t="shared" si="1"/>
        <v>0</v>
      </c>
      <c r="I17" s="23">
        <f t="shared" si="2"/>
        <v>0</v>
      </c>
      <c r="J17" s="23"/>
      <c r="K17" s="108">
        <f t="shared" si="4"/>
        <v>0.16122800684839847</v>
      </c>
    </row>
    <row r="18" spans="1:11" s="1" customFormat="1" x14ac:dyDescent="0.2">
      <c r="A18" s="61" t="s">
        <v>37</v>
      </c>
      <c r="B18" s="29"/>
      <c r="C18" s="30"/>
      <c r="D18" s="30">
        <f>SUM(D15:D17)</f>
        <v>111.38999999999999</v>
      </c>
      <c r="E18" s="77"/>
      <c r="F18" s="30"/>
      <c r="G18" s="30">
        <f>SUM(G15:G17)</f>
        <v>111.38999999999999</v>
      </c>
      <c r="H18" s="31">
        <f t="shared" si="1"/>
        <v>0</v>
      </c>
      <c r="I18" s="32">
        <f t="shared" si="2"/>
        <v>0</v>
      </c>
      <c r="J18" s="33">
        <f>G18/$G$45</f>
        <v>0.56414767815169853</v>
      </c>
      <c r="K18" s="62">
        <f t="shared" si="4"/>
        <v>0.5542959161371328</v>
      </c>
    </row>
    <row r="19" spans="1:11" x14ac:dyDescent="0.2">
      <c r="A19" s="107" t="s">
        <v>38</v>
      </c>
      <c r="B19" s="73">
        <v>1</v>
      </c>
      <c r="C19" s="122">
        <f>'Data for Bill Impacts'!G23</f>
        <v>25.19</v>
      </c>
      <c r="D19" s="22">
        <f>B19*C19</f>
        <v>25.19</v>
      </c>
      <c r="E19" s="73">
        <v>1</v>
      </c>
      <c r="F19" s="78">
        <f>VLOOKUP($B$3,'Data for Bill Impacts'!$A$3:$Y$21,17,0)</f>
        <v>30.24</v>
      </c>
      <c r="G19" s="22">
        <f>E19*F19</f>
        <v>30.24</v>
      </c>
      <c r="H19" s="22">
        <f t="shared" si="1"/>
        <v>5.0499999999999972</v>
      </c>
      <c r="I19" s="23">
        <f t="shared" si="2"/>
        <v>0.2004763795156807</v>
      </c>
      <c r="J19" s="23">
        <f>G19/$G$45</f>
        <v>0.1531540155068441</v>
      </c>
      <c r="K19" s="108">
        <f t="shared" si="4"/>
        <v>0.15047947305850523</v>
      </c>
    </row>
    <row r="20" spans="1:11" x14ac:dyDescent="0.2">
      <c r="A20" s="107" t="s">
        <v>188</v>
      </c>
      <c r="B20" s="73">
        <v>1</v>
      </c>
      <c r="C20" s="122">
        <f>'Data for Bill Impacts'!K23</f>
        <v>-0.25</v>
      </c>
      <c r="D20" s="22">
        <f t="shared" ref="D20" si="6">B20*C20</f>
        <v>-0.25</v>
      </c>
      <c r="E20" s="73">
        <v>1</v>
      </c>
      <c r="F20" s="122">
        <f>VLOOKUP($B$3,'Data for Bill Impacts'!$A$3:$Y$21,12,0)</f>
        <v>0</v>
      </c>
      <c r="G20" s="22">
        <f t="shared" ref="G20" si="7">E20*F20</f>
        <v>0</v>
      </c>
      <c r="H20" s="22">
        <f t="shared" si="1"/>
        <v>0.25</v>
      </c>
      <c r="I20" s="23">
        <f t="shared" si="2"/>
        <v>-1</v>
      </c>
      <c r="J20" s="23">
        <f>G20/$G$45</f>
        <v>0</v>
      </c>
      <c r="K20" s="108">
        <f t="shared" si="4"/>
        <v>0</v>
      </c>
    </row>
    <row r="21" spans="1:11" x14ac:dyDescent="0.2">
      <c r="A21" s="107" t="s">
        <v>39</v>
      </c>
      <c r="B21" s="73">
        <f>IF($C$9="kWh",$C$4,$C$5)</f>
        <v>1000</v>
      </c>
      <c r="C21" s="78">
        <f>VLOOKUP($B$3,'Data for Bill Impacts'!$A$3:$Y$21,10,0)</f>
        <v>1.4500000000000001E-2</v>
      </c>
      <c r="D21" s="22">
        <f>B21*C21</f>
        <v>14.5</v>
      </c>
      <c r="E21" s="73">
        <f>IF($B$9="kWh",$B$4,$B$5)</f>
        <v>1000</v>
      </c>
      <c r="F21" s="78">
        <f>VLOOKUP($B$3,'Data for Bill Impacts'!$A$3:$Y$21,19,0)</f>
        <v>1.7399999999999999E-2</v>
      </c>
      <c r="G21" s="22">
        <f>E21*F21</f>
        <v>17.399999999999999</v>
      </c>
      <c r="H21" s="22">
        <f t="shared" si="1"/>
        <v>2.8999999999999986</v>
      </c>
      <c r="I21" s="23">
        <f t="shared" si="2"/>
        <v>0.1999999999999999</v>
      </c>
      <c r="J21" s="23">
        <f>G21/$G$45</f>
        <v>8.8124334319414258E-2</v>
      </c>
      <c r="K21" s="108">
        <f t="shared" si="4"/>
        <v>8.6585411085251029E-2</v>
      </c>
    </row>
    <row r="22" spans="1:11" x14ac:dyDescent="0.2">
      <c r="A22" s="107" t="s">
        <v>190</v>
      </c>
      <c r="B22" s="73">
        <f>IF($C$9="kWh",$C$4,$C$5)</f>
        <v>1000</v>
      </c>
      <c r="C22" s="126">
        <f>'Data for Bill Impacts'!L23</f>
        <v>-2.0000000000000001E-4</v>
      </c>
      <c r="D22" s="22">
        <f>B22*C22</f>
        <v>-0.2</v>
      </c>
      <c r="E22" s="73">
        <f>IF($B$9="kWh",$B$4,$B$5)</f>
        <v>1000</v>
      </c>
      <c r="F22" s="126">
        <f>VLOOKUP($B$3,'Data for Bill Impacts'!$A$3:$Y$21,20,0)</f>
        <v>0</v>
      </c>
      <c r="G22" s="22">
        <f>E22*F22</f>
        <v>0</v>
      </c>
      <c r="H22" s="22">
        <f>G22-D22</f>
        <v>0.2</v>
      </c>
      <c r="I22" s="23">
        <f>IF(ISERROR(H22/D22),0,(H22/D22))</f>
        <v>-1</v>
      </c>
      <c r="J22" s="23">
        <f>G22/$G$45</f>
        <v>0</v>
      </c>
      <c r="K22" s="108">
        <f t="shared" si="4"/>
        <v>0</v>
      </c>
    </row>
    <row r="23" spans="1:11" hidden="1" x14ac:dyDescent="0.2">
      <c r="A23" s="107" t="s">
        <v>194</v>
      </c>
      <c r="B23" s="73">
        <f>IF($B$9="kWh",$B$4,$B$5)</f>
        <v>1000</v>
      </c>
      <c r="C23" s="126">
        <f>VLOOKUP($B$3,'Data for Bill Impacts'!$A$3:$Y$21,14,0)</f>
        <v>0</v>
      </c>
      <c r="D23" s="22">
        <f>B23*C23</f>
        <v>0</v>
      </c>
      <c r="E23" s="73">
        <f t="shared" ref="E23" si="8">B23</f>
        <v>1000</v>
      </c>
      <c r="F23" s="126">
        <f>VLOOKUP($B$3,'Data for Bill Impacts'!$A$3:$Y$21,23,0)</f>
        <v>0</v>
      </c>
      <c r="G23" s="22">
        <f>E23*F23</f>
        <v>0</v>
      </c>
      <c r="H23" s="22">
        <f t="shared" si="1"/>
        <v>0</v>
      </c>
      <c r="I23" s="23">
        <f>IF(ISERROR(H23/D23),0,(H23/D23))</f>
        <v>0</v>
      </c>
      <c r="J23" s="23">
        <f t="shared" ref="J23" si="9">G23/$G$45</f>
        <v>0</v>
      </c>
      <c r="K23" s="108">
        <f t="shared" si="4"/>
        <v>0</v>
      </c>
    </row>
    <row r="24" spans="1:11" s="1" customFormat="1" x14ac:dyDescent="0.2">
      <c r="A24" s="110" t="s">
        <v>72</v>
      </c>
      <c r="B24" s="74"/>
      <c r="C24" s="35"/>
      <c r="D24" s="35">
        <f>SUM(D19:D23)</f>
        <v>39.239999999999995</v>
      </c>
      <c r="E24" s="73"/>
      <c r="F24" s="35"/>
      <c r="G24" s="35">
        <f>SUM(G19:G23)</f>
        <v>47.64</v>
      </c>
      <c r="H24" s="35">
        <f t="shared" si="1"/>
        <v>8.4000000000000057</v>
      </c>
      <c r="I24" s="36">
        <f t="shared" si="2"/>
        <v>0.21406727828746194</v>
      </c>
      <c r="J24" s="36">
        <f>G24/$G$45</f>
        <v>0.24127834982625837</v>
      </c>
      <c r="K24" s="111">
        <f t="shared" si="4"/>
        <v>0.23706488414375629</v>
      </c>
    </row>
    <row r="25" spans="1:11" s="1" customFormat="1" x14ac:dyDescent="0.2">
      <c r="A25" s="119" t="s">
        <v>73</v>
      </c>
      <c r="B25" s="120">
        <v>1</v>
      </c>
      <c r="C25" s="78">
        <f>VLOOKUP($B$3,'Data for Bill Impacts'!$A$3:$Y$21,9,0)</f>
        <v>0.79</v>
      </c>
      <c r="D25" s="22">
        <f>B25*C25</f>
        <v>0.79</v>
      </c>
      <c r="E25" s="73">
        <v>1</v>
      </c>
      <c r="F25" s="78">
        <f>VLOOKUP($B$3,'Data for Bill Impacts'!$A$3:$Y$21,18,0)</f>
        <v>0.79</v>
      </c>
      <c r="G25" s="22">
        <f>E25*F25</f>
        <v>0.79</v>
      </c>
      <c r="H25" s="22">
        <f t="shared" si="1"/>
        <v>0</v>
      </c>
      <c r="I25" s="23">
        <f>IF(ISERROR(H25/D25),0,(H25/D25))</f>
        <v>0</v>
      </c>
      <c r="J25" s="23">
        <f>G25/$G$45</f>
        <v>4.0010473627780044E-3</v>
      </c>
      <c r="K25" s="108">
        <f t="shared" si="4"/>
        <v>3.9311767101924324E-3</v>
      </c>
    </row>
    <row r="26" spans="1:11" s="1" customFormat="1" x14ac:dyDescent="0.2">
      <c r="A26" s="119" t="s">
        <v>75</v>
      </c>
      <c r="B26" s="120">
        <f>C8-C4</f>
        <v>43.099999999999909</v>
      </c>
      <c r="C26" s="121">
        <f>IF(B4&gt;B7,C13,C12)</f>
        <v>0.121</v>
      </c>
      <c r="D26" s="22">
        <f>B26*C26</f>
        <v>5.215099999999989</v>
      </c>
      <c r="E26" s="120">
        <f>B8-B4</f>
        <v>57</v>
      </c>
      <c r="F26" s="121">
        <f>C26</f>
        <v>0.121</v>
      </c>
      <c r="G26" s="22">
        <f>E26*F26</f>
        <v>6.8970000000000002</v>
      </c>
      <c r="H26" s="22">
        <f t="shared" si="1"/>
        <v>1.6819000000000113</v>
      </c>
      <c r="I26" s="23">
        <f>IF(ISERROR(H26/D26),0,(H26/D26))</f>
        <v>0.32250580046403998</v>
      </c>
      <c r="J26" s="23">
        <f t="shared" ref="J26:J45" si="10">G26/$G$45</f>
        <v>3.4930662862126448E-2</v>
      </c>
      <c r="K26" s="108">
        <f t="shared" ref="K26:K40" si="11">G26/$G$50</f>
        <v>3.4320665531895195E-2</v>
      </c>
    </row>
    <row r="27" spans="1:11" s="1" customFormat="1" x14ac:dyDescent="0.2">
      <c r="A27" s="119" t="s">
        <v>74</v>
      </c>
      <c r="B27" s="120">
        <f>C8-C4</f>
        <v>43.099999999999909</v>
      </c>
      <c r="C27" s="121">
        <f>0.65*C15+0.17*C16+0.18*C17</f>
        <v>0.11139</v>
      </c>
      <c r="D27" s="22">
        <f>B27*C27</f>
        <v>4.8009089999999901</v>
      </c>
      <c r="E27" s="120">
        <f>B8-B4</f>
        <v>57</v>
      </c>
      <c r="F27" s="121">
        <f>C27</f>
        <v>0.11139</v>
      </c>
      <c r="G27" s="22">
        <f>E27*F27</f>
        <v>6.3492300000000004</v>
      </c>
      <c r="H27" s="22">
        <f t="shared" si="1"/>
        <v>1.5483210000000103</v>
      </c>
      <c r="I27" s="23">
        <f>IF(ISERROR(H27/D27),0,(H27/D27))</f>
        <v>0.32250580046403993</v>
      </c>
      <c r="J27" s="23">
        <f t="shared" si="10"/>
        <v>3.2156417654646823E-2</v>
      </c>
      <c r="K27" s="108">
        <f t="shared" si="11"/>
        <v>3.159486721981658E-2</v>
      </c>
    </row>
    <row r="28" spans="1:11" s="1" customFormat="1" x14ac:dyDescent="0.2">
      <c r="A28" s="110" t="s">
        <v>78</v>
      </c>
      <c r="B28" s="74"/>
      <c r="C28" s="35"/>
      <c r="D28" s="35">
        <f>SUM(D24,D25:D26)</f>
        <v>45.245099999999979</v>
      </c>
      <c r="E28" s="73"/>
      <c r="F28" s="35"/>
      <c r="G28" s="35">
        <f>SUM(G24,G25:G26)</f>
        <v>55.326999999999998</v>
      </c>
      <c r="H28" s="35">
        <f t="shared" si="1"/>
        <v>10.081900000000019</v>
      </c>
      <c r="I28" s="36">
        <f>IF(ISERROR(H28/D28),0,(H28/D28))</f>
        <v>0.2228285493898792</v>
      </c>
      <c r="J28" s="36">
        <f t="shared" si="10"/>
        <v>0.28021006005116278</v>
      </c>
      <c r="K28" s="111">
        <f t="shared" si="11"/>
        <v>0.27531672638584387</v>
      </c>
    </row>
    <row r="29" spans="1:11" s="1" customFormat="1" x14ac:dyDescent="0.2">
      <c r="A29" s="110" t="s">
        <v>77</v>
      </c>
      <c r="B29" s="74"/>
      <c r="C29" s="35"/>
      <c r="D29" s="35">
        <f>SUM(D24,D25,D27)</f>
        <v>44.830908999999984</v>
      </c>
      <c r="E29" s="73"/>
      <c r="F29" s="35"/>
      <c r="G29" s="35">
        <f>SUM(G24,G25,G27)</f>
        <v>54.779229999999998</v>
      </c>
      <c r="H29" s="35">
        <f t="shared" si="1"/>
        <v>9.9483210000000142</v>
      </c>
      <c r="I29" s="36">
        <f>IF(ISERROR(H29/D29),0,(H29/D29))</f>
        <v>0.2219076351987424</v>
      </c>
      <c r="J29" s="36">
        <f t="shared" si="10"/>
        <v>0.27743581484368318</v>
      </c>
      <c r="K29" s="111">
        <f t="shared" si="11"/>
        <v>0.27259092807376528</v>
      </c>
    </row>
    <row r="30" spans="1:11" x14ac:dyDescent="0.2">
      <c r="A30" s="107" t="s">
        <v>40</v>
      </c>
      <c r="B30" s="73">
        <f>C8</f>
        <v>1043.0999999999999</v>
      </c>
      <c r="C30" s="78">
        <f>VLOOKUP($B$3,'Data for Bill Impacts'!$A$3:$Y$21,15,0)</f>
        <v>6.4999999999999997E-3</v>
      </c>
      <c r="D30" s="22">
        <f>B30*C30</f>
        <v>6.780149999999999</v>
      </c>
      <c r="E30" s="73">
        <f>B8</f>
        <v>1057</v>
      </c>
      <c r="F30" s="78">
        <f>VLOOKUP($B$3,'Data for Bill Impacts'!$A$3:$Y$21,24,0)</f>
        <v>5.5999999999999999E-3</v>
      </c>
      <c r="G30" s="22">
        <f>E30*F30</f>
        <v>5.9192</v>
      </c>
      <c r="H30" s="22">
        <f t="shared" si="1"/>
        <v>-0.86094999999999899</v>
      </c>
      <c r="I30" s="23">
        <f t="shared" si="2"/>
        <v>-0.12698096649779123</v>
      </c>
      <c r="J30" s="23">
        <f t="shared" si="10"/>
        <v>2.9978480442728557E-2</v>
      </c>
      <c r="K30" s="108">
        <f t="shared" si="11"/>
        <v>2.9454963522748154E-2</v>
      </c>
    </row>
    <row r="31" spans="1:11" x14ac:dyDescent="0.2">
      <c r="A31" s="107" t="s">
        <v>41</v>
      </c>
      <c r="B31" s="73">
        <f>C8</f>
        <v>1043.0999999999999</v>
      </c>
      <c r="C31" s="126">
        <f>VLOOKUP($B$3,'Data for Bill Impacts'!$A$3:$Y$21,16,0)</f>
        <v>5.2595081845627977E-3</v>
      </c>
      <c r="D31" s="22">
        <f>B31*C31</f>
        <v>5.4861929873174535</v>
      </c>
      <c r="E31" s="73">
        <f>B8</f>
        <v>1057</v>
      </c>
      <c r="F31" s="78">
        <f>VLOOKUP($B$3,'Data for Bill Impacts'!$A$3:$Y$21,25,0)</f>
        <v>4.5999999999999999E-3</v>
      </c>
      <c r="G31" s="22">
        <f>E31*F31</f>
        <v>4.8621999999999996</v>
      </c>
      <c r="H31" s="22">
        <f t="shared" si="1"/>
        <v>-0.6239929873174539</v>
      </c>
      <c r="I31" s="23">
        <f t="shared" si="2"/>
        <v>-0.11373879642220962</v>
      </c>
      <c r="J31" s="23">
        <f t="shared" si="10"/>
        <v>2.4625180363669886E-2</v>
      </c>
      <c r="K31" s="108">
        <f t="shared" si="11"/>
        <v>2.4195148607971697E-2</v>
      </c>
    </row>
    <row r="32" spans="1:11" s="1" customFormat="1" x14ac:dyDescent="0.2">
      <c r="A32" s="110" t="s">
        <v>76</v>
      </c>
      <c r="B32" s="74"/>
      <c r="C32" s="35"/>
      <c r="D32" s="35">
        <f>SUM(D30:D31)</f>
        <v>12.266342987317453</v>
      </c>
      <c r="E32" s="73"/>
      <c r="F32" s="35"/>
      <c r="G32" s="35">
        <f>SUM(G30:G31)</f>
        <v>10.7814</v>
      </c>
      <c r="H32" s="35">
        <f t="shared" si="1"/>
        <v>-1.4849429873174529</v>
      </c>
      <c r="I32" s="36">
        <f t="shared" si="2"/>
        <v>-0.12105832919010832</v>
      </c>
      <c r="J32" s="36">
        <f t="shared" si="10"/>
        <v>5.4603660806398446E-2</v>
      </c>
      <c r="K32" s="111">
        <f t="shared" si="11"/>
        <v>5.3650112130719851E-2</v>
      </c>
    </row>
    <row r="33" spans="1:11" s="1" customFormat="1" x14ac:dyDescent="0.2">
      <c r="A33" s="110" t="s">
        <v>95</v>
      </c>
      <c r="B33" s="74"/>
      <c r="C33" s="35"/>
      <c r="D33" s="35">
        <f>D28+D32</f>
        <v>57.51144298731743</v>
      </c>
      <c r="E33" s="73"/>
      <c r="F33" s="35"/>
      <c r="G33" s="35">
        <f>G28+G32</f>
        <v>66.108400000000003</v>
      </c>
      <c r="H33" s="35">
        <f t="shared" si="1"/>
        <v>8.596957012682573</v>
      </c>
      <c r="I33" s="36">
        <f t="shared" si="2"/>
        <v>0.14948254757889479</v>
      </c>
      <c r="J33" s="36">
        <f t="shared" si="10"/>
        <v>0.33481372085756128</v>
      </c>
      <c r="K33" s="111">
        <f t="shared" si="11"/>
        <v>0.32896683851656378</v>
      </c>
    </row>
    <row r="34" spans="1:11" s="1" customFormat="1" x14ac:dyDescent="0.2">
      <c r="A34" s="110" t="s">
        <v>96</v>
      </c>
      <c r="B34" s="74"/>
      <c r="C34" s="35"/>
      <c r="D34" s="35">
        <f>D29+D32</f>
        <v>57.097251987317435</v>
      </c>
      <c r="E34" s="73"/>
      <c r="F34" s="35"/>
      <c r="G34" s="35">
        <f>G29+G32</f>
        <v>65.560630000000003</v>
      </c>
      <c r="H34" s="35">
        <f t="shared" si="1"/>
        <v>8.4633780126825684</v>
      </c>
      <c r="I34" s="36">
        <f t="shared" si="2"/>
        <v>0.14822741407173978</v>
      </c>
      <c r="J34" s="36">
        <f t="shared" si="10"/>
        <v>0.33203947565008163</v>
      </c>
      <c r="K34" s="111">
        <f t="shared" si="11"/>
        <v>0.32624104020448513</v>
      </c>
    </row>
    <row r="35" spans="1:11" x14ac:dyDescent="0.2">
      <c r="A35" s="107" t="s">
        <v>42</v>
      </c>
      <c r="B35" s="73">
        <f>C8</f>
        <v>1043.0999999999999</v>
      </c>
      <c r="C35" s="34">
        <v>3.5999999999999999E-3</v>
      </c>
      <c r="D35" s="22">
        <f>B35*C35</f>
        <v>3.7551599999999996</v>
      </c>
      <c r="E35" s="73">
        <f>B8</f>
        <v>1057</v>
      </c>
      <c r="F35" s="34">
        <v>3.5999999999999999E-3</v>
      </c>
      <c r="G35" s="22">
        <f>E35*F35</f>
        <v>3.8051999999999997</v>
      </c>
      <c r="H35" s="22">
        <f t="shared" si="1"/>
        <v>5.0040000000000084E-2</v>
      </c>
      <c r="I35" s="23">
        <f t="shared" si="2"/>
        <v>1.3325663886492211E-2</v>
      </c>
      <c r="J35" s="23">
        <f t="shared" si="10"/>
        <v>1.9271880284611215E-2</v>
      </c>
      <c r="K35" s="108">
        <f t="shared" si="11"/>
        <v>1.8935333693195243E-2</v>
      </c>
    </row>
    <row r="36" spans="1:11" x14ac:dyDescent="0.2">
      <c r="A36" s="107" t="s">
        <v>43</v>
      </c>
      <c r="B36" s="73">
        <f>C8</f>
        <v>1043.0999999999999</v>
      </c>
      <c r="C36" s="34">
        <v>2.0999999999999999E-3</v>
      </c>
      <c r="D36" s="22">
        <f>B36*C36</f>
        <v>2.1905099999999997</v>
      </c>
      <c r="E36" s="73">
        <f>B8</f>
        <v>1057</v>
      </c>
      <c r="F36" s="34">
        <v>2.0999999999999999E-3</v>
      </c>
      <c r="G36" s="22">
        <f>E36*F36</f>
        <v>2.2197</v>
      </c>
      <c r="H36" s="22">
        <f>G36-D36</f>
        <v>2.9190000000000271E-2</v>
      </c>
      <c r="I36" s="23">
        <f t="shared" si="2"/>
        <v>1.3325663886492312E-2</v>
      </c>
      <c r="J36" s="23">
        <f t="shared" si="10"/>
        <v>1.124193016602321E-2</v>
      </c>
      <c r="K36" s="108">
        <f t="shared" si="11"/>
        <v>1.1045611321030558E-2</v>
      </c>
    </row>
    <row r="37" spans="1:11" x14ac:dyDescent="0.2">
      <c r="A37" s="107" t="s">
        <v>100</v>
      </c>
      <c r="B37" s="73">
        <f>C8</f>
        <v>1043.0999999999999</v>
      </c>
      <c r="C37" s="34">
        <v>1.1000000000000001E-3</v>
      </c>
      <c r="D37" s="22">
        <f>B37*C37</f>
        <v>1.14741</v>
      </c>
      <c r="E37" s="73">
        <f>B8</f>
        <v>1057</v>
      </c>
      <c r="F37" s="34">
        <v>1.1000000000000001E-3</v>
      </c>
      <c r="G37" s="22">
        <f>E37*F37</f>
        <v>1.1627000000000001</v>
      </c>
      <c r="H37" s="22">
        <f>G37-D37</f>
        <v>1.5290000000000026E-2</v>
      </c>
      <c r="I37" s="23">
        <f t="shared" si="2"/>
        <v>1.3325663886492209E-2</v>
      </c>
      <c r="J37" s="23">
        <f t="shared" si="10"/>
        <v>5.8886300869645386E-3</v>
      </c>
      <c r="K37" s="108">
        <f t="shared" si="11"/>
        <v>5.7857964062541026E-3</v>
      </c>
    </row>
    <row r="38" spans="1:11" x14ac:dyDescent="0.2">
      <c r="A38" s="107" t="s">
        <v>44</v>
      </c>
      <c r="B38" s="73">
        <v>1</v>
      </c>
      <c r="C38" s="22">
        <v>0.25</v>
      </c>
      <c r="D38" s="22">
        <f>B38*C38</f>
        <v>0.25</v>
      </c>
      <c r="E38" s="73">
        <v>1</v>
      </c>
      <c r="F38" s="22">
        <f>C38</f>
        <v>0.25</v>
      </c>
      <c r="G38" s="22">
        <f>E38*F38</f>
        <v>0.25</v>
      </c>
      <c r="H38" s="22">
        <f t="shared" si="1"/>
        <v>0</v>
      </c>
      <c r="I38" s="23">
        <f t="shared" si="2"/>
        <v>0</v>
      </c>
      <c r="J38" s="23">
        <f t="shared" si="10"/>
        <v>1.2661542287272164E-3</v>
      </c>
      <c r="K38" s="108">
        <f t="shared" si="11"/>
        <v>1.244043262719124E-3</v>
      </c>
    </row>
    <row r="39" spans="1:11" s="1" customFormat="1" x14ac:dyDescent="0.2">
      <c r="A39" s="110" t="s">
        <v>45</v>
      </c>
      <c r="B39" s="74"/>
      <c r="C39" s="35"/>
      <c r="D39" s="35">
        <f>SUM(D35:D38)</f>
        <v>7.3430799999999996</v>
      </c>
      <c r="E39" s="73"/>
      <c r="F39" s="35"/>
      <c r="G39" s="35">
        <f>SUM(G35:G38)</f>
        <v>7.4375999999999998</v>
      </c>
      <c r="H39" s="35">
        <f t="shared" si="1"/>
        <v>9.4520000000000159E-2</v>
      </c>
      <c r="I39" s="36">
        <f t="shared" si="2"/>
        <v>1.2871982873671561E-2</v>
      </c>
      <c r="J39" s="36">
        <f t="shared" si="10"/>
        <v>3.7668594766326176E-2</v>
      </c>
      <c r="K39" s="111">
        <f t="shared" si="11"/>
        <v>3.7010784683199023E-2</v>
      </c>
    </row>
    <row r="40" spans="1:11" s="1" customFormat="1" ht="13.5" thickBot="1" x14ac:dyDescent="0.25">
      <c r="A40" s="112" t="s">
        <v>46</v>
      </c>
      <c r="B40" s="113">
        <f>C4</f>
        <v>1000</v>
      </c>
      <c r="C40" s="114">
        <v>7.0000000000000001E-3</v>
      </c>
      <c r="D40" s="115">
        <f>B40*C40</f>
        <v>7</v>
      </c>
      <c r="E40" s="116">
        <f>B4</f>
        <v>1000</v>
      </c>
      <c r="F40" s="114">
        <f>C40</f>
        <v>7.0000000000000001E-3</v>
      </c>
      <c r="G40" s="115">
        <f>E40*F40</f>
        <v>7</v>
      </c>
      <c r="H40" s="115">
        <f t="shared" si="1"/>
        <v>0</v>
      </c>
      <c r="I40" s="117">
        <f t="shared" si="2"/>
        <v>0</v>
      </c>
      <c r="J40" s="117">
        <f t="shared" si="10"/>
        <v>3.5452318404362061E-2</v>
      </c>
      <c r="K40" s="118">
        <f t="shared" si="11"/>
        <v>3.4833211356135471E-2</v>
      </c>
    </row>
    <row r="41" spans="1:11" s="1" customFormat="1" x14ac:dyDescent="0.2">
      <c r="A41" s="37" t="s">
        <v>137</v>
      </c>
      <c r="B41" s="38"/>
      <c r="C41" s="39"/>
      <c r="D41" s="39">
        <f>SUM(D14,D24,D25,D26,D32,D39,D40)</f>
        <v>179.35452298731741</v>
      </c>
      <c r="E41" s="38"/>
      <c r="F41" s="39"/>
      <c r="G41" s="39">
        <f>SUM(G14,G24,G25,G26,G32,G39,G40)</f>
        <v>188.04599999999996</v>
      </c>
      <c r="H41" s="39">
        <f t="shared" si="1"/>
        <v>8.6914770126825545</v>
      </c>
      <c r="I41" s="40">
        <f>IF(ISERROR(H41/D41),0,(H41/D41))</f>
        <v>4.845975929638055E-2</v>
      </c>
      <c r="J41" s="40">
        <f t="shared" si="10"/>
        <v>0.95238095238095244</v>
      </c>
      <c r="K41" s="41"/>
    </row>
    <row r="42" spans="1:11" x14ac:dyDescent="0.2">
      <c r="A42" s="150" t="s">
        <v>138</v>
      </c>
      <c r="B42" s="43"/>
      <c r="C42" s="26">
        <v>0.13</v>
      </c>
      <c r="D42" s="26">
        <f>D41*C42</f>
        <v>23.316087988351264</v>
      </c>
      <c r="E42" s="26"/>
      <c r="F42" s="26">
        <f>C42</f>
        <v>0.13</v>
      </c>
      <c r="G42" s="26">
        <f>G41*F42</f>
        <v>24.445979999999995</v>
      </c>
      <c r="H42" s="26">
        <f t="shared" si="1"/>
        <v>1.1298920116487317</v>
      </c>
      <c r="I42" s="44">
        <f t="shared" si="2"/>
        <v>4.8459759296380536E-2</v>
      </c>
      <c r="J42" s="44">
        <f t="shared" si="10"/>
        <v>0.12380952380952381</v>
      </c>
      <c r="K42" s="45"/>
    </row>
    <row r="43" spans="1:11" s="1" customFormat="1" x14ac:dyDescent="0.2">
      <c r="A43" s="46" t="s">
        <v>139</v>
      </c>
      <c r="B43" s="24"/>
      <c r="C43" s="25"/>
      <c r="D43" s="25">
        <f>SUM(D41:D42)</f>
        <v>202.67061097566867</v>
      </c>
      <c r="E43" s="25"/>
      <c r="F43" s="25"/>
      <c r="G43" s="25">
        <f>SUM(G41:G42)</f>
        <v>212.49197999999996</v>
      </c>
      <c r="H43" s="25">
        <f t="shared" si="1"/>
        <v>9.8213690243312897</v>
      </c>
      <c r="I43" s="27">
        <f t="shared" si="2"/>
        <v>4.8459759296380571E-2</v>
      </c>
      <c r="J43" s="27">
        <f t="shared" si="10"/>
        <v>1.0761904761904761</v>
      </c>
      <c r="K43" s="47"/>
    </row>
    <row r="44" spans="1:11" x14ac:dyDescent="0.2">
      <c r="A44" s="42" t="s">
        <v>140</v>
      </c>
      <c r="B44" s="43"/>
      <c r="C44" s="26">
        <v>-0.08</v>
      </c>
      <c r="D44" s="26">
        <f>D41*C44</f>
        <v>-14.348361838985394</v>
      </c>
      <c r="E44" s="26"/>
      <c r="F44" s="26">
        <f>C44</f>
        <v>-0.08</v>
      </c>
      <c r="G44" s="26">
        <f>G41*F44</f>
        <v>-15.043679999999997</v>
      </c>
      <c r="H44" s="26">
        <f t="shared" si="1"/>
        <v>-0.69531816101460286</v>
      </c>
      <c r="I44" s="44">
        <f t="shared" si="2"/>
        <v>4.8459759296380446E-2</v>
      </c>
      <c r="J44" s="44">
        <f t="shared" si="10"/>
        <v>-7.6190476190476183E-2</v>
      </c>
      <c r="K44" s="45"/>
    </row>
    <row r="45" spans="1:11" s="1" customFormat="1" ht="13.5" thickBot="1" x14ac:dyDescent="0.25">
      <c r="A45" s="48" t="s">
        <v>141</v>
      </c>
      <c r="B45" s="49"/>
      <c r="C45" s="50"/>
      <c r="D45" s="50">
        <f>SUM(D43:D44)</f>
        <v>188.32224913668327</v>
      </c>
      <c r="E45" s="50"/>
      <c r="F45" s="50"/>
      <c r="G45" s="50">
        <f>SUM(G43:G44)</f>
        <v>197.44829999999996</v>
      </c>
      <c r="H45" s="50">
        <f t="shared" si="1"/>
        <v>9.1260508633166921</v>
      </c>
      <c r="I45" s="51">
        <f t="shared" si="2"/>
        <v>4.8459759296380606E-2</v>
      </c>
      <c r="J45" s="51">
        <f t="shared" si="10"/>
        <v>1</v>
      </c>
      <c r="K45" s="52"/>
    </row>
    <row r="46" spans="1:11" x14ac:dyDescent="0.2">
      <c r="A46" s="53" t="s">
        <v>142</v>
      </c>
      <c r="B46" s="54"/>
      <c r="C46" s="55"/>
      <c r="D46" s="55">
        <f>SUM(D18,D24,D25,D27,D32,D39,D40)</f>
        <v>182.83033198731741</v>
      </c>
      <c r="E46" s="55"/>
      <c r="F46" s="55"/>
      <c r="G46" s="55">
        <f>SUM(G18,G24,G25,G27,G32,G39,G40)</f>
        <v>191.38822999999996</v>
      </c>
      <c r="H46" s="55">
        <f>G46-D46</f>
        <v>8.557898012682557</v>
      </c>
      <c r="I46" s="56">
        <f>IF(ISERROR(H46/D46),0,(H46/D46))</f>
        <v>4.6807867817448376E-2</v>
      </c>
      <c r="J46" s="56"/>
      <c r="K46" s="57">
        <f>G46/$G$50</f>
        <v>0.95238095238095233</v>
      </c>
    </row>
    <row r="47" spans="1:11" x14ac:dyDescent="0.2">
      <c r="A47" s="151" t="s">
        <v>138</v>
      </c>
      <c r="B47" s="59"/>
      <c r="C47" s="31">
        <v>0.13</v>
      </c>
      <c r="D47" s="31">
        <f>D46*C47</f>
        <v>23.767943158351265</v>
      </c>
      <c r="E47" s="31"/>
      <c r="F47" s="31">
        <f>C47</f>
        <v>0.13</v>
      </c>
      <c r="G47" s="31">
        <f>G46*F47</f>
        <v>24.880469899999998</v>
      </c>
      <c r="H47" s="31">
        <f>G47-D47</f>
        <v>1.1125267416487326</v>
      </c>
      <c r="I47" s="32">
        <f>IF(ISERROR(H47/D47),0,(H47/D47))</f>
        <v>4.6807867817448376E-2</v>
      </c>
      <c r="J47" s="32"/>
      <c r="K47" s="60">
        <f>G47/$G$50</f>
        <v>0.12380952380952381</v>
      </c>
    </row>
    <row r="48" spans="1:11" x14ac:dyDescent="0.2">
      <c r="A48" s="141" t="s">
        <v>143</v>
      </c>
      <c r="B48" s="29"/>
      <c r="C48" s="30"/>
      <c r="D48" s="30">
        <f>SUM(D46:D47)</f>
        <v>206.59827514566868</v>
      </c>
      <c r="E48" s="30"/>
      <c r="F48" s="30"/>
      <c r="G48" s="30">
        <f>SUM(G46:G47)</f>
        <v>216.26869989999997</v>
      </c>
      <c r="H48" s="30">
        <f>G48-D48</f>
        <v>9.6704247543312931</v>
      </c>
      <c r="I48" s="33">
        <f>IF(ISERROR(H48/D48),0,(H48/D48))</f>
        <v>4.680786781744839E-2</v>
      </c>
      <c r="J48" s="33"/>
      <c r="K48" s="62">
        <f>G48/$G$50</f>
        <v>1.0761904761904761</v>
      </c>
    </row>
    <row r="49" spans="1:11" x14ac:dyDescent="0.2">
      <c r="A49" s="58" t="s">
        <v>140</v>
      </c>
      <c r="B49" s="59"/>
      <c r="C49" s="31">
        <v>-0.08</v>
      </c>
      <c r="D49" s="31">
        <f>D46*C49</f>
        <v>-14.626426558985393</v>
      </c>
      <c r="E49" s="31"/>
      <c r="F49" s="31">
        <f>C49</f>
        <v>-0.08</v>
      </c>
      <c r="G49" s="31">
        <f>G46*F49</f>
        <v>-15.311058399999997</v>
      </c>
      <c r="H49" s="31">
        <f>G49-D49</f>
        <v>-0.68463184101460328</v>
      </c>
      <c r="I49" s="32">
        <f>IF(ISERROR(H49/D49),0,(H49/D49))</f>
        <v>4.6807867817448286E-2</v>
      </c>
      <c r="J49" s="32"/>
      <c r="K49" s="60">
        <f>G49/$G$50</f>
        <v>-7.6190476190476183E-2</v>
      </c>
    </row>
    <row r="50" spans="1:11" ht="13.5" thickBot="1" x14ac:dyDescent="0.25">
      <c r="A50" s="63" t="s">
        <v>144</v>
      </c>
      <c r="B50" s="64"/>
      <c r="C50" s="65"/>
      <c r="D50" s="65">
        <f>SUM(D48:D49)</f>
        <v>191.97184858668328</v>
      </c>
      <c r="E50" s="65"/>
      <c r="F50" s="65"/>
      <c r="G50" s="65">
        <f>SUM(G48:G49)</f>
        <v>200.95764149999997</v>
      </c>
      <c r="H50" s="65">
        <f>G50-D50</f>
        <v>8.9857929133166863</v>
      </c>
      <c r="I50" s="66">
        <f>IF(ISERROR(H50/D50),0,(H50/D50))</f>
        <v>4.6807867817448383E-2</v>
      </c>
      <c r="J50" s="66"/>
      <c r="K50" s="67">
        <f>G50/$G$50</f>
        <v>1</v>
      </c>
    </row>
    <row r="51" spans="1:11" x14ac:dyDescent="0.2">
      <c r="C51" s="68"/>
      <c r="F51" s="69"/>
    </row>
    <row r="52" spans="1:11" x14ac:dyDescent="0.2">
      <c r="F52" s="69"/>
    </row>
    <row r="53" spans="1:11" x14ac:dyDescent="0.2">
      <c r="F53" s="69"/>
    </row>
    <row r="54" spans="1:11" x14ac:dyDescent="0.2">
      <c r="A54" s="70"/>
      <c r="B54" s="71"/>
      <c r="F54" s="69"/>
    </row>
    <row r="55" spans="1:11" x14ac:dyDescent="0.2">
      <c r="B55" s="71"/>
      <c r="F55" s="69"/>
    </row>
    <row r="56" spans="1:11" x14ac:dyDescent="0.2">
      <c r="F56" s="69"/>
    </row>
    <row r="57" spans="1:11" x14ac:dyDescent="0.2">
      <c r="D57" s="72"/>
      <c r="F57" s="69"/>
    </row>
    <row r="58" spans="1:11" x14ac:dyDescent="0.2">
      <c r="F58" s="69"/>
    </row>
    <row r="59" spans="1:11" x14ac:dyDescent="0.2">
      <c r="A59" s="70"/>
      <c r="B59" s="71"/>
      <c r="F59" s="69"/>
    </row>
    <row r="60" spans="1:11" x14ac:dyDescent="0.2">
      <c r="B60" s="72"/>
      <c r="D60" s="72"/>
      <c r="F60" s="69"/>
    </row>
    <row r="61" spans="1:11" x14ac:dyDescent="0.2">
      <c r="F61" s="69"/>
    </row>
    <row r="62" spans="1:11" x14ac:dyDescent="0.2">
      <c r="F62" s="69"/>
    </row>
    <row r="63" spans="1:11" x14ac:dyDescent="0.2">
      <c r="F63" s="69"/>
      <c r="K63"/>
    </row>
    <row r="64" spans="1:11" x14ac:dyDescent="0.2">
      <c r="F64" s="69"/>
      <c r="K64"/>
    </row>
    <row r="65" spans="6:11" x14ac:dyDescent="0.2">
      <c r="F65" s="69"/>
      <c r="K65"/>
    </row>
    <row r="66" spans="6:11" x14ac:dyDescent="0.2">
      <c r="F66" s="69"/>
      <c r="K66"/>
    </row>
    <row r="67" spans="6:11" x14ac:dyDescent="0.2">
      <c r="F67" s="69"/>
      <c r="K67"/>
    </row>
  </sheetData>
  <mergeCells count="1">
    <mergeCell ref="A1:K1"/>
  </mergeCell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'Data for Bill Impacts'!$A$3:$A$21</xm:f>
          </x14:formula1>
          <xm:sqref>B3</xm:sqref>
        </x14:dataValidation>
        <x14:dataValidation type="list" allowBlank="1" showInputMessage="1" showErrorMessage="1">
          <x14:formula1>
            <xm:f>'Data for Bill Impacts'!$A$3:$A$39</xm:f>
          </x14:formula1>
          <xm:sqref>C3</xm:sqref>
        </x14:dataValidation>
      </x14:dataValidations>
    </ext>
  </extLst>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0">
    <pageSetUpPr fitToPage="1"/>
  </sheetPr>
  <dimension ref="A1:K67"/>
  <sheetViews>
    <sheetView topLeftCell="A10" workbookViewId="0">
      <selection activeCell="C19" sqref="C19"/>
    </sheetView>
  </sheetViews>
  <sheetFormatPr defaultRowHeight="12.75" x14ac:dyDescent="0.2"/>
  <cols>
    <col min="1" max="1" width="64.7109375" bestFit="1" customWidth="1"/>
    <col min="2" max="2" width="15.5703125" bestFit="1" customWidth="1"/>
    <col min="3" max="3" width="13.285156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48" t="s">
        <v>112</v>
      </c>
      <c r="B1" s="349"/>
      <c r="C1" s="349"/>
      <c r="D1" s="349"/>
      <c r="E1" s="349"/>
      <c r="F1" s="349"/>
      <c r="G1" s="349"/>
      <c r="H1" s="349"/>
      <c r="I1" s="349"/>
      <c r="J1" s="349"/>
      <c r="K1" s="350"/>
    </row>
    <row r="3" spans="1:11" x14ac:dyDescent="0.2">
      <c r="A3" s="13" t="s">
        <v>13</v>
      </c>
      <c r="B3" s="13" t="s">
        <v>196</v>
      </c>
      <c r="C3" s="13" t="s">
        <v>114</v>
      </c>
    </row>
    <row r="4" spans="1:11" x14ac:dyDescent="0.2">
      <c r="A4" s="15" t="s">
        <v>62</v>
      </c>
      <c r="B4" s="79">
        <f>C4</f>
        <v>2695</v>
      </c>
      <c r="C4" s="79">
        <f>'Data for Bill Impacts_HONI Avg '!C17</f>
        <v>2695</v>
      </c>
    </row>
    <row r="5" spans="1:11" x14ac:dyDescent="0.2">
      <c r="A5" s="15" t="s">
        <v>16</v>
      </c>
      <c r="B5" s="15">
        <f>VLOOKUP($B$3,'Data for Bill Impacts'!$A$3:$Y$21,5,0)</f>
        <v>0</v>
      </c>
      <c r="C5" s="15">
        <f>VLOOKUP($B$3,'Data for Bill Impacts'!$A$3:$Y$21,5,0)</f>
        <v>0</v>
      </c>
    </row>
    <row r="6" spans="1:11" x14ac:dyDescent="0.2">
      <c r="A6" s="15" t="s">
        <v>20</v>
      </c>
      <c r="B6" s="15">
        <f>VLOOKUP($B$3,'Data for Bill Impacts'!$A$3:$Y$21,2,0)</f>
        <v>1.0569999999999999</v>
      </c>
      <c r="C6" s="15">
        <f>VLOOKUP($C$3,'Data for Bill Impacts'!$A$3:$Y$30,2,0)</f>
        <v>1.0430999999999999</v>
      </c>
    </row>
    <row r="7" spans="1:11" x14ac:dyDescent="0.2">
      <c r="A7" s="15" t="s">
        <v>15</v>
      </c>
      <c r="B7" s="15">
        <f>VLOOKUP($B$3,'Data for Bill Impacts'!$A$3:$Y$21,4,0)</f>
        <v>750</v>
      </c>
      <c r="C7" s="15">
        <f>VLOOKUP($B$3,'Data for Bill Impacts'!$A$3:$Y$21,4,0)</f>
        <v>750</v>
      </c>
    </row>
    <row r="8" spans="1:11" x14ac:dyDescent="0.2">
      <c r="A8" s="15" t="s">
        <v>82</v>
      </c>
      <c r="B8" s="193">
        <f>B4*B6</f>
        <v>2848.6149999999998</v>
      </c>
      <c r="C8" s="193">
        <f>C4*C6</f>
        <v>2811.1544999999996</v>
      </c>
    </row>
    <row r="9" spans="1:11" x14ac:dyDescent="0.2">
      <c r="A9" s="15" t="s">
        <v>21</v>
      </c>
      <c r="B9" s="16" t="str">
        <f>VLOOKUP($B$3,'Data for Bill Impacts'!$A$3:$Y$21,6,0)</f>
        <v>kWh</v>
      </c>
      <c r="C9" s="16" t="str">
        <f>VLOOKUP($B$3,'Data for Bill Impacts'!$A$3:$Y$21,6,0)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IF(C4&gt;C7,C7,C4)</f>
        <v>750</v>
      </c>
      <c r="C12" s="103">
        <v>0.10299999999999999</v>
      </c>
      <c r="D12" s="104">
        <f>B12*C12</f>
        <v>77.25</v>
      </c>
      <c r="E12" s="102">
        <f>IF(B4&gt;B7,B7,B4)</f>
        <v>750</v>
      </c>
      <c r="F12" s="103">
        <f>C12</f>
        <v>0.10299999999999999</v>
      </c>
      <c r="G12" s="104">
        <f>E12*F12</f>
        <v>77.25</v>
      </c>
      <c r="H12" s="104">
        <f>G12-D12</f>
        <v>0</v>
      </c>
      <c r="I12" s="105">
        <f>IF(ISERROR(H12/D12),0,(H12/D12))</f>
        <v>0</v>
      </c>
      <c r="J12" s="105">
        <f>G12/$G$45</f>
        <v>0.15435206481357691</v>
      </c>
      <c r="K12" s="106"/>
    </row>
    <row r="13" spans="1:11" x14ac:dyDescent="0.2">
      <c r="A13" s="107" t="s">
        <v>32</v>
      </c>
      <c r="B13" s="73">
        <f>IF(C4&gt;C7,(C4)-C7,0)</f>
        <v>1945</v>
      </c>
      <c r="C13" s="21">
        <v>0.121</v>
      </c>
      <c r="D13" s="22">
        <f>B13*C13</f>
        <v>235.345</v>
      </c>
      <c r="E13" s="73">
        <f>IF(B4&gt;B7,(B4)-B7,0)</f>
        <v>1945</v>
      </c>
      <c r="F13" s="21">
        <f>C13</f>
        <v>0.121</v>
      </c>
      <c r="G13" s="22">
        <f>E13*F13</f>
        <v>235.345</v>
      </c>
      <c r="H13" s="22">
        <f t="shared" ref="H13:H45" si="0">G13-D13</f>
        <v>0</v>
      </c>
      <c r="I13" s="23">
        <f t="shared" ref="I13:I45" si="1">IF(ISERROR(H13/D13),0,(H13/D13))</f>
        <v>0</v>
      </c>
      <c r="J13" s="23">
        <f>G13/$G$45</f>
        <v>0.47023930994888363</v>
      </c>
      <c r="K13" s="108"/>
    </row>
    <row r="14" spans="1:11" s="1" customFormat="1" x14ac:dyDescent="0.2">
      <c r="A14" s="46" t="s">
        <v>33</v>
      </c>
      <c r="B14" s="24"/>
      <c r="C14" s="25"/>
      <c r="D14" s="25">
        <f>SUM(D12:D13)</f>
        <v>312.59500000000003</v>
      </c>
      <c r="E14" s="76"/>
      <c r="F14" s="25"/>
      <c r="G14" s="25">
        <f>SUM(G12:G13)</f>
        <v>312.59500000000003</v>
      </c>
      <c r="H14" s="25">
        <f t="shared" si="0"/>
        <v>0</v>
      </c>
      <c r="I14" s="27">
        <f t="shared" si="1"/>
        <v>0</v>
      </c>
      <c r="J14" s="27">
        <f>G14/$G$45</f>
        <v>0.62459137476246063</v>
      </c>
      <c r="K14" s="108"/>
    </row>
    <row r="15" spans="1:11" s="1" customFormat="1" x14ac:dyDescent="0.2">
      <c r="A15" s="109" t="s">
        <v>34</v>
      </c>
      <c r="B15" s="75">
        <f>C4*0.65</f>
        <v>1751.75</v>
      </c>
      <c r="C15" s="28">
        <v>8.6999999999999994E-2</v>
      </c>
      <c r="D15" s="22">
        <f>B15*C15</f>
        <v>152.40224999999998</v>
      </c>
      <c r="E15" s="75">
        <f>B4*0.65</f>
        <v>1751.75</v>
      </c>
      <c r="F15" s="28">
        <f t="shared" ref="F15:F17" si="2">C15</f>
        <v>8.6999999999999994E-2</v>
      </c>
      <c r="G15" s="22">
        <f>E15*F15</f>
        <v>152.40224999999998</v>
      </c>
      <c r="H15" s="22">
        <f t="shared" si="0"/>
        <v>0</v>
      </c>
      <c r="I15" s="23">
        <f t="shared" si="1"/>
        <v>0</v>
      </c>
      <c r="J15" s="23"/>
      <c r="K15" s="108">
        <f t="shared" ref="K15:K25" si="3">G15/$G$50</f>
        <v>0.31364278826882064</v>
      </c>
    </row>
    <row r="16" spans="1:11" s="1" customFormat="1" x14ac:dyDescent="0.2">
      <c r="A16" s="109" t="s">
        <v>35</v>
      </c>
      <c r="B16" s="75">
        <f>C4*0.17</f>
        <v>458.15000000000003</v>
      </c>
      <c r="C16" s="28">
        <v>0.13200000000000001</v>
      </c>
      <c r="D16" s="22">
        <f>B16*C16</f>
        <v>60.475800000000007</v>
      </c>
      <c r="E16" s="75">
        <f>B4*0.17</f>
        <v>458.15000000000003</v>
      </c>
      <c r="F16" s="28">
        <f t="shared" si="2"/>
        <v>0.13200000000000001</v>
      </c>
      <c r="G16" s="22">
        <f>E16*F16</f>
        <v>60.475800000000007</v>
      </c>
      <c r="H16" s="22">
        <f t="shared" si="0"/>
        <v>0</v>
      </c>
      <c r="I16" s="23">
        <f t="shared" si="1"/>
        <v>0</v>
      </c>
      <c r="J16" s="23"/>
      <c r="K16" s="108">
        <f t="shared" si="3"/>
        <v>0.12445878282497501</v>
      </c>
    </row>
    <row r="17" spans="1:11" s="1" customFormat="1" x14ac:dyDescent="0.2">
      <c r="A17" s="109" t="s">
        <v>36</v>
      </c>
      <c r="B17" s="75">
        <f>C4*0.18</f>
        <v>485.09999999999997</v>
      </c>
      <c r="C17" s="28">
        <v>0.18</v>
      </c>
      <c r="D17" s="22">
        <f>B17*C17</f>
        <v>87.317999999999984</v>
      </c>
      <c r="E17" s="75">
        <f>B4*0.18</f>
        <v>485.09999999999997</v>
      </c>
      <c r="F17" s="28">
        <f t="shared" si="2"/>
        <v>0.18</v>
      </c>
      <c r="G17" s="22">
        <f>E17*F17</f>
        <v>87.317999999999984</v>
      </c>
      <c r="H17" s="22">
        <f t="shared" si="0"/>
        <v>0</v>
      </c>
      <c r="I17" s="23">
        <f t="shared" si="1"/>
        <v>0</v>
      </c>
      <c r="J17" s="23"/>
      <c r="K17" s="108">
        <f t="shared" si="3"/>
        <v>0.17969984685958953</v>
      </c>
    </row>
    <row r="18" spans="1:11" s="1" customFormat="1" x14ac:dyDescent="0.2">
      <c r="A18" s="61" t="s">
        <v>37</v>
      </c>
      <c r="B18" s="29"/>
      <c r="C18" s="30"/>
      <c r="D18" s="30">
        <f>SUM(D15:D17)</f>
        <v>300.19604999999996</v>
      </c>
      <c r="E18" s="77"/>
      <c r="F18" s="30"/>
      <c r="G18" s="30">
        <f>SUM(G15:G17)</f>
        <v>300.19604999999996</v>
      </c>
      <c r="H18" s="31">
        <f t="shared" si="0"/>
        <v>0</v>
      </c>
      <c r="I18" s="32">
        <f t="shared" si="1"/>
        <v>0</v>
      </c>
      <c r="J18" s="33">
        <f>G18/$G$45</f>
        <v>0.59981721898226237</v>
      </c>
      <c r="K18" s="62">
        <f t="shared" si="3"/>
        <v>0.61780141795338517</v>
      </c>
    </row>
    <row r="19" spans="1:11" x14ac:dyDescent="0.2">
      <c r="A19" s="107" t="s">
        <v>38</v>
      </c>
      <c r="B19" s="73">
        <v>1</v>
      </c>
      <c r="C19" s="122">
        <f>'Data for Bill Impacts'!G23</f>
        <v>25.19</v>
      </c>
      <c r="D19" s="22">
        <f>B19*C19</f>
        <v>25.19</v>
      </c>
      <c r="E19" s="73">
        <f t="shared" ref="E19:E23" si="4">B19</f>
        <v>1</v>
      </c>
      <c r="F19" s="78">
        <f>VLOOKUP($B$3,'Data for Bill Impacts'!$A$3:$Y$21,17,0)</f>
        <v>30.24</v>
      </c>
      <c r="G19" s="22">
        <f>E19*F19</f>
        <v>30.24</v>
      </c>
      <c r="H19" s="22">
        <f t="shared" si="0"/>
        <v>5.0499999999999972</v>
      </c>
      <c r="I19" s="23">
        <f t="shared" si="1"/>
        <v>0.2004763795156807</v>
      </c>
      <c r="J19" s="23">
        <f>G19/$G$45</f>
        <v>6.0422089837703113E-2</v>
      </c>
      <c r="K19" s="108">
        <f t="shared" si="3"/>
        <v>6.2233713198126255E-2</v>
      </c>
    </row>
    <row r="20" spans="1:11" x14ac:dyDescent="0.2">
      <c r="A20" s="107" t="s">
        <v>188</v>
      </c>
      <c r="B20" s="73">
        <v>1</v>
      </c>
      <c r="C20" s="122">
        <f>'Data for Bill Impacts'!K23</f>
        <v>-0.25</v>
      </c>
      <c r="D20" s="22">
        <f t="shared" ref="D20" si="5">B20*C20</f>
        <v>-0.25</v>
      </c>
      <c r="E20" s="73">
        <f t="shared" si="4"/>
        <v>1</v>
      </c>
      <c r="F20" s="122">
        <f>VLOOKUP($B$3,'Data for Bill Impacts'!$A$3:$Y$21,12,0)</f>
        <v>0</v>
      </c>
      <c r="G20" s="22">
        <f t="shared" ref="G20" si="6">E20*F20</f>
        <v>0</v>
      </c>
      <c r="H20" s="22">
        <f t="shared" si="0"/>
        <v>0.25</v>
      </c>
      <c r="I20" s="23">
        <f t="shared" si="1"/>
        <v>-1</v>
      </c>
      <c r="J20" s="23">
        <f>G20/$G$45</f>
        <v>0</v>
      </c>
      <c r="K20" s="108">
        <f t="shared" si="3"/>
        <v>0</v>
      </c>
    </row>
    <row r="21" spans="1:11" x14ac:dyDescent="0.2">
      <c r="A21" s="107" t="s">
        <v>39</v>
      </c>
      <c r="B21" s="73">
        <f>IF($C$9="kWh",$C$4,$C$5)</f>
        <v>2695</v>
      </c>
      <c r="C21" s="78">
        <f>VLOOKUP($B$3,'Data for Bill Impacts'!$A$3:$Y$21,10,0)</f>
        <v>1.4500000000000001E-2</v>
      </c>
      <c r="D21" s="22">
        <f>B21*C21</f>
        <v>39.077500000000001</v>
      </c>
      <c r="E21" s="73">
        <f>IF($B$9="kWh",$B$4,$B$5)</f>
        <v>2695</v>
      </c>
      <c r="F21" s="78">
        <f>VLOOKUP($B$3,'Data for Bill Impacts'!$A$3:$Y$21,19,0)</f>
        <v>1.7399999999999999E-2</v>
      </c>
      <c r="G21" s="22">
        <f>E21*F21</f>
        <v>46.892999999999994</v>
      </c>
      <c r="H21" s="22">
        <f t="shared" si="0"/>
        <v>7.815499999999993</v>
      </c>
      <c r="I21" s="23">
        <f t="shared" si="1"/>
        <v>0.19999999999999982</v>
      </c>
      <c r="J21" s="23">
        <f>G21/$G$45</f>
        <v>9.3696199033049335E-2</v>
      </c>
      <c r="K21" s="108">
        <f t="shared" si="3"/>
        <v>9.6505473313483275E-2</v>
      </c>
    </row>
    <row r="22" spans="1:11" x14ac:dyDescent="0.2">
      <c r="A22" s="107" t="s">
        <v>190</v>
      </c>
      <c r="B22" s="73">
        <f>IF($C$9="kWh",$C$4,$C$5)</f>
        <v>2695</v>
      </c>
      <c r="C22" s="126">
        <f>'Data for Bill Impacts'!L23</f>
        <v>-2.0000000000000001E-4</v>
      </c>
      <c r="D22" s="22">
        <f>B22*C22</f>
        <v>-0.53900000000000003</v>
      </c>
      <c r="E22" s="73">
        <f>IF($B$9="kWh",$B$4,$B$5)</f>
        <v>2695</v>
      </c>
      <c r="F22" s="126">
        <f>VLOOKUP($B$3,'Data for Bill Impacts'!$A$3:$Y$21,20,0)</f>
        <v>0</v>
      </c>
      <c r="G22" s="22">
        <f>E22*F22</f>
        <v>0</v>
      </c>
      <c r="H22" s="22">
        <f>G22-D22</f>
        <v>0.53900000000000003</v>
      </c>
      <c r="I22" s="23">
        <f>IF(ISERROR(H22/D22),0,(H22/D22))</f>
        <v>-1</v>
      </c>
      <c r="J22" s="23">
        <f>G22/$G$45</f>
        <v>0</v>
      </c>
      <c r="K22" s="108">
        <f t="shared" si="3"/>
        <v>0</v>
      </c>
    </row>
    <row r="23" spans="1:11" hidden="1" x14ac:dyDescent="0.2">
      <c r="A23" s="107" t="s">
        <v>194</v>
      </c>
      <c r="B23" s="73">
        <f>IF($B$9="kWh",$B$4,$B$5)</f>
        <v>2695</v>
      </c>
      <c r="C23" s="126">
        <f>VLOOKUP($B$3,'Data for Bill Impacts'!$A$3:$Y$21,14,0)</f>
        <v>0</v>
      </c>
      <c r="D23" s="22">
        <f>B23*C23</f>
        <v>0</v>
      </c>
      <c r="E23" s="73">
        <f t="shared" si="4"/>
        <v>2695</v>
      </c>
      <c r="F23" s="126">
        <f>VLOOKUP($B$3,'Data for Bill Impacts'!$A$3:$Y$21,23,0)</f>
        <v>0</v>
      </c>
      <c r="G23" s="22">
        <f>E23*F23</f>
        <v>0</v>
      </c>
      <c r="H23" s="22">
        <f t="shared" si="0"/>
        <v>0</v>
      </c>
      <c r="I23" s="23">
        <f>IF(ISERROR(H23/D23),0,(H23/D23))</f>
        <v>0</v>
      </c>
      <c r="J23" s="23">
        <f t="shared" ref="J23" si="7">G23/$G$45</f>
        <v>0</v>
      </c>
      <c r="K23" s="108">
        <f t="shared" si="3"/>
        <v>0</v>
      </c>
    </row>
    <row r="24" spans="1:11" s="1" customFormat="1" x14ac:dyDescent="0.2">
      <c r="A24" s="110" t="s">
        <v>72</v>
      </c>
      <c r="B24" s="74"/>
      <c r="C24" s="35"/>
      <c r="D24" s="35">
        <f>SUM(D19:D23)</f>
        <v>63.478499999999997</v>
      </c>
      <c r="E24" s="73"/>
      <c r="F24" s="35"/>
      <c r="G24" s="35">
        <f>SUM(G19:G23)</f>
        <v>77.132999999999996</v>
      </c>
      <c r="H24" s="35">
        <f t="shared" si="0"/>
        <v>13.654499999999999</v>
      </c>
      <c r="I24" s="36">
        <f t="shared" si="1"/>
        <v>0.21510432666178311</v>
      </c>
      <c r="J24" s="36">
        <f>G24/$G$45</f>
        <v>0.15411828887075246</v>
      </c>
      <c r="K24" s="111">
        <f t="shared" si="3"/>
        <v>0.15873918651160954</v>
      </c>
    </row>
    <row r="25" spans="1:11" s="1" customFormat="1" x14ac:dyDescent="0.2">
      <c r="A25" s="119" t="s">
        <v>73</v>
      </c>
      <c r="B25" s="120">
        <v>1</v>
      </c>
      <c r="C25" s="78">
        <f>VLOOKUP($B$3,'Data for Bill Impacts'!$A$3:$Y$21,9,0)</f>
        <v>0.79</v>
      </c>
      <c r="D25" s="22">
        <f>B25*C25</f>
        <v>0.79</v>
      </c>
      <c r="E25" s="73">
        <v>1</v>
      </c>
      <c r="F25" s="78">
        <f>VLOOKUP($B$3,'Data for Bill Impacts'!$A$3:$Y$21,18,0)</f>
        <v>0.79</v>
      </c>
      <c r="G25" s="22">
        <f>E25*F25</f>
        <v>0.79</v>
      </c>
      <c r="H25" s="22">
        <f t="shared" si="0"/>
        <v>0</v>
      </c>
      <c r="I25" s="23">
        <f>IF(ISERROR(H25/D25),0,(H25/D25))</f>
        <v>0</v>
      </c>
      <c r="J25" s="23">
        <f>G25/$G$45</f>
        <v>1.5784871353103659E-3</v>
      </c>
      <c r="K25" s="108">
        <f t="shared" si="3"/>
        <v>1.6258145974378223E-3</v>
      </c>
    </row>
    <row r="26" spans="1:11" s="1" customFormat="1" x14ac:dyDescent="0.2">
      <c r="A26" s="119" t="s">
        <v>75</v>
      </c>
      <c r="B26" s="120">
        <f>C8-C4</f>
        <v>116.15449999999964</v>
      </c>
      <c r="C26" s="121">
        <f>IF(B4&gt;B7,C13,C12)</f>
        <v>0.121</v>
      </c>
      <c r="D26" s="22">
        <f>B26*C26</f>
        <v>14.054694499999956</v>
      </c>
      <c r="E26" s="120">
        <f>B8-B4</f>
        <v>153.61499999999978</v>
      </c>
      <c r="F26" s="121">
        <f>C26</f>
        <v>0.121</v>
      </c>
      <c r="G26" s="22">
        <f>E26*F26</f>
        <v>18.587414999999972</v>
      </c>
      <c r="H26" s="22">
        <f t="shared" si="0"/>
        <v>4.5327205000000159</v>
      </c>
      <c r="I26" s="23">
        <f>IF(ISERROR(H26/D26),0,(H26/D26))</f>
        <v>0.32250580046403926</v>
      </c>
      <c r="J26" s="23">
        <f t="shared" ref="J26:J45" si="8">G26/$G$45</f>
        <v>3.7139234754651744E-2</v>
      </c>
      <c r="K26" s="108">
        <f t="shared" ref="K26:K40" si="9">G26/$G$50</f>
        <v>3.8252772956499606E-2</v>
      </c>
    </row>
    <row r="27" spans="1:11" s="1" customFormat="1" x14ac:dyDescent="0.2">
      <c r="A27" s="119" t="s">
        <v>74</v>
      </c>
      <c r="B27" s="120">
        <f>C8-C4</f>
        <v>116.15449999999964</v>
      </c>
      <c r="C27" s="121">
        <f>0.65*C15+0.17*C16+0.18*C17</f>
        <v>0.11139</v>
      </c>
      <c r="D27" s="22">
        <f>B27*C27</f>
        <v>12.93844975499996</v>
      </c>
      <c r="E27" s="120">
        <f>B8-B4</f>
        <v>153.61499999999978</v>
      </c>
      <c r="F27" s="121">
        <f>C27</f>
        <v>0.11139</v>
      </c>
      <c r="G27" s="22">
        <f>E27*F27</f>
        <v>17.111174849999976</v>
      </c>
      <c r="H27" s="22">
        <f t="shared" si="0"/>
        <v>4.1727250950000165</v>
      </c>
      <c r="I27" s="23">
        <f>IF(ISERROR(H27/D27),0,(H27/D27))</f>
        <v>0.32250580046403943</v>
      </c>
      <c r="J27" s="23">
        <f t="shared" si="8"/>
        <v>3.4189581481988911E-2</v>
      </c>
      <c r="K27" s="108">
        <f t="shared" si="9"/>
        <v>3.5214680823342913E-2</v>
      </c>
    </row>
    <row r="28" spans="1:11" s="1" customFormat="1" x14ac:dyDescent="0.2">
      <c r="A28" s="110" t="s">
        <v>78</v>
      </c>
      <c r="B28" s="74"/>
      <c r="C28" s="35"/>
      <c r="D28" s="35">
        <f>SUM(D24,D25:D26)</f>
        <v>78.323194499999957</v>
      </c>
      <c r="E28" s="73"/>
      <c r="F28" s="35"/>
      <c r="G28" s="35">
        <f>SUM(G24,G25:G26)</f>
        <v>96.510414999999966</v>
      </c>
      <c r="H28" s="35">
        <f t="shared" si="0"/>
        <v>18.187220500000009</v>
      </c>
      <c r="I28" s="36">
        <f>IF(ISERROR(H28/D28),0,(H28/D28))</f>
        <v>0.23220733801913582</v>
      </c>
      <c r="J28" s="36">
        <f t="shared" si="8"/>
        <v>0.19283601076071458</v>
      </c>
      <c r="K28" s="111">
        <f t="shared" si="9"/>
        <v>0.19861777406554695</v>
      </c>
    </row>
    <row r="29" spans="1:11" s="1" customFormat="1" x14ac:dyDescent="0.2">
      <c r="A29" s="110" t="s">
        <v>77</v>
      </c>
      <c r="B29" s="74"/>
      <c r="C29" s="35"/>
      <c r="D29" s="35">
        <f>SUM(D24,D25,D27)</f>
        <v>77.206949754999968</v>
      </c>
      <c r="E29" s="73"/>
      <c r="F29" s="35"/>
      <c r="G29" s="35">
        <f>SUM(G24,G25,G27)</f>
        <v>95.034174849999971</v>
      </c>
      <c r="H29" s="35">
        <f t="shared" si="0"/>
        <v>17.827225095000003</v>
      </c>
      <c r="I29" s="36">
        <f>IF(ISERROR(H29/D29),0,(H29/D29))</f>
        <v>0.23090181844472493</v>
      </c>
      <c r="J29" s="36">
        <f t="shared" si="8"/>
        <v>0.18988635748805174</v>
      </c>
      <c r="K29" s="111">
        <f t="shared" si="9"/>
        <v>0.19557968193239025</v>
      </c>
    </row>
    <row r="30" spans="1:11" x14ac:dyDescent="0.2">
      <c r="A30" s="107" t="s">
        <v>40</v>
      </c>
      <c r="B30" s="73">
        <f>C8</f>
        <v>2811.1544999999996</v>
      </c>
      <c r="C30" s="78">
        <f>VLOOKUP($B$3,'Data for Bill Impacts'!$A$3:$Y$21,15,0)</f>
        <v>6.4999999999999997E-3</v>
      </c>
      <c r="D30" s="22">
        <f>B30*C30</f>
        <v>18.272504249999997</v>
      </c>
      <c r="E30" s="73">
        <f>B8</f>
        <v>2848.6149999999998</v>
      </c>
      <c r="F30" s="78">
        <f>VLOOKUP($B$3,'Data for Bill Impacts'!$A$3:$Y$21,24,0)</f>
        <v>5.5999999999999999E-3</v>
      </c>
      <c r="G30" s="22">
        <f>E30*F30</f>
        <v>15.952243999999999</v>
      </c>
      <c r="H30" s="22">
        <f t="shared" si="0"/>
        <v>-2.3202602499999987</v>
      </c>
      <c r="I30" s="23">
        <f t="shared" si="1"/>
        <v>-0.12698096649779128</v>
      </c>
      <c r="J30" s="23">
        <f t="shared" si="8"/>
        <v>3.1873939156116415E-2</v>
      </c>
      <c r="K30" s="108">
        <f t="shared" si="9"/>
        <v>3.2829609059607481E-2</v>
      </c>
    </row>
    <row r="31" spans="1:11" x14ac:dyDescent="0.2">
      <c r="A31" s="107" t="s">
        <v>41</v>
      </c>
      <c r="B31" s="73">
        <f>C8</f>
        <v>2811.1544999999996</v>
      </c>
      <c r="C31" s="126">
        <f>VLOOKUP($B$3,'Data for Bill Impacts'!$A$3:$Y$21,16,0)</f>
        <v>5.2595081845627977E-3</v>
      </c>
      <c r="D31" s="22">
        <f>B31*C31</f>
        <v>14.785290100820538</v>
      </c>
      <c r="E31" s="73">
        <f>B8</f>
        <v>2848.6149999999998</v>
      </c>
      <c r="F31" s="78">
        <f>VLOOKUP($B$3,'Data for Bill Impacts'!$A$3:$Y$21,25,0)</f>
        <v>4.5999999999999999E-3</v>
      </c>
      <c r="G31" s="22">
        <f>E31*F31</f>
        <v>13.103628999999998</v>
      </c>
      <c r="H31" s="22">
        <f t="shared" si="0"/>
        <v>-1.6816611008205395</v>
      </c>
      <c r="I31" s="23">
        <f t="shared" si="1"/>
        <v>-0.1137387964222097</v>
      </c>
      <c r="J31" s="23">
        <f t="shared" si="8"/>
        <v>2.6182164306809912E-2</v>
      </c>
      <c r="K31" s="108">
        <f t="shared" si="9"/>
        <v>2.6967178870391861E-2</v>
      </c>
    </row>
    <row r="32" spans="1:11" s="1" customFormat="1" x14ac:dyDescent="0.2">
      <c r="A32" s="110" t="s">
        <v>76</v>
      </c>
      <c r="B32" s="74"/>
      <c r="C32" s="35"/>
      <c r="D32" s="35">
        <f>SUM(D30:D31)</f>
        <v>33.057794350820537</v>
      </c>
      <c r="E32" s="73"/>
      <c r="F32" s="35"/>
      <c r="G32" s="35">
        <f>SUM(G30:G31)</f>
        <v>29.055872999999998</v>
      </c>
      <c r="H32" s="35">
        <f t="shared" si="0"/>
        <v>-4.0019213508205382</v>
      </c>
      <c r="I32" s="36">
        <f t="shared" si="1"/>
        <v>-0.12105832919010839</v>
      </c>
      <c r="J32" s="36">
        <f t="shared" si="8"/>
        <v>5.8056103462926334E-2</v>
      </c>
      <c r="K32" s="111">
        <f t="shared" si="9"/>
        <v>5.9796787929999345E-2</v>
      </c>
    </row>
    <row r="33" spans="1:11" s="1" customFormat="1" x14ac:dyDescent="0.2">
      <c r="A33" s="110" t="s">
        <v>95</v>
      </c>
      <c r="B33" s="74"/>
      <c r="C33" s="35"/>
      <c r="D33" s="35">
        <f>D28+D32</f>
        <v>111.3809888508205</v>
      </c>
      <c r="E33" s="73"/>
      <c r="F33" s="35"/>
      <c r="G33" s="35">
        <f>G28+G32</f>
        <v>125.56628799999996</v>
      </c>
      <c r="H33" s="35">
        <f t="shared" si="0"/>
        <v>14.185299149179457</v>
      </c>
      <c r="I33" s="36">
        <f t="shared" si="1"/>
        <v>0.12735835168584031</v>
      </c>
      <c r="J33" s="36">
        <f t="shared" si="8"/>
        <v>0.25089211422364088</v>
      </c>
      <c r="K33" s="111">
        <f t="shared" si="9"/>
        <v>0.2584145619955463</v>
      </c>
    </row>
    <row r="34" spans="1:11" s="1" customFormat="1" x14ac:dyDescent="0.2">
      <c r="A34" s="110" t="s">
        <v>96</v>
      </c>
      <c r="B34" s="74"/>
      <c r="C34" s="35"/>
      <c r="D34" s="35">
        <f>D29+D32</f>
        <v>110.26474410582051</v>
      </c>
      <c r="E34" s="73"/>
      <c r="F34" s="35"/>
      <c r="G34" s="35">
        <f>G29+G32</f>
        <v>124.09004784999996</v>
      </c>
      <c r="H34" s="35">
        <f t="shared" si="0"/>
        <v>13.82530374417945</v>
      </c>
      <c r="I34" s="36">
        <f t="shared" si="1"/>
        <v>0.12538281257798392</v>
      </c>
      <c r="J34" s="36">
        <f t="shared" si="8"/>
        <v>0.24794246095097805</v>
      </c>
      <c r="K34" s="111">
        <f t="shared" si="9"/>
        <v>0.2553764698623896</v>
      </c>
    </row>
    <row r="35" spans="1:11" x14ac:dyDescent="0.2">
      <c r="A35" s="107" t="s">
        <v>42</v>
      </c>
      <c r="B35" s="73">
        <f>C8</f>
        <v>2811.1544999999996</v>
      </c>
      <c r="C35" s="34">
        <v>3.5999999999999999E-3</v>
      </c>
      <c r="D35" s="22">
        <f>B35*C35</f>
        <v>10.120156199999998</v>
      </c>
      <c r="E35" s="73">
        <f>B8</f>
        <v>2848.6149999999998</v>
      </c>
      <c r="F35" s="34">
        <v>3.5999999999999999E-3</v>
      </c>
      <c r="G35" s="22">
        <f>E35*F35</f>
        <v>10.255013999999999</v>
      </c>
      <c r="H35" s="22">
        <f t="shared" si="0"/>
        <v>0.13485780000000069</v>
      </c>
      <c r="I35" s="23">
        <f t="shared" si="1"/>
        <v>1.3325663886492258E-2</v>
      </c>
      <c r="J35" s="23">
        <f t="shared" si="8"/>
        <v>2.0490389457503411E-2</v>
      </c>
      <c r="K35" s="108">
        <f t="shared" si="9"/>
        <v>2.110474868117624E-2</v>
      </c>
    </row>
    <row r="36" spans="1:11" x14ac:dyDescent="0.2">
      <c r="A36" s="107" t="s">
        <v>43</v>
      </c>
      <c r="B36" s="73">
        <f>C8</f>
        <v>2811.1544999999996</v>
      </c>
      <c r="C36" s="34">
        <v>2.0999999999999999E-3</v>
      </c>
      <c r="D36" s="22">
        <f>B36*C36</f>
        <v>5.9034244499999993</v>
      </c>
      <c r="E36" s="73">
        <f>B8</f>
        <v>2848.6149999999998</v>
      </c>
      <c r="F36" s="34">
        <v>2.0999999999999999E-3</v>
      </c>
      <c r="G36" s="22">
        <f>E36*F36</f>
        <v>5.9820914999999992</v>
      </c>
      <c r="H36" s="22">
        <f>G36-D36</f>
        <v>7.8667049999999961E-2</v>
      </c>
      <c r="I36" s="23">
        <f t="shared" si="1"/>
        <v>1.3325663886492181E-2</v>
      </c>
      <c r="J36" s="23">
        <f t="shared" si="8"/>
        <v>1.1952727183543656E-2</v>
      </c>
      <c r="K36" s="108">
        <f t="shared" si="9"/>
        <v>1.2311103397352805E-2</v>
      </c>
    </row>
    <row r="37" spans="1:11" x14ac:dyDescent="0.2">
      <c r="A37" s="107" t="s">
        <v>100</v>
      </c>
      <c r="B37" s="73">
        <f>C8</f>
        <v>2811.1544999999996</v>
      </c>
      <c r="C37" s="34">
        <v>1.1000000000000001E-3</v>
      </c>
      <c r="D37" s="22">
        <f>B37*C37</f>
        <v>3.0922699499999999</v>
      </c>
      <c r="E37" s="73">
        <f>B8</f>
        <v>2848.6149999999998</v>
      </c>
      <c r="F37" s="34">
        <v>1.1000000000000001E-3</v>
      </c>
      <c r="G37" s="22">
        <f>E37*F37</f>
        <v>3.1334765</v>
      </c>
      <c r="H37" s="22">
        <f>G37-D37</f>
        <v>4.1206550000000064E-2</v>
      </c>
      <c r="I37" s="23">
        <f t="shared" si="1"/>
        <v>1.3325663886492208E-2</v>
      </c>
      <c r="J37" s="23">
        <f t="shared" si="8"/>
        <v>6.2609523342371538E-3</v>
      </c>
      <c r="K37" s="108">
        <f t="shared" si="9"/>
        <v>6.4486732081371848E-3</v>
      </c>
    </row>
    <row r="38" spans="1:11" x14ac:dyDescent="0.2">
      <c r="A38" s="107" t="s">
        <v>44</v>
      </c>
      <c r="B38" s="73">
        <v>1</v>
      </c>
      <c r="C38" s="22">
        <v>0.25</v>
      </c>
      <c r="D38" s="22">
        <f>B38*C38</f>
        <v>0.25</v>
      </c>
      <c r="E38" s="73">
        <v>1</v>
      </c>
      <c r="F38" s="22">
        <f>C38</f>
        <v>0.25</v>
      </c>
      <c r="G38" s="22">
        <f>E38*F38</f>
        <v>0.25</v>
      </c>
      <c r="H38" s="22">
        <f t="shared" si="0"/>
        <v>0</v>
      </c>
      <c r="I38" s="23">
        <f t="shared" si="1"/>
        <v>0</v>
      </c>
      <c r="J38" s="23">
        <f t="shared" si="8"/>
        <v>4.9952124535138163E-4</v>
      </c>
      <c r="K38" s="108">
        <f t="shared" si="9"/>
        <v>5.1449829032842477E-4</v>
      </c>
    </row>
    <row r="39" spans="1:11" s="1" customFormat="1" x14ac:dyDescent="0.2">
      <c r="A39" s="110" t="s">
        <v>45</v>
      </c>
      <c r="B39" s="74"/>
      <c r="C39" s="35"/>
      <c r="D39" s="35">
        <f>SUM(D35:D38)</f>
        <v>19.365850599999998</v>
      </c>
      <c r="E39" s="73"/>
      <c r="F39" s="35"/>
      <c r="G39" s="35">
        <f>SUM(G35:G38)</f>
        <v>19.620581999999999</v>
      </c>
      <c r="H39" s="35">
        <f t="shared" si="0"/>
        <v>0.25473140000000072</v>
      </c>
      <c r="I39" s="36">
        <f t="shared" si="1"/>
        <v>1.315363860134296E-2</v>
      </c>
      <c r="J39" s="36">
        <f t="shared" si="8"/>
        <v>3.9203590220635604E-2</v>
      </c>
      <c r="K39" s="111">
        <f t="shared" si="9"/>
        <v>4.0379023576994653E-2</v>
      </c>
    </row>
    <row r="40" spans="1:11" s="1" customFormat="1" ht="13.5" thickBot="1" x14ac:dyDescent="0.25">
      <c r="A40" s="112" t="s">
        <v>46</v>
      </c>
      <c r="B40" s="113">
        <f>C4</f>
        <v>2695</v>
      </c>
      <c r="C40" s="114">
        <v>7.0000000000000001E-3</v>
      </c>
      <c r="D40" s="115">
        <f>B40*C40</f>
        <v>18.865000000000002</v>
      </c>
      <c r="E40" s="116">
        <f>B4</f>
        <v>2695</v>
      </c>
      <c r="F40" s="114">
        <f>C40</f>
        <v>7.0000000000000001E-3</v>
      </c>
      <c r="G40" s="115">
        <f>E40*F40</f>
        <v>18.865000000000002</v>
      </c>
      <c r="H40" s="115">
        <f t="shared" si="0"/>
        <v>0</v>
      </c>
      <c r="I40" s="117">
        <f t="shared" si="1"/>
        <v>0</v>
      </c>
      <c r="J40" s="117">
        <f t="shared" si="8"/>
        <v>3.7693873174215256E-2</v>
      </c>
      <c r="K40" s="118">
        <f t="shared" si="9"/>
        <v>3.8824040988182935E-2</v>
      </c>
    </row>
    <row r="41" spans="1:11" s="1" customFormat="1" x14ac:dyDescent="0.2">
      <c r="A41" s="37" t="s">
        <v>137</v>
      </c>
      <c r="B41" s="38"/>
      <c r="C41" s="39"/>
      <c r="D41" s="39">
        <f>SUM(D14,D24,D25,D26,D32,D39,D40)</f>
        <v>462.20683945082055</v>
      </c>
      <c r="E41" s="38"/>
      <c r="F41" s="39"/>
      <c r="G41" s="39">
        <f>SUM(G14,G24,G25,G26,G32,G39,G40)</f>
        <v>476.64687000000004</v>
      </c>
      <c r="H41" s="39">
        <f t="shared" si="0"/>
        <v>14.440030549179482</v>
      </c>
      <c r="I41" s="40">
        <f>IF(ISERROR(H41/D41),0,(H41/D41))</f>
        <v>3.1241490425231843E-2</v>
      </c>
      <c r="J41" s="40">
        <f t="shared" si="8"/>
        <v>0.95238095238095244</v>
      </c>
      <c r="K41" s="41"/>
    </row>
    <row r="42" spans="1:11" x14ac:dyDescent="0.2">
      <c r="A42" s="150" t="s">
        <v>138</v>
      </c>
      <c r="B42" s="43"/>
      <c r="C42" s="26">
        <v>0.13</v>
      </c>
      <c r="D42" s="26">
        <f>D41*C42</f>
        <v>60.086889128606671</v>
      </c>
      <c r="E42" s="26"/>
      <c r="F42" s="26">
        <f>C42</f>
        <v>0.13</v>
      </c>
      <c r="G42" s="26">
        <f>G41*F42</f>
        <v>61.964093100000007</v>
      </c>
      <c r="H42" s="26">
        <f t="shared" si="0"/>
        <v>1.8772039713933353</v>
      </c>
      <c r="I42" s="44">
        <f t="shared" si="1"/>
        <v>3.1241490425231888E-2</v>
      </c>
      <c r="J42" s="44">
        <f t="shared" si="8"/>
        <v>0.12380952380952381</v>
      </c>
      <c r="K42" s="45"/>
    </row>
    <row r="43" spans="1:11" s="1" customFormat="1" x14ac:dyDescent="0.2">
      <c r="A43" s="46" t="s">
        <v>139</v>
      </c>
      <c r="B43" s="24"/>
      <c r="C43" s="25"/>
      <c r="D43" s="25">
        <f>SUM(D41:D42)</f>
        <v>522.29372857942724</v>
      </c>
      <c r="E43" s="25"/>
      <c r="F43" s="25"/>
      <c r="G43" s="25">
        <f>SUM(G41:G42)</f>
        <v>538.61096310000005</v>
      </c>
      <c r="H43" s="25">
        <f t="shared" si="0"/>
        <v>16.317234520572811</v>
      </c>
      <c r="I43" s="27">
        <f t="shared" si="1"/>
        <v>3.1241490425231836E-2</v>
      </c>
      <c r="J43" s="27">
        <f t="shared" si="8"/>
        <v>1.0761904761904764</v>
      </c>
      <c r="K43" s="47"/>
    </row>
    <row r="44" spans="1:11" x14ac:dyDescent="0.2">
      <c r="A44" s="42" t="s">
        <v>140</v>
      </c>
      <c r="B44" s="43"/>
      <c r="C44" s="26">
        <v>-0.08</v>
      </c>
      <c r="D44" s="26">
        <f>D41*C44</f>
        <v>-36.976547156065642</v>
      </c>
      <c r="E44" s="26"/>
      <c r="F44" s="26">
        <f>C44</f>
        <v>-0.08</v>
      </c>
      <c r="G44" s="26">
        <f>G41*F44</f>
        <v>-38.131749600000006</v>
      </c>
      <c r="H44" s="26">
        <f t="shared" si="0"/>
        <v>-1.155202443934364</v>
      </c>
      <c r="I44" s="44">
        <f t="shared" si="1"/>
        <v>3.1241490425231992E-2</v>
      </c>
      <c r="J44" s="44">
        <f t="shared" si="8"/>
        <v>-7.6190476190476197E-2</v>
      </c>
      <c r="K44" s="45"/>
    </row>
    <row r="45" spans="1:11" s="1" customFormat="1" ht="13.5" thickBot="1" x14ac:dyDescent="0.25">
      <c r="A45" s="48" t="s">
        <v>141</v>
      </c>
      <c r="B45" s="49"/>
      <c r="C45" s="50"/>
      <c r="D45" s="50">
        <f>SUM(D43:D44)</f>
        <v>485.3171814233616</v>
      </c>
      <c r="E45" s="50"/>
      <c r="F45" s="50"/>
      <c r="G45" s="50">
        <f>SUM(G43:G44)</f>
        <v>500.47921350000001</v>
      </c>
      <c r="H45" s="50">
        <f t="shared" si="0"/>
        <v>15.162032076638411</v>
      </c>
      <c r="I45" s="51">
        <f t="shared" si="1"/>
        <v>3.1241490425231749E-2</v>
      </c>
      <c r="J45" s="51">
        <f t="shared" si="8"/>
        <v>1</v>
      </c>
      <c r="K45" s="52"/>
    </row>
    <row r="46" spans="1:11" x14ac:dyDescent="0.2">
      <c r="A46" s="53" t="s">
        <v>142</v>
      </c>
      <c r="B46" s="54"/>
      <c r="C46" s="55"/>
      <c r="D46" s="55">
        <f>SUM(D18,D24,D25,D27,D32,D39,D40)</f>
        <v>448.69164470582047</v>
      </c>
      <c r="E46" s="55"/>
      <c r="F46" s="55"/>
      <c r="G46" s="55">
        <f>SUM(G18,G24,G25,G27,G32,G39,G40)</f>
        <v>462.77167985</v>
      </c>
      <c r="H46" s="55">
        <f>G46-D46</f>
        <v>14.080035144179533</v>
      </c>
      <c r="I46" s="56">
        <f>IF(ISERROR(H46/D46),0,(H46/D46))</f>
        <v>3.1380203554739576E-2</v>
      </c>
      <c r="J46" s="56"/>
      <c r="K46" s="57">
        <f>G46/$G$50</f>
        <v>0.95238095238095244</v>
      </c>
    </row>
    <row r="47" spans="1:11" x14ac:dyDescent="0.2">
      <c r="A47" s="151" t="s">
        <v>138</v>
      </c>
      <c r="B47" s="59"/>
      <c r="C47" s="31">
        <v>0.13</v>
      </c>
      <c r="D47" s="31">
        <f>D46*C47</f>
        <v>58.329913811756661</v>
      </c>
      <c r="E47" s="31"/>
      <c r="F47" s="31">
        <f>C47</f>
        <v>0.13</v>
      </c>
      <c r="G47" s="31">
        <f>G46*F47</f>
        <v>60.160318380500001</v>
      </c>
      <c r="H47" s="31">
        <f>G47-D47</f>
        <v>1.8304045687433401</v>
      </c>
      <c r="I47" s="32">
        <f>IF(ISERROR(H47/D47),0,(H47/D47))</f>
        <v>3.138020355473959E-2</v>
      </c>
      <c r="J47" s="32"/>
      <c r="K47" s="60">
        <f>G47/$G$50</f>
        <v>0.12380952380952383</v>
      </c>
    </row>
    <row r="48" spans="1:11" x14ac:dyDescent="0.2">
      <c r="A48" s="141" t="s">
        <v>143</v>
      </c>
      <c r="B48" s="29"/>
      <c r="C48" s="30"/>
      <c r="D48" s="30">
        <f>SUM(D46:D47)</f>
        <v>507.02155851757715</v>
      </c>
      <c r="E48" s="30"/>
      <c r="F48" s="30"/>
      <c r="G48" s="30">
        <f>SUM(G46:G47)</f>
        <v>522.93199823049997</v>
      </c>
      <c r="H48" s="30">
        <f>G48-D48</f>
        <v>15.910439712922823</v>
      </c>
      <c r="I48" s="33">
        <f>IF(ISERROR(H48/D48),0,(H48/D48))</f>
        <v>3.1380203554739472E-2</v>
      </c>
      <c r="J48" s="33"/>
      <c r="K48" s="62">
        <f>G48/$G$50</f>
        <v>1.0761904761904764</v>
      </c>
    </row>
    <row r="49" spans="1:11" x14ac:dyDescent="0.2">
      <c r="A49" s="58" t="s">
        <v>140</v>
      </c>
      <c r="B49" s="59"/>
      <c r="C49" s="31">
        <v>-0.08</v>
      </c>
      <c r="D49" s="31">
        <f>D46*C49</f>
        <v>-35.895331576465637</v>
      </c>
      <c r="E49" s="31"/>
      <c r="F49" s="31">
        <f>C49</f>
        <v>-0.08</v>
      </c>
      <c r="G49" s="31">
        <f>G46*F49</f>
        <v>-37.021734387999999</v>
      </c>
      <c r="H49" s="31">
        <f>G49-D49</f>
        <v>-1.1264028115343621</v>
      </c>
      <c r="I49" s="32">
        <f>IF(ISERROR(H49/D49),0,(H49/D49))</f>
        <v>3.1380203554739555E-2</v>
      </c>
      <c r="J49" s="32"/>
      <c r="K49" s="60">
        <f>G49/$G$50</f>
        <v>-7.6190476190476197E-2</v>
      </c>
    </row>
    <row r="50" spans="1:11" ht="13.5" thickBot="1" x14ac:dyDescent="0.25">
      <c r="A50" s="63" t="s">
        <v>144</v>
      </c>
      <c r="B50" s="64"/>
      <c r="C50" s="65"/>
      <c r="D50" s="65">
        <f>SUM(D48:D49)</f>
        <v>471.1262269411115</v>
      </c>
      <c r="E50" s="65"/>
      <c r="F50" s="65"/>
      <c r="G50" s="65">
        <f>SUM(G48:G49)</f>
        <v>485.91026384249994</v>
      </c>
      <c r="H50" s="65">
        <f>G50-D50</f>
        <v>14.784036901388447</v>
      </c>
      <c r="I50" s="66">
        <f>IF(ISERROR(H50/D50),0,(H50/D50))</f>
        <v>3.1380203554739437E-2</v>
      </c>
      <c r="J50" s="66"/>
      <c r="K50" s="67">
        <f>G50/$G$50</f>
        <v>1</v>
      </c>
    </row>
    <row r="51" spans="1:11" x14ac:dyDescent="0.2">
      <c r="C51" s="68"/>
      <c r="F51" s="69"/>
    </row>
    <row r="52" spans="1:11" x14ac:dyDescent="0.2">
      <c r="F52" s="69"/>
    </row>
    <row r="53" spans="1:11" x14ac:dyDescent="0.2">
      <c r="F53" s="69"/>
    </row>
    <row r="54" spans="1:11" x14ac:dyDescent="0.2">
      <c r="A54" s="70"/>
      <c r="B54" s="71"/>
      <c r="F54" s="69"/>
    </row>
    <row r="55" spans="1:11" x14ac:dyDescent="0.2">
      <c r="B55" s="71"/>
      <c r="F55" s="69"/>
    </row>
    <row r="56" spans="1:11" x14ac:dyDescent="0.2">
      <c r="F56" s="69"/>
    </row>
    <row r="57" spans="1:11" x14ac:dyDescent="0.2">
      <c r="D57" s="72"/>
      <c r="F57" s="69"/>
    </row>
    <row r="58" spans="1:11" x14ac:dyDescent="0.2">
      <c r="F58" s="69"/>
    </row>
    <row r="59" spans="1:11" x14ac:dyDescent="0.2">
      <c r="A59" s="70"/>
      <c r="B59" s="71"/>
      <c r="F59" s="69"/>
    </row>
    <row r="60" spans="1:11" x14ac:dyDescent="0.2">
      <c r="B60" s="72"/>
      <c r="D60" s="72"/>
      <c r="F60" s="69"/>
    </row>
    <row r="61" spans="1:11" x14ac:dyDescent="0.2">
      <c r="F61" s="69"/>
    </row>
    <row r="62" spans="1:11" x14ac:dyDescent="0.2">
      <c r="F62" s="69"/>
    </row>
    <row r="63" spans="1:11" x14ac:dyDescent="0.2">
      <c r="F63" s="69"/>
      <c r="K63"/>
    </row>
    <row r="64" spans="1:11" x14ac:dyDescent="0.2">
      <c r="F64" s="69"/>
      <c r="K64"/>
    </row>
    <row r="65" spans="6:11" x14ac:dyDescent="0.2">
      <c r="F65" s="69"/>
      <c r="K65"/>
    </row>
    <row r="66" spans="6:11" x14ac:dyDescent="0.2">
      <c r="F66" s="69"/>
      <c r="K66"/>
    </row>
    <row r="67" spans="6:11" x14ac:dyDescent="0.2">
      <c r="F67" s="69"/>
      <c r="K67"/>
    </row>
  </sheetData>
  <mergeCells count="1">
    <mergeCell ref="A1:K1"/>
  </mergeCell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'Data for Bill Impacts'!$A$3:$A$21</xm:f>
          </x14:formula1>
          <xm:sqref>B3</xm:sqref>
        </x14:dataValidation>
        <x14:dataValidation type="list" allowBlank="1" showInputMessage="1" showErrorMessage="1">
          <x14:formula1>
            <xm:f>'Data for Bill Impacts'!$A$3:$A$39</xm:f>
          </x14:formula1>
          <xm:sqref>C3</xm:sqref>
        </x14:dataValidation>
      </x14:dataValidations>
    </ext>
  </extLst>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9">
    <pageSetUpPr fitToPage="1"/>
  </sheetPr>
  <dimension ref="A1:K67"/>
  <sheetViews>
    <sheetView topLeftCell="A19" workbookViewId="0">
      <selection activeCell="C19" sqref="C19"/>
    </sheetView>
  </sheetViews>
  <sheetFormatPr defaultRowHeight="12.75" x14ac:dyDescent="0.2"/>
  <cols>
    <col min="1" max="1" width="64.7109375" bestFit="1" customWidth="1"/>
    <col min="2" max="2" width="15.5703125" bestFit="1" customWidth="1"/>
    <col min="3" max="3" width="13"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48" t="s">
        <v>110</v>
      </c>
      <c r="B1" s="349"/>
      <c r="C1" s="349"/>
      <c r="D1" s="349"/>
      <c r="E1" s="349"/>
      <c r="F1" s="349"/>
      <c r="G1" s="349"/>
      <c r="H1" s="349"/>
      <c r="I1" s="349"/>
      <c r="J1" s="349"/>
      <c r="K1" s="350"/>
    </row>
    <row r="3" spans="1:11" x14ac:dyDescent="0.2">
      <c r="A3" s="13" t="s">
        <v>13</v>
      </c>
      <c r="B3" s="13" t="s">
        <v>196</v>
      </c>
      <c r="C3" s="13" t="s">
        <v>114</v>
      </c>
    </row>
    <row r="4" spans="1:11" x14ac:dyDescent="0.2">
      <c r="A4" s="15" t="s">
        <v>62</v>
      </c>
      <c r="B4" s="79">
        <v>2000</v>
      </c>
      <c r="C4" s="79">
        <v>2000</v>
      </c>
    </row>
    <row r="5" spans="1:11" x14ac:dyDescent="0.2">
      <c r="A5" s="15" t="s">
        <v>16</v>
      </c>
      <c r="B5" s="15">
        <v>0</v>
      </c>
      <c r="C5" s="15">
        <v>0</v>
      </c>
    </row>
    <row r="6" spans="1:11" x14ac:dyDescent="0.2">
      <c r="A6" s="15" t="s">
        <v>20</v>
      </c>
      <c r="B6" s="15">
        <f>VLOOKUP($B$3,'Data for Bill Impacts'!$A$3:$Y$21,2,0)</f>
        <v>1.0569999999999999</v>
      </c>
      <c r="C6" s="15">
        <f>VLOOKUP($C$3,'Data for Bill Impacts'!$A$3:$Y$30,2,0)</f>
        <v>1.0430999999999999</v>
      </c>
    </row>
    <row r="7" spans="1:11" x14ac:dyDescent="0.2">
      <c r="A7" s="15" t="s">
        <v>15</v>
      </c>
      <c r="B7" s="15">
        <f>VLOOKUP($B$3,'Data for Bill Impacts'!$A$3:$Y$21,4,0)</f>
        <v>750</v>
      </c>
      <c r="C7" s="15">
        <f>VLOOKUP($B$3,'Data for Bill Impacts'!$A$3:$Y$21,4,0)</f>
        <v>750</v>
      </c>
    </row>
    <row r="8" spans="1:11" x14ac:dyDescent="0.2">
      <c r="A8" s="15" t="s">
        <v>82</v>
      </c>
      <c r="B8" s="15">
        <f>B4*B6</f>
        <v>2114</v>
      </c>
      <c r="C8" s="15">
        <f>C4*C6</f>
        <v>2086.1999999999998</v>
      </c>
    </row>
    <row r="9" spans="1:11" x14ac:dyDescent="0.2">
      <c r="A9" s="15" t="s">
        <v>21</v>
      </c>
      <c r="B9" s="16" t="str">
        <f>VLOOKUP($B$3,'Data for Bill Impacts'!$A$3:$Y$21,6,0)</f>
        <v>kWh</v>
      </c>
      <c r="C9" s="16" t="str">
        <f>VLOOKUP($B$3,'Data for Bill Impacts'!$A$3:$Y$21,6,0)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ht="13.5" thickBot="1" x14ac:dyDescent="0.25">
      <c r="A12" s="101" t="s">
        <v>31</v>
      </c>
      <c r="B12" s="102">
        <f>IF(C4&gt;C7,C7,C4)</f>
        <v>750</v>
      </c>
      <c r="C12" s="103">
        <v>0.10299999999999999</v>
      </c>
      <c r="D12" s="104">
        <f>B12*C12</f>
        <v>77.25</v>
      </c>
      <c r="E12" s="102">
        <f>B12</f>
        <v>750</v>
      </c>
      <c r="F12" s="103">
        <f>C12</f>
        <v>0.10299999999999999</v>
      </c>
      <c r="G12" s="104">
        <f>E12*F12</f>
        <v>77.25</v>
      </c>
      <c r="H12" s="104">
        <f>G12-D12</f>
        <v>0</v>
      </c>
      <c r="I12" s="105">
        <f>IF(ISERROR(H12/D12),0,(H12/D12))</f>
        <v>0</v>
      </c>
      <c r="J12" s="105">
        <f>G12/$G$45</f>
        <v>0.20532783878694708</v>
      </c>
      <c r="K12" s="106"/>
    </row>
    <row r="13" spans="1:11" x14ac:dyDescent="0.2">
      <c r="A13" s="107" t="s">
        <v>32</v>
      </c>
      <c r="B13" s="73">
        <f>IF(C4&gt;C7,(C4)-C7,0)</f>
        <v>1250</v>
      </c>
      <c r="C13" s="21">
        <v>0.121</v>
      </c>
      <c r="D13" s="104">
        <f>B13*C13</f>
        <v>151.25</v>
      </c>
      <c r="E13" s="73">
        <f t="shared" ref="E13" si="0">B13</f>
        <v>1250</v>
      </c>
      <c r="F13" s="21">
        <f>C13</f>
        <v>0.121</v>
      </c>
      <c r="G13" s="22">
        <f>E13*F13</f>
        <v>151.25</v>
      </c>
      <c r="H13" s="22">
        <f t="shared" ref="H13:H45" si="1">G13-D13</f>
        <v>0</v>
      </c>
      <c r="I13" s="23">
        <f t="shared" ref="I13:I45" si="2">IF(ISERROR(H13/D13),0,(H13/D13))</f>
        <v>0</v>
      </c>
      <c r="J13" s="23">
        <f>G13/$G$45</f>
        <v>0.40201728953431387</v>
      </c>
      <c r="K13" s="108"/>
    </row>
    <row r="14" spans="1:11" s="1" customFormat="1" x14ac:dyDescent="0.2">
      <c r="A14" s="46" t="s">
        <v>33</v>
      </c>
      <c r="B14" s="24"/>
      <c r="C14" s="25"/>
      <c r="D14" s="25">
        <f>SUM(D12:D13)</f>
        <v>228.5</v>
      </c>
      <c r="E14" s="76"/>
      <c r="F14" s="25"/>
      <c r="G14" s="25">
        <f>SUM(G12:G13)</f>
        <v>228.5</v>
      </c>
      <c r="H14" s="25">
        <f t="shared" si="1"/>
        <v>0</v>
      </c>
      <c r="I14" s="27">
        <f t="shared" si="2"/>
        <v>0</v>
      </c>
      <c r="J14" s="27">
        <f>G14/$G$45</f>
        <v>0.60734512832126097</v>
      </c>
      <c r="K14" s="108"/>
    </row>
    <row r="15" spans="1:11" s="1" customFormat="1" x14ac:dyDescent="0.2">
      <c r="A15" s="109" t="s">
        <v>34</v>
      </c>
      <c r="B15" s="75">
        <f>C4*0.65</f>
        <v>1300</v>
      </c>
      <c r="C15" s="28">
        <v>8.6999999999999994E-2</v>
      </c>
      <c r="D15" s="272">
        <f>B15*C15</f>
        <v>113.1</v>
      </c>
      <c r="E15" s="75">
        <f>B4*0.65</f>
        <v>1300</v>
      </c>
      <c r="F15" s="28">
        <f t="shared" ref="F15:F17" si="3">C15</f>
        <v>8.6999999999999994E-2</v>
      </c>
      <c r="G15" s="22">
        <f>E15*F15</f>
        <v>113.1</v>
      </c>
      <c r="H15" s="22">
        <f t="shared" si="1"/>
        <v>0</v>
      </c>
      <c r="I15" s="23">
        <f t="shared" si="2"/>
        <v>0</v>
      </c>
      <c r="J15" s="23"/>
      <c r="K15" s="108">
        <f t="shared" ref="K15:K25" si="4">G15/$G$50</f>
        <v>0.3064448663701641</v>
      </c>
    </row>
    <row r="16" spans="1:11" s="1" customFormat="1" x14ac:dyDescent="0.2">
      <c r="A16" s="109" t="s">
        <v>35</v>
      </c>
      <c r="B16" s="75">
        <f>C4*0.17</f>
        <v>340</v>
      </c>
      <c r="C16" s="28">
        <v>0.13200000000000001</v>
      </c>
      <c r="D16" s="272">
        <f t="shared" ref="D16:D17" si="5">B16*C16</f>
        <v>44.88</v>
      </c>
      <c r="E16" s="75">
        <f>B4*0.17</f>
        <v>340</v>
      </c>
      <c r="F16" s="28">
        <f t="shared" si="3"/>
        <v>0.13200000000000001</v>
      </c>
      <c r="G16" s="22">
        <f>E16*F16</f>
        <v>44.88</v>
      </c>
      <c r="H16" s="22">
        <f t="shared" si="1"/>
        <v>0</v>
      </c>
      <c r="I16" s="23">
        <f t="shared" si="2"/>
        <v>0</v>
      </c>
      <c r="J16" s="23"/>
      <c r="K16" s="108">
        <f t="shared" si="4"/>
        <v>0.12160252522274947</v>
      </c>
    </row>
    <row r="17" spans="1:11" s="1" customFormat="1" x14ac:dyDescent="0.2">
      <c r="A17" s="109" t="s">
        <v>36</v>
      </c>
      <c r="B17" s="75">
        <f>C4*0.18</f>
        <v>360</v>
      </c>
      <c r="C17" s="28">
        <v>0.18</v>
      </c>
      <c r="D17" s="272">
        <f t="shared" si="5"/>
        <v>64.8</v>
      </c>
      <c r="E17" s="75">
        <f>B4*0.18</f>
        <v>360</v>
      </c>
      <c r="F17" s="28">
        <f t="shared" si="3"/>
        <v>0.18</v>
      </c>
      <c r="G17" s="22">
        <f>E17*F17</f>
        <v>64.8</v>
      </c>
      <c r="H17" s="22">
        <f t="shared" si="1"/>
        <v>0</v>
      </c>
      <c r="I17" s="23">
        <f t="shared" si="2"/>
        <v>0</v>
      </c>
      <c r="J17" s="23"/>
      <c r="K17" s="108">
        <f t="shared" si="4"/>
        <v>0.175575838556911</v>
      </c>
    </row>
    <row r="18" spans="1:11" s="1" customFormat="1" x14ac:dyDescent="0.2">
      <c r="A18" s="61" t="s">
        <v>37</v>
      </c>
      <c r="B18" s="29"/>
      <c r="C18" s="30"/>
      <c r="D18" s="30">
        <f>SUM(D15:D17)</f>
        <v>222.77999999999997</v>
      </c>
      <c r="E18" s="77"/>
      <c r="F18" s="30"/>
      <c r="G18" s="30">
        <f>SUM(G15:G17)</f>
        <v>222.77999999999997</v>
      </c>
      <c r="H18" s="31">
        <f t="shared" si="1"/>
        <v>0</v>
      </c>
      <c r="I18" s="32">
        <f t="shared" si="2"/>
        <v>0</v>
      </c>
      <c r="J18" s="33">
        <f>G18/$G$45</f>
        <v>0.59214156537159957</v>
      </c>
      <c r="K18" s="62">
        <f t="shared" si="4"/>
        <v>0.60362323014982455</v>
      </c>
    </row>
    <row r="19" spans="1:11" x14ac:dyDescent="0.2">
      <c r="A19" s="107" t="s">
        <v>38</v>
      </c>
      <c r="B19" s="73">
        <v>1</v>
      </c>
      <c r="C19" s="122">
        <f>'Data for Bill Impacts'!G23</f>
        <v>25.19</v>
      </c>
      <c r="D19" s="22">
        <f>B19*C19</f>
        <v>25.19</v>
      </c>
      <c r="E19" s="73">
        <v>1</v>
      </c>
      <c r="F19" s="78">
        <f>VLOOKUP($B$3,'Data for Bill Impacts'!$A$3:$Y$21,17,0)</f>
        <v>30.24</v>
      </c>
      <c r="G19" s="22">
        <f>E19*F19</f>
        <v>30.24</v>
      </c>
      <c r="H19" s="22">
        <f t="shared" si="1"/>
        <v>5.0499999999999972</v>
      </c>
      <c r="I19" s="23">
        <f t="shared" si="2"/>
        <v>0.2004763795156807</v>
      </c>
      <c r="J19" s="23">
        <f>G19/$G$45</f>
        <v>8.0376878251356365E-2</v>
      </c>
      <c r="K19" s="108">
        <f t="shared" si="4"/>
        <v>8.1935391326558457E-2</v>
      </c>
    </row>
    <row r="20" spans="1:11" x14ac:dyDescent="0.2">
      <c r="A20" s="107" t="s">
        <v>188</v>
      </c>
      <c r="B20" s="73">
        <v>1</v>
      </c>
      <c r="C20" s="122">
        <f>'Data for Bill Impacts'!K23</f>
        <v>-0.25</v>
      </c>
      <c r="D20" s="22">
        <f t="shared" ref="D20" si="6">B20*C20</f>
        <v>-0.25</v>
      </c>
      <c r="E20" s="73">
        <v>1</v>
      </c>
      <c r="F20" s="122">
        <f>VLOOKUP($B$3,'Data for Bill Impacts'!$A$3:$Y$21,12,0)</f>
        <v>0</v>
      </c>
      <c r="G20" s="22">
        <f t="shared" ref="G20" si="7">E20*F20</f>
        <v>0</v>
      </c>
      <c r="H20" s="22">
        <f t="shared" si="1"/>
        <v>0.25</v>
      </c>
      <c r="I20" s="23">
        <f t="shared" si="2"/>
        <v>-1</v>
      </c>
      <c r="J20" s="23">
        <f>G20/$G$45</f>
        <v>0</v>
      </c>
      <c r="K20" s="108">
        <f t="shared" si="4"/>
        <v>0</v>
      </c>
    </row>
    <row r="21" spans="1:11" x14ac:dyDescent="0.2">
      <c r="A21" s="107" t="s">
        <v>39</v>
      </c>
      <c r="B21" s="73">
        <f>IF($C$9="kWh",$C$4,$C$5)</f>
        <v>2000</v>
      </c>
      <c r="C21" s="78">
        <f>VLOOKUP($B$3,'Data for Bill Impacts'!$A$3:$Y$21,10,0)</f>
        <v>1.4500000000000001E-2</v>
      </c>
      <c r="D21" s="22">
        <f>B21*C21</f>
        <v>29</v>
      </c>
      <c r="E21" s="73">
        <f>IF($B$9="kWh",$B$4,$B$5)</f>
        <v>2000</v>
      </c>
      <c r="F21" s="78">
        <f>VLOOKUP($B$3,'Data for Bill Impacts'!$A$3:$Y$21,19,0)</f>
        <v>1.7399999999999999E-2</v>
      </c>
      <c r="G21" s="22">
        <f>E21*F21</f>
        <v>34.799999999999997</v>
      </c>
      <c r="H21" s="22">
        <f t="shared" si="1"/>
        <v>5.7999999999999972</v>
      </c>
      <c r="I21" s="23">
        <f t="shared" si="2"/>
        <v>0.1999999999999999</v>
      </c>
      <c r="J21" s="23">
        <f>G21/$G$45</f>
        <v>9.2497201162275181E-2</v>
      </c>
      <c r="K21" s="108">
        <f t="shared" si="4"/>
        <v>9.4290728113896646E-2</v>
      </c>
    </row>
    <row r="22" spans="1:11" x14ac:dyDescent="0.2">
      <c r="A22" s="107" t="s">
        <v>190</v>
      </c>
      <c r="B22" s="73">
        <f>IF($C$9="kWh",$C$4,$C$5)</f>
        <v>2000</v>
      </c>
      <c r="C22" s="126">
        <f>'Data for Bill Impacts'!L23</f>
        <v>-2.0000000000000001E-4</v>
      </c>
      <c r="D22" s="22">
        <f>B22*C22</f>
        <v>-0.4</v>
      </c>
      <c r="E22" s="73">
        <f>IF($B$9="kWh",$B$4,$B$5)</f>
        <v>2000</v>
      </c>
      <c r="F22" s="126">
        <f>VLOOKUP($B$3,'Data for Bill Impacts'!$A$3:$Y$21,20,0)</f>
        <v>0</v>
      </c>
      <c r="G22" s="22">
        <f>E22*F22</f>
        <v>0</v>
      </c>
      <c r="H22" s="22">
        <f>G22-D22</f>
        <v>0.4</v>
      </c>
      <c r="I22" s="23">
        <f>IF(ISERROR(H22/D22),0,(H22/D22))</f>
        <v>-1</v>
      </c>
      <c r="J22" s="23">
        <f>G22/$G$45</f>
        <v>0</v>
      </c>
      <c r="K22" s="108">
        <f t="shared" si="4"/>
        <v>0</v>
      </c>
    </row>
    <row r="23" spans="1:11" hidden="1" x14ac:dyDescent="0.2">
      <c r="A23" s="107" t="s">
        <v>194</v>
      </c>
      <c r="B23" s="73">
        <f>IF($B$9="kWh",$B$4,$B$5)</f>
        <v>2000</v>
      </c>
      <c r="C23" s="126">
        <v>0</v>
      </c>
      <c r="D23" s="22">
        <f>B23*C23</f>
        <v>0</v>
      </c>
      <c r="E23" s="73">
        <f t="shared" ref="E23" si="8">B23</f>
        <v>2000</v>
      </c>
      <c r="F23" s="126">
        <v>0</v>
      </c>
      <c r="G23" s="22">
        <f>E23*F23</f>
        <v>0</v>
      </c>
      <c r="H23" s="22">
        <f t="shared" si="1"/>
        <v>0</v>
      </c>
      <c r="I23" s="23">
        <f>IF(ISERROR(H23/D23),0,(H23/D23))</f>
        <v>0</v>
      </c>
      <c r="J23" s="23">
        <f t="shared" ref="J23" si="9">G23/$G$45</f>
        <v>0</v>
      </c>
      <c r="K23" s="108">
        <f t="shared" si="4"/>
        <v>0</v>
      </c>
    </row>
    <row r="24" spans="1:11" s="1" customFormat="1" x14ac:dyDescent="0.2">
      <c r="A24" s="110" t="s">
        <v>72</v>
      </c>
      <c r="B24" s="74"/>
      <c r="C24" s="35"/>
      <c r="D24" s="35">
        <f>SUM(D19:D23)</f>
        <v>53.54</v>
      </c>
      <c r="E24" s="73"/>
      <c r="F24" s="35"/>
      <c r="G24" s="35">
        <f>SUM(G19:G23)</f>
        <v>65.039999999999992</v>
      </c>
      <c r="H24" s="35">
        <f t="shared" si="1"/>
        <v>11.499999999999993</v>
      </c>
      <c r="I24" s="36">
        <f t="shared" si="2"/>
        <v>0.21479267837131105</v>
      </c>
      <c r="J24" s="36">
        <f>G24/$G$45</f>
        <v>0.17287407941363153</v>
      </c>
      <c r="K24" s="111">
        <f t="shared" si="4"/>
        <v>0.1762261194404551</v>
      </c>
    </row>
    <row r="25" spans="1:11" s="1" customFormat="1" x14ac:dyDescent="0.2">
      <c r="A25" s="119" t="s">
        <v>73</v>
      </c>
      <c r="B25" s="120">
        <v>1</v>
      </c>
      <c r="C25" s="78">
        <f>VLOOKUP($B$3,'Data for Bill Impacts'!$A$3:$Y$21,9,0)</f>
        <v>0.79</v>
      </c>
      <c r="D25" s="22">
        <f>B25*C25</f>
        <v>0.79</v>
      </c>
      <c r="E25" s="73">
        <v>1</v>
      </c>
      <c r="F25" s="78">
        <f>VLOOKUP($B$3,'Data for Bill Impacts'!$A$3:$Y$21,18,0)</f>
        <v>0.79</v>
      </c>
      <c r="G25" s="22">
        <f>E25*F25</f>
        <v>0.79</v>
      </c>
      <c r="H25" s="22">
        <f t="shared" si="1"/>
        <v>0</v>
      </c>
      <c r="I25" s="23">
        <f>IF(ISERROR(H25/D25),0,(H25/D25))</f>
        <v>0</v>
      </c>
      <c r="J25" s="23">
        <f>G25/$G$45</f>
        <v>2.0997927850056725E-3</v>
      </c>
      <c r="K25" s="108">
        <f t="shared" si="4"/>
        <v>2.1405079083327114E-3</v>
      </c>
    </row>
    <row r="26" spans="1:11" s="1" customFormat="1" x14ac:dyDescent="0.2">
      <c r="A26" s="119" t="s">
        <v>75</v>
      </c>
      <c r="B26" s="120">
        <f>C8-C4</f>
        <v>86.199999999999818</v>
      </c>
      <c r="C26" s="121">
        <f>IF(B4&gt;B7,C13,C12)</f>
        <v>0.121</v>
      </c>
      <c r="D26" s="22">
        <f>B26*C26</f>
        <v>10.430199999999978</v>
      </c>
      <c r="E26" s="120">
        <f>B8-B4</f>
        <v>114</v>
      </c>
      <c r="F26" s="121">
        <f>C26</f>
        <v>0.121</v>
      </c>
      <c r="G26" s="22">
        <f>E26*F26</f>
        <v>13.794</v>
      </c>
      <c r="H26" s="22">
        <f t="shared" si="1"/>
        <v>3.3638000000000225</v>
      </c>
      <c r="I26" s="23">
        <f>IF(ISERROR(H26/D26),0,(H26/D26))</f>
        <v>0.32250580046403998</v>
      </c>
      <c r="J26" s="23">
        <f t="shared" ref="J26:J45" si="10">G26/$G$45</f>
        <v>3.6663976805529429E-2</v>
      </c>
      <c r="K26" s="108">
        <f t="shared" ref="K26:K40" si="11">G26/$G$50</f>
        <v>3.7374893781697997E-2</v>
      </c>
    </row>
    <row r="27" spans="1:11" s="1" customFormat="1" x14ac:dyDescent="0.2">
      <c r="A27" s="119" t="s">
        <v>74</v>
      </c>
      <c r="B27" s="120">
        <f>C8-C4</f>
        <v>86.199999999999818</v>
      </c>
      <c r="C27" s="121">
        <f>0.65*C15+0.17*C16+0.18*C17</f>
        <v>0.11139</v>
      </c>
      <c r="D27" s="22">
        <f>B27*C27</f>
        <v>9.6018179999999802</v>
      </c>
      <c r="E27" s="120">
        <f>B8-B4</f>
        <v>114</v>
      </c>
      <c r="F27" s="121">
        <f>C27</f>
        <v>0.11139</v>
      </c>
      <c r="G27" s="22">
        <f>E27*F27</f>
        <v>12.698460000000001</v>
      </c>
      <c r="H27" s="22">
        <f t="shared" si="1"/>
        <v>3.0966420000000205</v>
      </c>
      <c r="I27" s="23">
        <f>IF(ISERROR(H27/D27),0,(H27/D27))</f>
        <v>0.32250580046403993</v>
      </c>
      <c r="J27" s="23">
        <f t="shared" si="10"/>
        <v>3.3752069226181181E-2</v>
      </c>
      <c r="K27" s="108">
        <f t="shared" si="11"/>
        <v>3.4406524118540005E-2</v>
      </c>
    </row>
    <row r="28" spans="1:11" s="1" customFormat="1" x14ac:dyDescent="0.2">
      <c r="A28" s="110" t="s">
        <v>78</v>
      </c>
      <c r="B28" s="74"/>
      <c r="C28" s="35"/>
      <c r="D28" s="35">
        <f>SUM(D24,D25:D26)</f>
        <v>64.760199999999969</v>
      </c>
      <c r="E28" s="73"/>
      <c r="F28" s="35"/>
      <c r="G28" s="35">
        <f>SUM(G24,G25:G26)</f>
        <v>79.623999999999995</v>
      </c>
      <c r="H28" s="35">
        <f t="shared" si="1"/>
        <v>14.863800000000026</v>
      </c>
      <c r="I28" s="36">
        <f>IF(ISERROR(H28/D28),0,(H28/D28))</f>
        <v>0.22952060061581084</v>
      </c>
      <c r="J28" s="36">
        <f t="shared" si="10"/>
        <v>0.21163784900416666</v>
      </c>
      <c r="K28" s="111">
        <f t="shared" si="11"/>
        <v>0.21574152113048581</v>
      </c>
    </row>
    <row r="29" spans="1:11" s="1" customFormat="1" x14ac:dyDescent="0.2">
      <c r="A29" s="110" t="s">
        <v>77</v>
      </c>
      <c r="B29" s="74"/>
      <c r="C29" s="35"/>
      <c r="D29" s="35">
        <f>SUM(D24,D25,D27)</f>
        <v>63.931817999999978</v>
      </c>
      <c r="E29" s="73"/>
      <c r="F29" s="35"/>
      <c r="G29" s="35">
        <f>SUM(G24,G25,G27)</f>
        <v>78.528459999999995</v>
      </c>
      <c r="H29" s="35">
        <f t="shared" si="1"/>
        <v>14.596642000000017</v>
      </c>
      <c r="I29" s="36">
        <f>IF(ISERROR(H29/D29),0,(H29/D29))</f>
        <v>0.22831576602436085</v>
      </c>
      <c r="J29" s="36">
        <f t="shared" si="10"/>
        <v>0.2087259414248184</v>
      </c>
      <c r="K29" s="111">
        <f t="shared" si="11"/>
        <v>0.21277315146732781</v>
      </c>
    </row>
    <row r="30" spans="1:11" x14ac:dyDescent="0.2">
      <c r="A30" s="107" t="s">
        <v>40</v>
      </c>
      <c r="B30" s="73">
        <f>C8</f>
        <v>2086.1999999999998</v>
      </c>
      <c r="C30" s="78">
        <f>VLOOKUP($B$3,'Data for Bill Impacts'!$A$3:$Y$21,15,0)</f>
        <v>6.4999999999999997E-3</v>
      </c>
      <c r="D30" s="22">
        <f>B30*C30</f>
        <v>13.560299999999998</v>
      </c>
      <c r="E30" s="73">
        <f>B8</f>
        <v>2114</v>
      </c>
      <c r="F30" s="78">
        <f>VLOOKUP($B$3,'Data for Bill Impacts'!$A$3:$Y$21,24,0)</f>
        <v>5.5999999999999999E-3</v>
      </c>
      <c r="G30" s="22">
        <f>E30*F30</f>
        <v>11.8384</v>
      </c>
      <c r="H30" s="22">
        <f t="shared" si="1"/>
        <v>-1.721899999999998</v>
      </c>
      <c r="I30" s="23">
        <f t="shared" si="2"/>
        <v>-0.12698096649779123</v>
      </c>
      <c r="J30" s="23">
        <f t="shared" si="10"/>
        <v>3.1466059374697659E-2</v>
      </c>
      <c r="K30" s="108">
        <f t="shared" si="11"/>
        <v>3.2076188382286035E-2</v>
      </c>
    </row>
    <row r="31" spans="1:11" x14ac:dyDescent="0.2">
      <c r="A31" s="107" t="s">
        <v>41</v>
      </c>
      <c r="B31" s="73">
        <f>C8</f>
        <v>2086.1999999999998</v>
      </c>
      <c r="C31" s="126">
        <f>VLOOKUP($B$3,'Data for Bill Impacts'!$A$3:$Y$21,16,0)</f>
        <v>5.2595081845627977E-3</v>
      </c>
      <c r="D31" s="22">
        <f>B31*C31</f>
        <v>10.972385974634907</v>
      </c>
      <c r="E31" s="73">
        <f>B8</f>
        <v>2114</v>
      </c>
      <c r="F31" s="78">
        <f>VLOOKUP($B$3,'Data for Bill Impacts'!$A$3:$Y$21,25,0)</f>
        <v>4.5999999999999999E-3</v>
      </c>
      <c r="G31" s="22">
        <f>E31*F31</f>
        <v>9.7243999999999993</v>
      </c>
      <c r="H31" s="22">
        <f t="shared" si="1"/>
        <v>-1.2479859746349078</v>
      </c>
      <c r="I31" s="23">
        <f t="shared" si="2"/>
        <v>-0.11373879642220962</v>
      </c>
      <c r="J31" s="23">
        <f t="shared" si="10"/>
        <v>2.5847120200644506E-2</v>
      </c>
      <c r="K31" s="108">
        <f t="shared" si="11"/>
        <v>2.6348297599734956E-2</v>
      </c>
    </row>
    <row r="32" spans="1:11" s="1" customFormat="1" x14ac:dyDescent="0.2">
      <c r="A32" s="110" t="s">
        <v>76</v>
      </c>
      <c r="B32" s="74"/>
      <c r="C32" s="35"/>
      <c r="D32" s="35">
        <f>SUM(D30:D31)</f>
        <v>24.532685974634905</v>
      </c>
      <c r="E32" s="73"/>
      <c r="F32" s="35"/>
      <c r="G32" s="35">
        <f>SUM(G30:G31)</f>
        <v>21.562799999999999</v>
      </c>
      <c r="H32" s="35">
        <f t="shared" si="1"/>
        <v>-2.9698859746349058</v>
      </c>
      <c r="I32" s="36">
        <f t="shared" si="2"/>
        <v>-0.12105832919010832</v>
      </c>
      <c r="J32" s="36">
        <f t="shared" si="10"/>
        <v>5.7313179575342169E-2</v>
      </c>
      <c r="K32" s="111">
        <f t="shared" si="11"/>
        <v>5.8424485982020991E-2</v>
      </c>
    </row>
    <row r="33" spans="1:11" s="1" customFormat="1" x14ac:dyDescent="0.2">
      <c r="A33" s="110" t="s">
        <v>95</v>
      </c>
      <c r="B33" s="74"/>
      <c r="C33" s="35"/>
      <c r="D33" s="35">
        <f>D28+D32</f>
        <v>89.292885974634871</v>
      </c>
      <c r="E33" s="73"/>
      <c r="F33" s="35"/>
      <c r="G33" s="35">
        <f>G28+G32</f>
        <v>101.18679999999999</v>
      </c>
      <c r="H33" s="35">
        <f t="shared" si="1"/>
        <v>11.89391402536512</v>
      </c>
      <c r="I33" s="36">
        <f t="shared" si="2"/>
        <v>0.13320113798028416</v>
      </c>
      <c r="J33" s="36">
        <f t="shared" si="10"/>
        <v>0.26895102857950881</v>
      </c>
      <c r="K33" s="111">
        <f t="shared" si="11"/>
        <v>0.27416600711250677</v>
      </c>
    </row>
    <row r="34" spans="1:11" s="1" customFormat="1" x14ac:dyDescent="0.2">
      <c r="A34" s="110" t="s">
        <v>96</v>
      </c>
      <c r="B34" s="74"/>
      <c r="C34" s="35"/>
      <c r="D34" s="35">
        <f>D29+D32</f>
        <v>88.46450397463488</v>
      </c>
      <c r="E34" s="73"/>
      <c r="F34" s="35"/>
      <c r="G34" s="35">
        <f>G29+G32</f>
        <v>100.09125999999999</v>
      </c>
      <c r="H34" s="35">
        <f t="shared" si="1"/>
        <v>11.626756025365111</v>
      </c>
      <c r="I34" s="36">
        <f t="shared" si="2"/>
        <v>0.13142848829739451</v>
      </c>
      <c r="J34" s="36">
        <f t="shared" si="10"/>
        <v>0.26603912100016058</v>
      </c>
      <c r="K34" s="111">
        <f t="shared" si="11"/>
        <v>0.27119763744934877</v>
      </c>
    </row>
    <row r="35" spans="1:11" x14ac:dyDescent="0.2">
      <c r="A35" s="107" t="s">
        <v>42</v>
      </c>
      <c r="B35" s="73">
        <f>C8</f>
        <v>2086.1999999999998</v>
      </c>
      <c r="C35" s="34">
        <v>3.5999999999999999E-3</v>
      </c>
      <c r="D35" s="22">
        <f>B35*C35</f>
        <v>7.5103199999999992</v>
      </c>
      <c r="E35" s="73">
        <f>B8</f>
        <v>2114</v>
      </c>
      <c r="F35" s="34">
        <v>3.5999999999999999E-3</v>
      </c>
      <c r="G35" s="22">
        <f>E35*F35</f>
        <v>7.6103999999999994</v>
      </c>
      <c r="H35" s="22">
        <f t="shared" si="1"/>
        <v>0.10008000000000017</v>
      </c>
      <c r="I35" s="23">
        <f t="shared" si="2"/>
        <v>1.3325663886492211E-2</v>
      </c>
      <c r="J35" s="23">
        <f t="shared" si="10"/>
        <v>2.0228181026591352E-2</v>
      </c>
      <c r="K35" s="108">
        <f t="shared" si="11"/>
        <v>2.062040681718388E-2</v>
      </c>
    </row>
    <row r="36" spans="1:11" x14ac:dyDescent="0.2">
      <c r="A36" s="107" t="s">
        <v>43</v>
      </c>
      <c r="B36" s="73">
        <f>C8</f>
        <v>2086.1999999999998</v>
      </c>
      <c r="C36" s="34">
        <v>2.0999999999999999E-3</v>
      </c>
      <c r="D36" s="22">
        <f>B36*C36</f>
        <v>4.3810199999999995</v>
      </c>
      <c r="E36" s="73">
        <f>B8</f>
        <v>2114</v>
      </c>
      <c r="F36" s="34">
        <v>2.0999999999999999E-3</v>
      </c>
      <c r="G36" s="22">
        <f>E36*F36</f>
        <v>4.4394</v>
      </c>
      <c r="H36" s="22">
        <f>G36-D36</f>
        <v>5.8380000000000543E-2</v>
      </c>
      <c r="I36" s="23">
        <f t="shared" si="2"/>
        <v>1.3325663886492312E-2</v>
      </c>
      <c r="J36" s="23">
        <f t="shared" si="10"/>
        <v>1.1799772265511623E-2</v>
      </c>
      <c r="K36" s="108">
        <f t="shared" si="11"/>
        <v>1.2028570643357264E-2</v>
      </c>
    </row>
    <row r="37" spans="1:11" x14ac:dyDescent="0.2">
      <c r="A37" s="107" t="s">
        <v>100</v>
      </c>
      <c r="B37" s="73">
        <f>C8</f>
        <v>2086.1999999999998</v>
      </c>
      <c r="C37" s="34">
        <v>1.1000000000000001E-3</v>
      </c>
      <c r="D37" s="22">
        <f>B37*C37</f>
        <v>2.2948200000000001</v>
      </c>
      <c r="E37" s="73">
        <f>B8</f>
        <v>2114</v>
      </c>
      <c r="F37" s="34">
        <v>1.1000000000000001E-3</v>
      </c>
      <c r="G37" s="22">
        <f>E37*F37</f>
        <v>2.3254000000000001</v>
      </c>
      <c r="H37" s="22">
        <f>G37-D37</f>
        <v>3.0580000000000052E-2</v>
      </c>
      <c r="I37" s="23">
        <f t="shared" si="2"/>
        <v>1.3325663886492209E-2</v>
      </c>
      <c r="J37" s="23">
        <f t="shared" si="10"/>
        <v>6.1808330914584694E-3</v>
      </c>
      <c r="K37" s="108">
        <f t="shared" si="11"/>
        <v>6.3006798608061859E-3</v>
      </c>
    </row>
    <row r="38" spans="1:11" x14ac:dyDescent="0.2">
      <c r="A38" s="107" t="s">
        <v>44</v>
      </c>
      <c r="B38" s="73">
        <v>1</v>
      </c>
      <c r="C38" s="22">
        <v>0.25</v>
      </c>
      <c r="D38" s="22">
        <f>B38*C38</f>
        <v>0.25</v>
      </c>
      <c r="E38" s="73">
        <v>1</v>
      </c>
      <c r="F38" s="22">
        <f>C38</f>
        <v>0.25</v>
      </c>
      <c r="G38" s="22">
        <f>E38*F38</f>
        <v>0.25</v>
      </c>
      <c r="H38" s="22">
        <f t="shared" si="1"/>
        <v>0</v>
      </c>
      <c r="I38" s="23">
        <f t="shared" si="2"/>
        <v>0</v>
      </c>
      <c r="J38" s="23">
        <f t="shared" si="10"/>
        <v>6.6449138766002292E-4</v>
      </c>
      <c r="K38" s="108">
        <f t="shared" si="11"/>
        <v>6.7737592035845289E-4</v>
      </c>
    </row>
    <row r="39" spans="1:11" s="1" customFormat="1" x14ac:dyDescent="0.2">
      <c r="A39" s="110" t="s">
        <v>45</v>
      </c>
      <c r="B39" s="74"/>
      <c r="C39" s="35"/>
      <c r="D39" s="35">
        <f>SUM(D35:D38)</f>
        <v>14.436159999999999</v>
      </c>
      <c r="E39" s="73"/>
      <c r="F39" s="35"/>
      <c r="G39" s="35">
        <f>SUM(G35:G38)</f>
        <v>14.6252</v>
      </c>
      <c r="H39" s="35">
        <f t="shared" si="1"/>
        <v>0.18904000000000032</v>
      </c>
      <c r="I39" s="36">
        <f t="shared" si="2"/>
        <v>1.3094895041340657E-2</v>
      </c>
      <c r="J39" s="36">
        <f t="shared" si="10"/>
        <v>3.8873277771221466E-2</v>
      </c>
      <c r="K39" s="111">
        <f t="shared" si="11"/>
        <v>3.9627033241705779E-2</v>
      </c>
    </row>
    <row r="40" spans="1:11" s="1" customFormat="1" ht="13.5" thickBot="1" x14ac:dyDescent="0.25">
      <c r="A40" s="112" t="s">
        <v>46</v>
      </c>
      <c r="B40" s="113">
        <f>C4</f>
        <v>2000</v>
      </c>
      <c r="C40" s="114">
        <v>7.0000000000000001E-3</v>
      </c>
      <c r="D40" s="115">
        <f>B40*C40</f>
        <v>14</v>
      </c>
      <c r="E40" s="116">
        <f>B4</f>
        <v>2000</v>
      </c>
      <c r="F40" s="114">
        <f>C40</f>
        <v>7.0000000000000001E-3</v>
      </c>
      <c r="G40" s="115">
        <f>E40*F40</f>
        <v>14</v>
      </c>
      <c r="H40" s="115">
        <f t="shared" si="1"/>
        <v>0</v>
      </c>
      <c r="I40" s="117">
        <f t="shared" si="2"/>
        <v>0</v>
      </c>
      <c r="J40" s="117">
        <f t="shared" si="10"/>
        <v>3.7211517708961285E-2</v>
      </c>
      <c r="K40" s="118">
        <f t="shared" si="11"/>
        <v>3.7933051540073363E-2</v>
      </c>
    </row>
    <row r="41" spans="1:11" s="1" customFormat="1" x14ac:dyDescent="0.2">
      <c r="A41" s="37" t="s">
        <v>137</v>
      </c>
      <c r="B41" s="38"/>
      <c r="C41" s="39"/>
      <c r="D41" s="39">
        <f>SUM(D14,D24,D25,D26,D32,D39,D40)</f>
        <v>346.22904597463486</v>
      </c>
      <c r="E41" s="38"/>
      <c r="F41" s="39"/>
      <c r="G41" s="39">
        <f>SUM(G14,G24,G25,G26,G32,G39,G40)</f>
        <v>358.31199999999995</v>
      </c>
      <c r="H41" s="39">
        <f t="shared" si="1"/>
        <v>12.082954025365098</v>
      </c>
      <c r="I41" s="40">
        <f>IF(ISERROR(H41/D41),0,(H41/D41))</f>
        <v>3.4898730091669744E-2</v>
      </c>
      <c r="J41" s="40">
        <f t="shared" si="10"/>
        <v>0.95238095238095244</v>
      </c>
      <c r="K41" s="41"/>
    </row>
    <row r="42" spans="1:11" x14ac:dyDescent="0.2">
      <c r="A42" s="150" t="s">
        <v>138</v>
      </c>
      <c r="B42" s="43"/>
      <c r="C42" s="26">
        <v>0.13</v>
      </c>
      <c r="D42" s="26">
        <f>D41*C42</f>
        <v>45.009775976702535</v>
      </c>
      <c r="E42" s="26"/>
      <c r="F42" s="26">
        <f>C42</f>
        <v>0.13</v>
      </c>
      <c r="G42" s="26">
        <f>G41*F42</f>
        <v>46.580559999999998</v>
      </c>
      <c r="H42" s="26">
        <f t="shared" si="1"/>
        <v>1.5707840232974632</v>
      </c>
      <c r="I42" s="44">
        <f t="shared" si="2"/>
        <v>3.4898730091669758E-2</v>
      </c>
      <c r="J42" s="44">
        <f t="shared" si="10"/>
        <v>0.12380952380952383</v>
      </c>
      <c r="K42" s="45"/>
    </row>
    <row r="43" spans="1:11" s="1" customFormat="1" x14ac:dyDescent="0.2">
      <c r="A43" s="46" t="s">
        <v>139</v>
      </c>
      <c r="B43" s="24"/>
      <c r="C43" s="25"/>
      <c r="D43" s="25">
        <f>SUM(D41:D42)</f>
        <v>391.2388219513374</v>
      </c>
      <c r="E43" s="25"/>
      <c r="F43" s="25"/>
      <c r="G43" s="25">
        <f>SUM(G41:G42)</f>
        <v>404.89255999999995</v>
      </c>
      <c r="H43" s="25">
        <f t="shared" si="1"/>
        <v>13.653738048662547</v>
      </c>
      <c r="I43" s="27">
        <f t="shared" si="2"/>
        <v>3.4898730091669709E-2</v>
      </c>
      <c r="J43" s="27">
        <f t="shared" si="10"/>
        <v>1.0761904761904761</v>
      </c>
      <c r="K43" s="47"/>
    </row>
    <row r="44" spans="1:11" x14ac:dyDescent="0.2">
      <c r="A44" s="42" t="s">
        <v>140</v>
      </c>
      <c r="B44" s="43"/>
      <c r="C44" s="26">
        <v>-0.08</v>
      </c>
      <c r="D44" s="26">
        <f>D41*C44</f>
        <v>-27.698323677970791</v>
      </c>
      <c r="E44" s="26"/>
      <c r="F44" s="26">
        <f>C44</f>
        <v>-0.08</v>
      </c>
      <c r="G44" s="26">
        <f>G41*F44</f>
        <v>-28.664959999999997</v>
      </c>
      <c r="H44" s="26">
        <f t="shared" si="1"/>
        <v>-0.96663632202920624</v>
      </c>
      <c r="I44" s="44">
        <f t="shared" si="2"/>
        <v>3.4898730091669689E-2</v>
      </c>
      <c r="J44" s="44">
        <f t="shared" si="10"/>
        <v>-7.6190476190476197E-2</v>
      </c>
      <c r="K44" s="45"/>
    </row>
    <row r="45" spans="1:11" s="1" customFormat="1" ht="13.5" thickBot="1" x14ac:dyDescent="0.25">
      <c r="A45" s="48" t="s">
        <v>141</v>
      </c>
      <c r="B45" s="49"/>
      <c r="C45" s="50"/>
      <c r="D45" s="50">
        <f>SUM(D43:D44)</f>
        <v>363.54049827336661</v>
      </c>
      <c r="E45" s="50"/>
      <c r="F45" s="50"/>
      <c r="G45" s="50">
        <f>SUM(G43:G44)</f>
        <v>376.22759999999994</v>
      </c>
      <c r="H45" s="50">
        <f t="shared" si="1"/>
        <v>12.68710172663333</v>
      </c>
      <c r="I45" s="51">
        <f t="shared" si="2"/>
        <v>3.4898730091669682E-2</v>
      </c>
      <c r="J45" s="51">
        <f t="shared" si="10"/>
        <v>1</v>
      </c>
      <c r="K45" s="52"/>
    </row>
    <row r="46" spans="1:11" x14ac:dyDescent="0.2">
      <c r="A46" s="53" t="s">
        <v>142</v>
      </c>
      <c r="B46" s="54"/>
      <c r="C46" s="55"/>
      <c r="D46" s="55">
        <f>SUM(D18,D24,D25,D27,D32,D39,D40)</f>
        <v>339.68066397463485</v>
      </c>
      <c r="E46" s="55"/>
      <c r="F46" s="55"/>
      <c r="G46" s="55">
        <f>SUM(G18,G24,G25,G27,G32,G39,G40)</f>
        <v>351.49645999999996</v>
      </c>
      <c r="H46" s="55">
        <f>G46-D46</f>
        <v>11.815796025365103</v>
      </c>
      <c r="I46" s="56">
        <f>IF(ISERROR(H46/D46),0,(H46/D46))</f>
        <v>3.478501215555628E-2</v>
      </c>
      <c r="J46" s="56"/>
      <c r="K46" s="57">
        <f>G46/$G$50</f>
        <v>0.95238095238095244</v>
      </c>
    </row>
    <row r="47" spans="1:11" x14ac:dyDescent="0.2">
      <c r="A47" s="151" t="s">
        <v>138</v>
      </c>
      <c r="B47" s="59"/>
      <c r="C47" s="31">
        <v>0.13</v>
      </c>
      <c r="D47" s="31">
        <f>D46*C47</f>
        <v>44.158486316702529</v>
      </c>
      <c r="E47" s="31"/>
      <c r="F47" s="31">
        <f>C47</f>
        <v>0.13</v>
      </c>
      <c r="G47" s="31">
        <f>G46*F47</f>
        <v>45.694539799999994</v>
      </c>
      <c r="H47" s="31">
        <f>G47-D47</f>
        <v>1.536053483297465</v>
      </c>
      <c r="I47" s="32">
        <f>IF(ISERROR(H47/D47),0,(H47/D47))</f>
        <v>3.4785012155556322E-2</v>
      </c>
      <c r="J47" s="32"/>
      <c r="K47" s="60">
        <f>G47/$G$50</f>
        <v>0.12380952380952381</v>
      </c>
    </row>
    <row r="48" spans="1:11" x14ac:dyDescent="0.2">
      <c r="A48" s="141" t="s">
        <v>143</v>
      </c>
      <c r="B48" s="29"/>
      <c r="C48" s="30"/>
      <c r="D48" s="30">
        <f>SUM(D46:D47)</f>
        <v>383.83915029133738</v>
      </c>
      <c r="E48" s="30"/>
      <c r="F48" s="30"/>
      <c r="G48" s="30">
        <f>SUM(G46:G47)</f>
        <v>397.19099979999993</v>
      </c>
      <c r="H48" s="30">
        <f>G48-D48</f>
        <v>13.351849508662553</v>
      </c>
      <c r="I48" s="33">
        <f>IF(ISERROR(H48/D48),0,(H48/D48))</f>
        <v>3.4785012155556252E-2</v>
      </c>
      <c r="J48" s="33"/>
      <c r="K48" s="62">
        <f>G48/$G$50</f>
        <v>1.0761904761904761</v>
      </c>
    </row>
    <row r="49" spans="1:11" x14ac:dyDescent="0.2">
      <c r="A49" s="58" t="s">
        <v>140</v>
      </c>
      <c r="B49" s="59"/>
      <c r="C49" s="31">
        <v>-0.08</v>
      </c>
      <c r="D49" s="31">
        <f>D46*C49</f>
        <v>-27.174453117970788</v>
      </c>
      <c r="E49" s="31"/>
      <c r="F49" s="31">
        <f>C49</f>
        <v>-0.08</v>
      </c>
      <c r="G49" s="31">
        <f>G46*F49</f>
        <v>-28.119716799999996</v>
      </c>
      <c r="H49" s="31">
        <f>G49-D49</f>
        <v>-0.94526368202920708</v>
      </c>
      <c r="I49" s="32">
        <f>IF(ISERROR(H49/D49),0,(H49/D49))</f>
        <v>3.4785012155556239E-2</v>
      </c>
      <c r="J49" s="32"/>
      <c r="K49" s="60">
        <f>G49/$G$50</f>
        <v>-7.6190476190476197E-2</v>
      </c>
    </row>
    <row r="50" spans="1:11" ht="13.5" thickBot="1" x14ac:dyDescent="0.25">
      <c r="A50" s="63" t="s">
        <v>144</v>
      </c>
      <c r="B50" s="64"/>
      <c r="C50" s="65"/>
      <c r="D50" s="65">
        <f>SUM(D48:D49)</f>
        <v>356.66469717336656</v>
      </c>
      <c r="E50" s="65"/>
      <c r="F50" s="65"/>
      <c r="G50" s="65">
        <f>SUM(G48:G49)</f>
        <v>369.07128299999994</v>
      </c>
      <c r="H50" s="65">
        <f>G50-D50</f>
        <v>12.406585826633375</v>
      </c>
      <c r="I50" s="66">
        <f>IF(ISERROR(H50/D50),0,(H50/D50))</f>
        <v>3.4785012155556336E-2</v>
      </c>
      <c r="J50" s="66"/>
      <c r="K50" s="67">
        <f>G50/$G$50</f>
        <v>1</v>
      </c>
    </row>
    <row r="51" spans="1:11" x14ac:dyDescent="0.2">
      <c r="C51" s="68"/>
      <c r="F51" s="69"/>
    </row>
    <row r="52" spans="1:11" x14ac:dyDescent="0.2">
      <c r="F52" s="69"/>
    </row>
    <row r="53" spans="1:11" x14ac:dyDescent="0.2">
      <c r="F53" s="69"/>
    </row>
    <row r="54" spans="1:11" x14ac:dyDescent="0.2">
      <c r="A54" s="70"/>
      <c r="B54" s="71"/>
      <c r="F54" s="69"/>
    </row>
    <row r="55" spans="1:11" x14ac:dyDescent="0.2">
      <c r="B55" s="71"/>
      <c r="F55" s="69"/>
    </row>
    <row r="56" spans="1:11" x14ac:dyDescent="0.2">
      <c r="F56" s="69"/>
    </row>
    <row r="57" spans="1:11" x14ac:dyDescent="0.2">
      <c r="D57" s="72"/>
      <c r="F57" s="69"/>
    </row>
    <row r="58" spans="1:11" x14ac:dyDescent="0.2">
      <c r="F58" s="69"/>
    </row>
    <row r="59" spans="1:11" x14ac:dyDescent="0.2">
      <c r="A59" s="70"/>
      <c r="B59" s="71"/>
      <c r="F59" s="69"/>
    </row>
    <row r="60" spans="1:11" x14ac:dyDescent="0.2">
      <c r="B60" s="72"/>
      <c r="D60" s="72"/>
      <c r="F60" s="69"/>
    </row>
    <row r="61" spans="1:11" x14ac:dyDescent="0.2">
      <c r="F61" s="69"/>
    </row>
    <row r="62" spans="1:11" x14ac:dyDescent="0.2">
      <c r="F62" s="69"/>
    </row>
    <row r="63" spans="1:11" x14ac:dyDescent="0.2">
      <c r="F63" s="69"/>
      <c r="K63"/>
    </row>
    <row r="64" spans="1:11" x14ac:dyDescent="0.2">
      <c r="F64" s="69"/>
      <c r="K64"/>
    </row>
    <row r="65" spans="6:11" x14ac:dyDescent="0.2">
      <c r="F65" s="69"/>
      <c r="K65"/>
    </row>
    <row r="66" spans="6:11" x14ac:dyDescent="0.2">
      <c r="F66" s="69"/>
      <c r="K66"/>
    </row>
    <row r="67" spans="6:11" x14ac:dyDescent="0.2">
      <c r="F67" s="69"/>
      <c r="K67"/>
    </row>
  </sheetData>
  <mergeCells count="1">
    <mergeCell ref="A1:K1"/>
  </mergeCell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'Data for Bill Impacts'!$A$3:$A$21</xm:f>
          </x14:formula1>
          <xm:sqref>B3</xm:sqref>
        </x14:dataValidation>
        <x14:dataValidation type="list" allowBlank="1" showInputMessage="1" showErrorMessage="1">
          <x14:formula1>
            <xm:f>'Data for Bill Impacts'!$A$3:$A$39</xm:f>
          </x14:formula1>
          <xm:sqref>C3</xm:sqref>
        </x14:dataValidation>
      </x14:dataValidations>
    </ext>
  </extLst>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pageSetUpPr fitToPage="1"/>
  </sheetPr>
  <dimension ref="A1:K67"/>
  <sheetViews>
    <sheetView topLeftCell="A19" workbookViewId="0">
      <selection activeCell="C19" sqref="C19"/>
    </sheetView>
  </sheetViews>
  <sheetFormatPr defaultRowHeight="12.75" x14ac:dyDescent="0.2"/>
  <cols>
    <col min="1" max="1" width="64.7109375" bestFit="1" customWidth="1"/>
    <col min="2" max="2" width="15.5703125" bestFit="1" customWidth="1"/>
    <col min="3" max="3" width="13.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48" t="s">
        <v>111</v>
      </c>
      <c r="B1" s="349"/>
      <c r="C1" s="349"/>
      <c r="D1" s="349"/>
      <c r="E1" s="349"/>
      <c r="F1" s="349"/>
      <c r="G1" s="349"/>
      <c r="H1" s="349"/>
      <c r="I1" s="349"/>
      <c r="J1" s="349"/>
      <c r="K1" s="350"/>
    </row>
    <row r="3" spans="1:11" x14ac:dyDescent="0.2">
      <c r="A3" s="13" t="s">
        <v>13</v>
      </c>
      <c r="B3" s="13" t="s">
        <v>196</v>
      </c>
      <c r="C3" s="13" t="s">
        <v>114</v>
      </c>
    </row>
    <row r="4" spans="1:11" x14ac:dyDescent="0.2">
      <c r="A4" s="15" t="s">
        <v>62</v>
      </c>
      <c r="B4" s="15">
        <v>15000</v>
      </c>
      <c r="C4" s="15">
        <v>15000</v>
      </c>
    </row>
    <row r="5" spans="1:11" x14ac:dyDescent="0.2">
      <c r="A5" s="15" t="s">
        <v>16</v>
      </c>
      <c r="B5" s="15">
        <f>VLOOKUP($B$3,'Data for Bill Impacts'!$A$3:$Y$21,5,0)</f>
        <v>0</v>
      </c>
      <c r="C5" s="15">
        <f>VLOOKUP($B$3,'Data for Bill Impacts'!$A$3:$Y$21,5,0)</f>
        <v>0</v>
      </c>
    </row>
    <row r="6" spans="1:11" x14ac:dyDescent="0.2">
      <c r="A6" s="15" t="s">
        <v>20</v>
      </c>
      <c r="B6" s="15">
        <f>VLOOKUP($B$3,'Data for Bill Impacts'!$A$3:$Y$21,2,0)</f>
        <v>1.0569999999999999</v>
      </c>
      <c r="C6" s="15">
        <f>VLOOKUP($C$3,'Data for Bill Impacts'!$A$3:$Y$30,2,0)</f>
        <v>1.0430999999999999</v>
      </c>
    </row>
    <row r="7" spans="1:11" x14ac:dyDescent="0.2">
      <c r="A7" s="15" t="s">
        <v>15</v>
      </c>
      <c r="B7" s="15">
        <f>VLOOKUP($B$3,'Data for Bill Impacts'!$A$3:$Y$21,4,0)</f>
        <v>750</v>
      </c>
      <c r="C7" s="15">
        <f>VLOOKUP($B$3,'Data for Bill Impacts'!$A$3:$Y$21,4,0)</f>
        <v>750</v>
      </c>
    </row>
    <row r="8" spans="1:11" x14ac:dyDescent="0.2">
      <c r="A8" s="15" t="s">
        <v>82</v>
      </c>
      <c r="B8" s="15">
        <f>B4*B6</f>
        <v>15855</v>
      </c>
      <c r="C8" s="193">
        <f>C4*C6</f>
        <v>15646.499999999998</v>
      </c>
    </row>
    <row r="9" spans="1:11" x14ac:dyDescent="0.2">
      <c r="A9" s="15" t="s">
        <v>21</v>
      </c>
      <c r="B9" s="16" t="str">
        <f>VLOOKUP($B$3,'Data for Bill Impacts'!$A$3:$Y$21,6,0)</f>
        <v>kWh</v>
      </c>
      <c r="C9" s="16" t="str">
        <f>VLOOKUP($B$3,'Data for Bill Impacts'!$A$3:$Y$21,6,0)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ht="13.5" thickBot="1" x14ac:dyDescent="0.25">
      <c r="A12" s="101" t="s">
        <v>31</v>
      </c>
      <c r="B12" s="102">
        <f>IF(C4&gt;C7,C7,C4)</f>
        <v>750</v>
      </c>
      <c r="C12" s="103">
        <v>0.10299999999999999</v>
      </c>
      <c r="D12" s="104">
        <f>C12*B12</f>
        <v>77.25</v>
      </c>
      <c r="E12" s="102">
        <f>B12</f>
        <v>750</v>
      </c>
      <c r="F12" s="103">
        <f>C12</f>
        <v>0.10299999999999999</v>
      </c>
      <c r="G12" s="104">
        <f>E12*F12</f>
        <v>77.25</v>
      </c>
      <c r="H12" s="104">
        <f>G12-D12</f>
        <v>0</v>
      </c>
      <c r="I12" s="105">
        <f>IF(ISERROR(H12/D12),0,(H12/D12))</f>
        <v>0</v>
      </c>
      <c r="J12" s="105">
        <f>G12/$G$45</f>
        <v>2.8607312695703182E-2</v>
      </c>
      <c r="K12" s="106"/>
    </row>
    <row r="13" spans="1:11" x14ac:dyDescent="0.2">
      <c r="A13" s="107" t="s">
        <v>32</v>
      </c>
      <c r="B13" s="73">
        <f>IF(C4&gt;C7,(C4)-C7,0)</f>
        <v>14250</v>
      </c>
      <c r="C13" s="21">
        <v>0.121</v>
      </c>
      <c r="D13" s="104">
        <f>C13*B13</f>
        <v>1724.25</v>
      </c>
      <c r="E13" s="73">
        <f t="shared" ref="E13" si="0">B13</f>
        <v>14250</v>
      </c>
      <c r="F13" s="21">
        <f>C13</f>
        <v>0.121</v>
      </c>
      <c r="G13" s="22">
        <f>E13*F13</f>
        <v>1724.25</v>
      </c>
      <c r="H13" s="22">
        <f t="shared" ref="H13:H45" si="1">G13-D13</f>
        <v>0</v>
      </c>
      <c r="I13" s="23">
        <f t="shared" ref="I13:I45" si="2">IF(ISERROR(H13/D13),0,(H13/D13))</f>
        <v>0</v>
      </c>
      <c r="J13" s="23">
        <f>G13/$G$45</f>
        <v>0.63852632900409334</v>
      </c>
      <c r="K13" s="108"/>
    </row>
    <row r="14" spans="1:11" s="1" customFormat="1" x14ac:dyDescent="0.2">
      <c r="A14" s="46" t="s">
        <v>33</v>
      </c>
      <c r="B14" s="24"/>
      <c r="C14" s="25"/>
      <c r="D14" s="25">
        <f>SUM(D12:D13)</f>
        <v>1801.5</v>
      </c>
      <c r="E14" s="76"/>
      <c r="F14" s="25"/>
      <c r="G14" s="25">
        <f>SUM(G12:G13)</f>
        <v>1801.5</v>
      </c>
      <c r="H14" s="25">
        <f t="shared" si="1"/>
        <v>0</v>
      </c>
      <c r="I14" s="27">
        <f t="shared" si="2"/>
        <v>0</v>
      </c>
      <c r="J14" s="27">
        <f>G14/$G$45</f>
        <v>0.66713364169979661</v>
      </c>
      <c r="K14" s="108"/>
    </row>
    <row r="15" spans="1:11" s="1" customFormat="1" x14ac:dyDescent="0.2">
      <c r="A15" s="109" t="s">
        <v>34</v>
      </c>
      <c r="B15" s="75">
        <f>C4*0.65</f>
        <v>9750</v>
      </c>
      <c r="C15" s="28">
        <v>8.6999999999999994E-2</v>
      </c>
      <c r="D15" s="272">
        <f>B15*C15</f>
        <v>848.24999999999989</v>
      </c>
      <c r="E15" s="75">
        <f>B4*0.65</f>
        <v>9750</v>
      </c>
      <c r="F15" s="28">
        <f t="shared" ref="F15:F17" si="3">C15</f>
        <v>8.6999999999999994E-2</v>
      </c>
      <c r="G15" s="22">
        <f>E15*F15</f>
        <v>848.24999999999989</v>
      </c>
      <c r="H15" s="22">
        <f t="shared" si="1"/>
        <v>0</v>
      </c>
      <c r="I15" s="23">
        <f t="shared" si="2"/>
        <v>0</v>
      </c>
      <c r="J15" s="23"/>
      <c r="K15" s="108">
        <f t="shared" ref="K15:K25" si="4">G15/$G$50</f>
        <v>0.33205474835310161</v>
      </c>
    </row>
    <row r="16" spans="1:11" s="1" customFormat="1" x14ac:dyDescent="0.2">
      <c r="A16" s="109" t="s">
        <v>35</v>
      </c>
      <c r="B16" s="75">
        <f>C4*0.17</f>
        <v>2550</v>
      </c>
      <c r="C16" s="28">
        <v>0.13200000000000001</v>
      </c>
      <c r="D16" s="272">
        <f t="shared" ref="D16:D17" si="5">B16*C16</f>
        <v>336.6</v>
      </c>
      <c r="E16" s="75">
        <f>B4*0.17</f>
        <v>2550</v>
      </c>
      <c r="F16" s="28">
        <f t="shared" si="3"/>
        <v>0.13200000000000001</v>
      </c>
      <c r="G16" s="22">
        <f>E16*F16</f>
        <v>336.6</v>
      </c>
      <c r="H16" s="22">
        <f t="shared" si="1"/>
        <v>0</v>
      </c>
      <c r="I16" s="23">
        <f t="shared" si="2"/>
        <v>0</v>
      </c>
      <c r="J16" s="23"/>
      <c r="K16" s="108">
        <f t="shared" si="4"/>
        <v>0.13176496115019631</v>
      </c>
    </row>
    <row r="17" spans="1:11" s="1" customFormat="1" x14ac:dyDescent="0.2">
      <c r="A17" s="109" t="s">
        <v>36</v>
      </c>
      <c r="B17" s="75">
        <f>C4*0.18</f>
        <v>2700</v>
      </c>
      <c r="C17" s="28">
        <v>0.18</v>
      </c>
      <c r="D17" s="272">
        <f t="shared" si="5"/>
        <v>486</v>
      </c>
      <c r="E17" s="75">
        <f>B4*0.18</f>
        <v>2700</v>
      </c>
      <c r="F17" s="28">
        <f t="shared" si="3"/>
        <v>0.18</v>
      </c>
      <c r="G17" s="22">
        <f>E17*F17</f>
        <v>486</v>
      </c>
      <c r="H17" s="22">
        <f t="shared" si="1"/>
        <v>0</v>
      </c>
      <c r="I17" s="23">
        <f t="shared" si="2"/>
        <v>0</v>
      </c>
      <c r="J17" s="23"/>
      <c r="K17" s="108">
        <f t="shared" si="4"/>
        <v>0.19024887438798399</v>
      </c>
    </row>
    <row r="18" spans="1:11" s="1" customFormat="1" x14ac:dyDescent="0.2">
      <c r="A18" s="61" t="s">
        <v>37</v>
      </c>
      <c r="B18" s="29"/>
      <c r="C18" s="30"/>
      <c r="D18" s="30">
        <f>SUM(D15:D17)</f>
        <v>1670.85</v>
      </c>
      <c r="E18" s="77"/>
      <c r="F18" s="30"/>
      <c r="G18" s="30">
        <f>SUM(G15:G17)</f>
        <v>1670.85</v>
      </c>
      <c r="H18" s="31">
        <f t="shared" si="1"/>
        <v>0</v>
      </c>
      <c r="I18" s="32">
        <f t="shared" si="2"/>
        <v>0</v>
      </c>
      <c r="J18" s="33">
        <f>G18/$G$45</f>
        <v>0.61875117692706361</v>
      </c>
      <c r="K18" s="62">
        <f t="shared" si="4"/>
        <v>0.65406858389128197</v>
      </c>
    </row>
    <row r="19" spans="1:11" x14ac:dyDescent="0.2">
      <c r="A19" s="107" t="s">
        <v>38</v>
      </c>
      <c r="B19" s="73">
        <v>1</v>
      </c>
      <c r="C19" s="122">
        <f>'Data for Bill Impacts'!G23</f>
        <v>25.19</v>
      </c>
      <c r="D19" s="22">
        <f>B19*C19</f>
        <v>25.19</v>
      </c>
      <c r="E19" s="73">
        <v>1</v>
      </c>
      <c r="F19" s="78">
        <f>VLOOKUP($B$3,'Data for Bill Impacts'!$A$3:$Y$21,17,0)</f>
        <v>30.24</v>
      </c>
      <c r="G19" s="22">
        <f>E19*F19</f>
        <v>30.24</v>
      </c>
      <c r="H19" s="22">
        <f t="shared" si="1"/>
        <v>5.0499999999999972</v>
      </c>
      <c r="I19" s="23">
        <f t="shared" si="2"/>
        <v>0.2004763795156807</v>
      </c>
      <c r="J19" s="23">
        <f>G19/$G$45</f>
        <v>1.1198513086317984E-2</v>
      </c>
      <c r="K19" s="108">
        <f t="shared" si="4"/>
        <v>1.1837707739696781E-2</v>
      </c>
    </row>
    <row r="20" spans="1:11" x14ac:dyDescent="0.2">
      <c r="A20" s="107" t="s">
        <v>188</v>
      </c>
      <c r="B20" s="73">
        <v>1</v>
      </c>
      <c r="C20" s="122">
        <f>'Data for Bill Impacts'!K23</f>
        <v>-0.25</v>
      </c>
      <c r="D20" s="22">
        <f t="shared" ref="D20" si="6">B20*C20</f>
        <v>-0.25</v>
      </c>
      <c r="E20" s="73">
        <v>1</v>
      </c>
      <c r="F20" s="122">
        <f>VLOOKUP($B$3,'Data for Bill Impacts'!$A$3:$Y$21,12,0)</f>
        <v>0</v>
      </c>
      <c r="G20" s="22">
        <f t="shared" ref="G20" si="7">E20*F20</f>
        <v>0</v>
      </c>
      <c r="H20" s="22">
        <f t="shared" si="1"/>
        <v>0.25</v>
      </c>
      <c r="I20" s="23">
        <f t="shared" si="2"/>
        <v>-1</v>
      </c>
      <c r="J20" s="23">
        <f>G20/$G$45</f>
        <v>0</v>
      </c>
      <c r="K20" s="108">
        <f t="shared" si="4"/>
        <v>0</v>
      </c>
    </row>
    <row r="21" spans="1:11" x14ac:dyDescent="0.2">
      <c r="A21" s="107" t="s">
        <v>39</v>
      </c>
      <c r="B21" s="73">
        <f>IF($C$9="kWh",$C$4,$C$5)</f>
        <v>15000</v>
      </c>
      <c r="C21" s="78">
        <f>VLOOKUP($B$3,'Data for Bill Impacts'!$A$3:$Y$21,10,0)</f>
        <v>1.4500000000000001E-2</v>
      </c>
      <c r="D21" s="22">
        <f>B21*C21</f>
        <v>217.5</v>
      </c>
      <c r="E21" s="73">
        <f>IF($B$9="kWh",$B$4,$B$5)</f>
        <v>15000</v>
      </c>
      <c r="F21" s="78">
        <f>VLOOKUP($B$3,'Data for Bill Impacts'!$A$3:$Y$21,19,0)</f>
        <v>1.7399999999999999E-2</v>
      </c>
      <c r="G21" s="22">
        <f>E21*F21</f>
        <v>261</v>
      </c>
      <c r="H21" s="22">
        <f t="shared" si="1"/>
        <v>43.5</v>
      </c>
      <c r="I21" s="23">
        <f t="shared" si="2"/>
        <v>0.2</v>
      </c>
      <c r="J21" s="23">
        <f>G21/$G$45</f>
        <v>9.6653833185482596E-2</v>
      </c>
      <c r="K21" s="108">
        <f t="shared" si="4"/>
        <v>0.10217069180095437</v>
      </c>
    </row>
    <row r="22" spans="1:11" x14ac:dyDescent="0.2">
      <c r="A22" s="107" t="s">
        <v>190</v>
      </c>
      <c r="B22" s="73">
        <f>IF($C$9="kWh",$C$4,$C$5)</f>
        <v>15000</v>
      </c>
      <c r="C22" s="126">
        <f>'Data for Bill Impacts'!L23</f>
        <v>-2.0000000000000001E-4</v>
      </c>
      <c r="D22" s="22">
        <f>B22*C22</f>
        <v>-3</v>
      </c>
      <c r="E22" s="73">
        <f>IF($B$9="kWh",$B$4,$B$5)</f>
        <v>15000</v>
      </c>
      <c r="F22" s="126">
        <f>VLOOKUP($B$3,'Data for Bill Impacts'!$A$3:$Y$21,20,0)</f>
        <v>0</v>
      </c>
      <c r="G22" s="22">
        <f>E22*F22</f>
        <v>0</v>
      </c>
      <c r="H22" s="22">
        <f>G22-D22</f>
        <v>3</v>
      </c>
      <c r="I22" s="23">
        <f>IF(ISERROR(H22/D22),0,(H22/D22))</f>
        <v>-1</v>
      </c>
      <c r="J22" s="23">
        <f>G22/$G$45</f>
        <v>0</v>
      </c>
      <c r="K22" s="108">
        <f t="shared" si="4"/>
        <v>0</v>
      </c>
    </row>
    <row r="23" spans="1:11" hidden="1" x14ac:dyDescent="0.2">
      <c r="A23" s="107" t="s">
        <v>194</v>
      </c>
      <c r="B23" s="73">
        <f>IF($B$9="kWh",$B$4,$B$5)</f>
        <v>15000</v>
      </c>
      <c r="C23" s="126">
        <f>VLOOKUP($B$3,'Data for Bill Impacts'!$A$3:$Y$21,14,0)</f>
        <v>0</v>
      </c>
      <c r="D23" s="22">
        <f>B23*C23</f>
        <v>0</v>
      </c>
      <c r="E23" s="73">
        <f t="shared" ref="E23" si="8">B23</f>
        <v>15000</v>
      </c>
      <c r="F23" s="126">
        <f>VLOOKUP($B$3,'Data for Bill Impacts'!$A$3:$Y$21,23,0)</f>
        <v>0</v>
      </c>
      <c r="G23" s="22">
        <f>E23*F23</f>
        <v>0</v>
      </c>
      <c r="H23" s="22">
        <f t="shared" si="1"/>
        <v>0</v>
      </c>
      <c r="I23" s="23">
        <f>IF(ISERROR(H23/D23),0,(H23/D23))</f>
        <v>0</v>
      </c>
      <c r="J23" s="23">
        <f t="shared" ref="J23" si="9">G23/$G$45</f>
        <v>0</v>
      </c>
      <c r="K23" s="108">
        <f t="shared" si="4"/>
        <v>0</v>
      </c>
    </row>
    <row r="24" spans="1:11" s="1" customFormat="1" x14ac:dyDescent="0.2">
      <c r="A24" s="110" t="s">
        <v>72</v>
      </c>
      <c r="B24" s="74"/>
      <c r="C24" s="35"/>
      <c r="D24" s="35">
        <f>SUM(D19:D23)</f>
        <v>239.44</v>
      </c>
      <c r="E24" s="73"/>
      <c r="F24" s="35"/>
      <c r="G24" s="35">
        <f>SUM(G19:G23)</f>
        <v>291.24</v>
      </c>
      <c r="H24" s="35">
        <f t="shared" si="1"/>
        <v>51.800000000000011</v>
      </c>
      <c r="I24" s="36">
        <f t="shared" si="2"/>
        <v>0.2163381222853325</v>
      </c>
      <c r="J24" s="36">
        <f>G24/$G$45</f>
        <v>0.10785234627180058</v>
      </c>
      <c r="K24" s="111">
        <f t="shared" si="4"/>
        <v>0.11400839954065115</v>
      </c>
    </row>
    <row r="25" spans="1:11" s="1" customFormat="1" x14ac:dyDescent="0.2">
      <c r="A25" s="119" t="s">
        <v>73</v>
      </c>
      <c r="B25" s="120">
        <v>1</v>
      </c>
      <c r="C25" s="78">
        <f>VLOOKUP($B$3,'Data for Bill Impacts'!$A$3:$Y$21,9,0)</f>
        <v>0.79</v>
      </c>
      <c r="D25" s="22">
        <f>B25*C25</f>
        <v>0.79</v>
      </c>
      <c r="E25" s="73">
        <v>1</v>
      </c>
      <c r="F25" s="78">
        <f>VLOOKUP($B$3,'Data for Bill Impacts'!$A$3:$Y$21,18,0)</f>
        <v>0.79</v>
      </c>
      <c r="G25" s="22">
        <f>E25*F25</f>
        <v>0.79</v>
      </c>
      <c r="H25" s="22">
        <f t="shared" si="1"/>
        <v>0</v>
      </c>
      <c r="I25" s="23">
        <f>IF(ISERROR(H25/D25),0,(H25/D25))</f>
        <v>0</v>
      </c>
      <c r="J25" s="23">
        <f>G25/$G$45</f>
        <v>2.9255374795605845E-4</v>
      </c>
      <c r="K25" s="108">
        <f t="shared" si="4"/>
        <v>3.0925228552779291E-4</v>
      </c>
    </row>
    <row r="26" spans="1:11" s="1" customFormat="1" x14ac:dyDescent="0.2">
      <c r="A26" s="119" t="s">
        <v>75</v>
      </c>
      <c r="B26" s="120">
        <f>C8-C4</f>
        <v>646.49999999999818</v>
      </c>
      <c r="C26" s="121">
        <f>IF(B4&gt;B7,C13,C12)</f>
        <v>0.121</v>
      </c>
      <c r="D26" s="22">
        <f>B26*C26</f>
        <v>78.226499999999774</v>
      </c>
      <c r="E26" s="120">
        <f>B8-B4</f>
        <v>855</v>
      </c>
      <c r="F26" s="121">
        <f>C26</f>
        <v>0.121</v>
      </c>
      <c r="G26" s="22">
        <f>E26*F26</f>
        <v>103.455</v>
      </c>
      <c r="H26" s="22">
        <f t="shared" si="1"/>
        <v>25.228500000000224</v>
      </c>
      <c r="I26" s="23">
        <f>IF(ISERROR(H26/D26),0,(H26/D26))</f>
        <v>0.32250580046404093</v>
      </c>
      <c r="J26" s="23">
        <f t="shared" ref="J26:J45" si="10">G26/$G$45</f>
        <v>3.8311579740245599E-2</v>
      </c>
      <c r="K26" s="108">
        <f t="shared" ref="K26:K40" si="11">G26/$G$50</f>
        <v>4.049834835351622E-2</v>
      </c>
    </row>
    <row r="27" spans="1:11" s="1" customFormat="1" x14ac:dyDescent="0.2">
      <c r="A27" s="119" t="s">
        <v>74</v>
      </c>
      <c r="B27" s="120">
        <f>C8-C4</f>
        <v>646.49999999999818</v>
      </c>
      <c r="C27" s="121">
        <f>0.65*C15+0.17*C16+0.18*C17</f>
        <v>0.11139</v>
      </c>
      <c r="D27" s="22">
        <f>B27*C27</f>
        <v>72.013634999999795</v>
      </c>
      <c r="E27" s="120">
        <f>B8-B4</f>
        <v>855</v>
      </c>
      <c r="F27" s="121">
        <f>C27</f>
        <v>0.11139</v>
      </c>
      <c r="G27" s="22">
        <f>E27*F27</f>
        <v>95.23845</v>
      </c>
      <c r="H27" s="22">
        <f t="shared" si="1"/>
        <v>23.224815000000206</v>
      </c>
      <c r="I27" s="23">
        <f>IF(ISERROR(H27/D27),0,(H27/D27))</f>
        <v>0.32250580046404087</v>
      </c>
      <c r="J27" s="23">
        <f t="shared" si="10"/>
        <v>3.5268817084842627E-2</v>
      </c>
      <c r="K27" s="108">
        <f t="shared" si="11"/>
        <v>3.7281909281803069E-2</v>
      </c>
    </row>
    <row r="28" spans="1:11" s="1" customFormat="1" x14ac:dyDescent="0.2">
      <c r="A28" s="110" t="s">
        <v>78</v>
      </c>
      <c r="B28" s="74"/>
      <c r="C28" s="35"/>
      <c r="D28" s="35">
        <f>SUM(D24,D25:D26)</f>
        <v>318.45649999999978</v>
      </c>
      <c r="E28" s="73"/>
      <c r="F28" s="35"/>
      <c r="G28" s="35">
        <f>SUM(G24,G25:G26)</f>
        <v>395.48500000000001</v>
      </c>
      <c r="H28" s="35">
        <f t="shared" si="1"/>
        <v>77.028500000000236</v>
      </c>
      <c r="I28" s="36">
        <f>IF(ISERROR(H28/D28),0,(H28/D28))</f>
        <v>0.24188075922457319</v>
      </c>
      <c r="J28" s="36">
        <f t="shared" si="10"/>
        <v>0.14645647976000226</v>
      </c>
      <c r="K28" s="111">
        <f t="shared" si="11"/>
        <v>0.15481600017969516</v>
      </c>
    </row>
    <row r="29" spans="1:11" s="1" customFormat="1" x14ac:dyDescent="0.2">
      <c r="A29" s="110" t="s">
        <v>77</v>
      </c>
      <c r="B29" s="74"/>
      <c r="C29" s="35"/>
      <c r="D29" s="35">
        <f>SUM(D24,D25,D27)</f>
        <v>312.24363499999981</v>
      </c>
      <c r="E29" s="73"/>
      <c r="F29" s="35"/>
      <c r="G29" s="35">
        <f>SUM(G24,G25,G27)</f>
        <v>387.26845000000003</v>
      </c>
      <c r="H29" s="35">
        <f t="shared" si="1"/>
        <v>75.024815000000217</v>
      </c>
      <c r="I29" s="36">
        <f>IF(ISERROR(H29/D29),0,(H29/D29))</f>
        <v>0.2402765231707614</v>
      </c>
      <c r="J29" s="36">
        <f t="shared" si="10"/>
        <v>0.14341371710459927</v>
      </c>
      <c r="K29" s="111">
        <f t="shared" si="11"/>
        <v>0.15159956110798201</v>
      </c>
    </row>
    <row r="30" spans="1:11" x14ac:dyDescent="0.2">
      <c r="A30" s="107" t="s">
        <v>40</v>
      </c>
      <c r="B30" s="73">
        <f>C8</f>
        <v>15646.499999999998</v>
      </c>
      <c r="C30" s="78">
        <f>VLOOKUP($B$3,'Data for Bill Impacts'!$A$3:$Y$21,15,0)</f>
        <v>6.4999999999999997E-3</v>
      </c>
      <c r="D30" s="22">
        <f>B30*C30</f>
        <v>101.70224999999998</v>
      </c>
      <c r="E30" s="73">
        <f>B8</f>
        <v>15855</v>
      </c>
      <c r="F30" s="78">
        <f>VLOOKUP($B$3,'Data for Bill Impacts'!$A$3:$Y$21,24,0)</f>
        <v>5.5999999999999999E-3</v>
      </c>
      <c r="G30" s="22">
        <f>E30*F30</f>
        <v>88.787999999999997</v>
      </c>
      <c r="H30" s="22">
        <f t="shared" si="1"/>
        <v>-12.914249999999981</v>
      </c>
      <c r="I30" s="23">
        <f t="shared" si="2"/>
        <v>-0.1269809664977912</v>
      </c>
      <c r="J30" s="23">
        <f t="shared" si="10"/>
        <v>3.2880078700661411E-2</v>
      </c>
      <c r="K30" s="108">
        <f t="shared" si="11"/>
        <v>3.4756825224609711E-2</v>
      </c>
    </row>
    <row r="31" spans="1:11" x14ac:dyDescent="0.2">
      <c r="A31" s="107" t="s">
        <v>41</v>
      </c>
      <c r="B31" s="73">
        <f>C8</f>
        <v>15646.499999999998</v>
      </c>
      <c r="C31" s="126">
        <f>VLOOKUP($B$3,'Data for Bill Impacts'!$A$3:$Y$21,16,0)</f>
        <v>5.2595081845627977E-3</v>
      </c>
      <c r="D31" s="22">
        <f>B31*C31</f>
        <v>82.292894809761805</v>
      </c>
      <c r="E31" s="73">
        <f>B8</f>
        <v>15855</v>
      </c>
      <c r="F31" s="78">
        <f>VLOOKUP($B$3,'Data for Bill Impacts'!$A$3:$Y$21,25,0)</f>
        <v>4.5999999999999999E-3</v>
      </c>
      <c r="G31" s="22">
        <f>E31*F31</f>
        <v>72.932999999999993</v>
      </c>
      <c r="H31" s="22">
        <f t="shared" si="1"/>
        <v>-9.359894809761812</v>
      </c>
      <c r="I31" s="23">
        <f t="shared" si="2"/>
        <v>-0.11373879642220966</v>
      </c>
      <c r="J31" s="23">
        <f t="shared" si="10"/>
        <v>2.7008636075543303E-2</v>
      </c>
      <c r="K31" s="108">
        <f t="shared" si="11"/>
        <v>2.8550249291643692E-2</v>
      </c>
    </row>
    <row r="32" spans="1:11" s="1" customFormat="1" x14ac:dyDescent="0.2">
      <c r="A32" s="110" t="s">
        <v>76</v>
      </c>
      <c r="B32" s="74"/>
      <c r="C32" s="35"/>
      <c r="D32" s="35">
        <f>SUM(D30:D31)</f>
        <v>183.99514480976177</v>
      </c>
      <c r="E32" s="73"/>
      <c r="F32" s="35"/>
      <c r="G32" s="35">
        <f>SUM(G30:G31)</f>
        <v>161.721</v>
      </c>
      <c r="H32" s="35">
        <f t="shared" si="1"/>
        <v>-22.274144809761765</v>
      </c>
      <c r="I32" s="36">
        <f t="shared" si="2"/>
        <v>-0.12105832919010819</v>
      </c>
      <c r="J32" s="36">
        <f t="shared" si="10"/>
        <v>5.9888714776204721E-2</v>
      </c>
      <c r="K32" s="111">
        <f t="shared" si="11"/>
        <v>6.3307074516253406E-2</v>
      </c>
    </row>
    <row r="33" spans="1:11" s="1" customFormat="1" x14ac:dyDescent="0.2">
      <c r="A33" s="110" t="s">
        <v>95</v>
      </c>
      <c r="B33" s="74"/>
      <c r="C33" s="35"/>
      <c r="D33" s="35">
        <f>D28+D32</f>
        <v>502.45164480976155</v>
      </c>
      <c r="E33" s="73"/>
      <c r="F33" s="35"/>
      <c r="G33" s="35">
        <f>G28+G32</f>
        <v>557.20600000000002</v>
      </c>
      <c r="H33" s="35">
        <f t="shared" si="1"/>
        <v>54.754355190238471</v>
      </c>
      <c r="I33" s="36">
        <f t="shared" si="2"/>
        <v>0.1089743774467483</v>
      </c>
      <c r="J33" s="36">
        <f t="shared" si="10"/>
        <v>0.20634519453620698</v>
      </c>
      <c r="K33" s="111">
        <f t="shared" si="11"/>
        <v>0.21812307469594858</v>
      </c>
    </row>
    <row r="34" spans="1:11" s="1" customFormat="1" x14ac:dyDescent="0.2">
      <c r="A34" s="110" t="s">
        <v>96</v>
      </c>
      <c r="B34" s="74"/>
      <c r="C34" s="35"/>
      <c r="D34" s="35">
        <f>D29+D32</f>
        <v>496.23877980976158</v>
      </c>
      <c r="E34" s="73"/>
      <c r="F34" s="35"/>
      <c r="G34" s="35">
        <f>G29+G32</f>
        <v>548.98945000000003</v>
      </c>
      <c r="H34" s="35">
        <f t="shared" si="1"/>
        <v>52.750670190238452</v>
      </c>
      <c r="I34" s="36">
        <f t="shared" si="2"/>
        <v>0.10630098318890148</v>
      </c>
      <c r="J34" s="36">
        <f t="shared" si="10"/>
        <v>0.20330243188080399</v>
      </c>
      <c r="K34" s="111">
        <f t="shared" si="11"/>
        <v>0.21490663562423543</v>
      </c>
    </row>
    <row r="35" spans="1:11" x14ac:dyDescent="0.2">
      <c r="A35" s="107" t="s">
        <v>42</v>
      </c>
      <c r="B35" s="73">
        <f>C8</f>
        <v>15646.499999999998</v>
      </c>
      <c r="C35" s="34">
        <v>3.5999999999999999E-3</v>
      </c>
      <c r="D35" s="22">
        <f>B35*C35</f>
        <v>56.32739999999999</v>
      </c>
      <c r="E35" s="73">
        <f>B8</f>
        <v>15855</v>
      </c>
      <c r="F35" s="34">
        <v>3.5999999999999999E-3</v>
      </c>
      <c r="G35" s="22">
        <f>E35*F35</f>
        <v>57.077999999999996</v>
      </c>
      <c r="H35" s="22">
        <f t="shared" si="1"/>
        <v>0.75060000000000571</v>
      </c>
      <c r="I35" s="23">
        <f t="shared" si="2"/>
        <v>1.3325663886492291E-2</v>
      </c>
      <c r="J35" s="23">
        <f t="shared" si="10"/>
        <v>2.1137193450425192E-2</v>
      </c>
      <c r="K35" s="108">
        <f t="shared" si="11"/>
        <v>2.2343673358677672E-2</v>
      </c>
    </row>
    <row r="36" spans="1:11" x14ac:dyDescent="0.2">
      <c r="A36" s="107" t="s">
        <v>43</v>
      </c>
      <c r="B36" s="73">
        <f>C8</f>
        <v>15646.499999999998</v>
      </c>
      <c r="C36" s="34">
        <v>2.0999999999999999E-3</v>
      </c>
      <c r="D36" s="22">
        <f>B36*C36</f>
        <v>32.857649999999992</v>
      </c>
      <c r="E36" s="73">
        <f>B8</f>
        <v>15855</v>
      </c>
      <c r="F36" s="34">
        <v>2.0999999999999999E-3</v>
      </c>
      <c r="G36" s="22">
        <f>E36*F36</f>
        <v>33.295499999999997</v>
      </c>
      <c r="H36" s="22">
        <f>G36-D36</f>
        <v>0.43785000000000451</v>
      </c>
      <c r="I36" s="23">
        <f t="shared" si="2"/>
        <v>1.3325663886492327E-2</v>
      </c>
      <c r="J36" s="23">
        <f t="shared" si="10"/>
        <v>1.2330029512748029E-2</v>
      </c>
      <c r="K36" s="108">
        <f t="shared" si="11"/>
        <v>1.3033809459228642E-2</v>
      </c>
    </row>
    <row r="37" spans="1:11" x14ac:dyDescent="0.2">
      <c r="A37" s="107" t="s">
        <v>100</v>
      </c>
      <c r="B37" s="73">
        <f>C8</f>
        <v>15646.499999999998</v>
      </c>
      <c r="C37" s="34">
        <v>1.1000000000000001E-3</v>
      </c>
      <c r="D37" s="22">
        <f>B37*C37</f>
        <v>17.21115</v>
      </c>
      <c r="E37" s="73">
        <f>B8</f>
        <v>15855</v>
      </c>
      <c r="F37" s="34">
        <v>1.1000000000000001E-3</v>
      </c>
      <c r="G37" s="22">
        <f>E37*F37</f>
        <v>17.4405</v>
      </c>
      <c r="H37" s="22">
        <f>G37-D37</f>
        <v>0.22935000000000016</v>
      </c>
      <c r="I37" s="23">
        <f t="shared" si="2"/>
        <v>1.3325663886492197E-2</v>
      </c>
      <c r="J37" s="23">
        <f t="shared" si="10"/>
        <v>6.4585868876299206E-3</v>
      </c>
      <c r="K37" s="108">
        <f t="shared" si="11"/>
        <v>6.8272335262626223E-3</v>
      </c>
    </row>
    <row r="38" spans="1:11" x14ac:dyDescent="0.2">
      <c r="A38" s="107" t="s">
        <v>44</v>
      </c>
      <c r="B38" s="73">
        <v>1</v>
      </c>
      <c r="C38" s="22">
        <v>0.25</v>
      </c>
      <c r="D38" s="22">
        <f>B38*C38</f>
        <v>0.25</v>
      </c>
      <c r="E38" s="73">
        <v>1</v>
      </c>
      <c r="F38" s="22">
        <f>C38</f>
        <v>0.25</v>
      </c>
      <c r="G38" s="22">
        <f>E38*F38</f>
        <v>0.25</v>
      </c>
      <c r="H38" s="22">
        <f t="shared" si="1"/>
        <v>0</v>
      </c>
      <c r="I38" s="23">
        <f t="shared" si="2"/>
        <v>0</v>
      </c>
      <c r="J38" s="23">
        <f t="shared" si="10"/>
        <v>9.2580299986094448E-5</v>
      </c>
      <c r="K38" s="108">
        <f t="shared" si="11"/>
        <v>9.7864647318921796E-5</v>
      </c>
    </row>
    <row r="39" spans="1:11" s="1" customFormat="1" x14ac:dyDescent="0.2">
      <c r="A39" s="110" t="s">
        <v>45</v>
      </c>
      <c r="B39" s="74"/>
      <c r="C39" s="35"/>
      <c r="D39" s="35">
        <f>SUM(D35:D38)</f>
        <v>106.64619999999999</v>
      </c>
      <c r="E39" s="73"/>
      <c r="F39" s="35"/>
      <c r="G39" s="35">
        <f>SUM(G35:G38)</f>
        <v>108.06399999999999</v>
      </c>
      <c r="H39" s="35">
        <f t="shared" si="1"/>
        <v>1.4177999999999997</v>
      </c>
      <c r="I39" s="36">
        <f t="shared" si="2"/>
        <v>1.3294425867963413E-2</v>
      </c>
      <c r="J39" s="36">
        <f t="shared" si="10"/>
        <v>4.0018390150789236E-2</v>
      </c>
      <c r="K39" s="111">
        <f t="shared" si="11"/>
        <v>4.2302580991487856E-2</v>
      </c>
    </row>
    <row r="40" spans="1:11" s="1" customFormat="1" ht="13.5" thickBot="1" x14ac:dyDescent="0.25">
      <c r="A40" s="112" t="s">
        <v>46</v>
      </c>
      <c r="B40" s="113">
        <f>C4</f>
        <v>15000</v>
      </c>
      <c r="C40" s="114">
        <v>7.0000000000000001E-3</v>
      </c>
      <c r="D40" s="115">
        <f>B40*C40</f>
        <v>105</v>
      </c>
      <c r="E40" s="116">
        <f>B4</f>
        <v>15000</v>
      </c>
      <c r="F40" s="114">
        <f>C40</f>
        <v>7.0000000000000001E-3</v>
      </c>
      <c r="G40" s="115">
        <f>E40*F40</f>
        <v>105</v>
      </c>
      <c r="H40" s="115">
        <f t="shared" si="1"/>
        <v>0</v>
      </c>
      <c r="I40" s="117">
        <f t="shared" si="2"/>
        <v>0</v>
      </c>
      <c r="J40" s="117">
        <f t="shared" si="10"/>
        <v>3.8883725994159665E-2</v>
      </c>
      <c r="K40" s="118">
        <f t="shared" si="11"/>
        <v>4.1103151873947155E-2</v>
      </c>
    </row>
    <row r="41" spans="1:11" s="1" customFormat="1" x14ac:dyDescent="0.2">
      <c r="A41" s="37" t="s">
        <v>137</v>
      </c>
      <c r="B41" s="38"/>
      <c r="C41" s="39"/>
      <c r="D41" s="39">
        <f>SUM(D14,D24,D25,D26,D32,D39,D40)</f>
        <v>2515.5978448097617</v>
      </c>
      <c r="E41" s="38"/>
      <c r="F41" s="39"/>
      <c r="G41" s="39">
        <f>SUM(G14,G24,G25,G26,G32,G39,G40)</f>
        <v>2571.7699999999995</v>
      </c>
      <c r="H41" s="39">
        <f t="shared" si="1"/>
        <v>56.172155190237845</v>
      </c>
      <c r="I41" s="40">
        <f>IF(ISERROR(H41/D41),0,(H41/D41))</f>
        <v>2.2329544965278732E-2</v>
      </c>
      <c r="J41" s="40">
        <f t="shared" si="10"/>
        <v>0.95238095238095222</v>
      </c>
      <c r="K41" s="41"/>
    </row>
    <row r="42" spans="1:11" x14ac:dyDescent="0.2">
      <c r="A42" s="150" t="s">
        <v>138</v>
      </c>
      <c r="B42" s="43"/>
      <c r="C42" s="26">
        <v>0.13</v>
      </c>
      <c r="D42" s="26">
        <f>D41*C42</f>
        <v>327.027719825269</v>
      </c>
      <c r="E42" s="26"/>
      <c r="F42" s="26">
        <f>C42</f>
        <v>0.13</v>
      </c>
      <c r="G42" s="26">
        <f>G41*F42</f>
        <v>334.33009999999996</v>
      </c>
      <c r="H42" s="26">
        <f t="shared" si="1"/>
        <v>7.3023801747309562</v>
      </c>
      <c r="I42" s="44">
        <f t="shared" si="2"/>
        <v>2.2329544965278846E-2</v>
      </c>
      <c r="J42" s="44">
        <f t="shared" si="10"/>
        <v>0.1238095238095238</v>
      </c>
      <c r="K42" s="45"/>
    </row>
    <row r="43" spans="1:11" s="1" customFormat="1" x14ac:dyDescent="0.2">
      <c r="A43" s="46" t="s">
        <v>139</v>
      </c>
      <c r="B43" s="24"/>
      <c r="C43" s="25"/>
      <c r="D43" s="25">
        <f>SUM(D41:D42)</f>
        <v>2842.6255646350305</v>
      </c>
      <c r="E43" s="25"/>
      <c r="F43" s="25"/>
      <c r="G43" s="25">
        <f>SUM(G41:G42)</f>
        <v>2906.1000999999997</v>
      </c>
      <c r="H43" s="25">
        <f t="shared" si="1"/>
        <v>63.474535364969142</v>
      </c>
      <c r="I43" s="27">
        <f t="shared" si="2"/>
        <v>2.2329544965278867E-2</v>
      </c>
      <c r="J43" s="27">
        <f t="shared" si="10"/>
        <v>1.0761904761904761</v>
      </c>
      <c r="K43" s="47"/>
    </row>
    <row r="44" spans="1:11" x14ac:dyDescent="0.2">
      <c r="A44" s="42" t="s">
        <v>140</v>
      </c>
      <c r="B44" s="43"/>
      <c r="C44" s="26">
        <v>-0.08</v>
      </c>
      <c r="D44" s="26">
        <f>D41*C44</f>
        <v>-201.24782758478094</v>
      </c>
      <c r="E44" s="26"/>
      <c r="F44" s="26">
        <f>C44</f>
        <v>-0.08</v>
      </c>
      <c r="G44" s="26">
        <f>G41*F44</f>
        <v>-205.74159999999998</v>
      </c>
      <c r="H44" s="26">
        <f t="shared" si="1"/>
        <v>-4.4937724152190412</v>
      </c>
      <c r="I44" s="44">
        <f t="shared" si="2"/>
        <v>2.2329544965278801E-2</v>
      </c>
      <c r="J44" s="44">
        <f t="shared" si="10"/>
        <v>-7.6190476190476183E-2</v>
      </c>
      <c r="K44" s="45"/>
    </row>
    <row r="45" spans="1:11" s="1" customFormat="1" ht="13.5" thickBot="1" x14ac:dyDescent="0.25">
      <c r="A45" s="48" t="s">
        <v>141</v>
      </c>
      <c r="B45" s="49"/>
      <c r="C45" s="50"/>
      <c r="D45" s="50">
        <f>SUM(D43:D44)</f>
        <v>2641.3777370502494</v>
      </c>
      <c r="E45" s="50"/>
      <c r="F45" s="50"/>
      <c r="G45" s="50">
        <f>SUM(G43:G44)</f>
        <v>2700.3584999999998</v>
      </c>
      <c r="H45" s="50">
        <f t="shared" si="1"/>
        <v>58.980762949750442</v>
      </c>
      <c r="I45" s="51">
        <f t="shared" si="2"/>
        <v>2.2329544965279002E-2</v>
      </c>
      <c r="J45" s="51">
        <f t="shared" si="10"/>
        <v>1</v>
      </c>
      <c r="K45" s="52"/>
    </row>
    <row r="46" spans="1:11" x14ac:dyDescent="0.2">
      <c r="A46" s="53" t="s">
        <v>142</v>
      </c>
      <c r="B46" s="54"/>
      <c r="C46" s="55"/>
      <c r="D46" s="55">
        <f>SUM(D18,D24,D25,D27,D32,D39,D40)</f>
        <v>2378.7349798097616</v>
      </c>
      <c r="E46" s="55"/>
      <c r="F46" s="55"/>
      <c r="G46" s="55">
        <f>SUM(G18,G24,G25,G27,G32,G39,G40)</f>
        <v>2432.9034499999998</v>
      </c>
      <c r="H46" s="55">
        <f>G46-D46</f>
        <v>54.168470190238168</v>
      </c>
      <c r="I46" s="56">
        <f>IF(ISERROR(H46/D46),0,(H46/D46))</f>
        <v>2.2771965204198691E-2</v>
      </c>
      <c r="J46" s="56"/>
      <c r="K46" s="57">
        <f>G46/$G$50</f>
        <v>0.95238095238095233</v>
      </c>
    </row>
    <row r="47" spans="1:11" x14ac:dyDescent="0.2">
      <c r="A47" s="151" t="s">
        <v>138</v>
      </c>
      <c r="B47" s="59"/>
      <c r="C47" s="31">
        <v>0.13</v>
      </c>
      <c r="D47" s="31">
        <f>D46*C47</f>
        <v>309.23554737526905</v>
      </c>
      <c r="E47" s="31"/>
      <c r="F47" s="31">
        <f>C47</f>
        <v>0.13</v>
      </c>
      <c r="G47" s="31">
        <f>G46*F47</f>
        <v>316.27744849999999</v>
      </c>
      <c r="H47" s="31">
        <f>G47-D47</f>
        <v>7.0419011247309413</v>
      </c>
      <c r="I47" s="32">
        <f>IF(ISERROR(H47/D47),0,(H47/D47))</f>
        <v>2.2771965204198621E-2</v>
      </c>
      <c r="J47" s="32"/>
      <c r="K47" s="60">
        <f>G47/$G$50</f>
        <v>0.12380952380952381</v>
      </c>
    </row>
    <row r="48" spans="1:11" x14ac:dyDescent="0.2">
      <c r="A48" s="141" t="s">
        <v>143</v>
      </c>
      <c r="B48" s="29"/>
      <c r="C48" s="30"/>
      <c r="D48" s="30">
        <f>SUM(D46:D47)</f>
        <v>2687.9705271850307</v>
      </c>
      <c r="E48" s="30"/>
      <c r="F48" s="30"/>
      <c r="G48" s="30">
        <f>SUM(G46:G47)</f>
        <v>2749.1808984999998</v>
      </c>
      <c r="H48" s="30">
        <f>G48-D48</f>
        <v>61.210371314969052</v>
      </c>
      <c r="I48" s="33">
        <f>IF(ISERROR(H48/D48),0,(H48/D48))</f>
        <v>2.2771965204198663E-2</v>
      </c>
      <c r="J48" s="33"/>
      <c r="K48" s="62">
        <f>G48/$G$50</f>
        <v>1.0761904761904761</v>
      </c>
    </row>
    <row r="49" spans="1:11" x14ac:dyDescent="0.2">
      <c r="A49" s="58" t="s">
        <v>140</v>
      </c>
      <c r="B49" s="59"/>
      <c r="C49" s="31">
        <v>-0.08</v>
      </c>
      <c r="D49" s="31">
        <f>D46*C49</f>
        <v>-190.29879838478092</v>
      </c>
      <c r="E49" s="31"/>
      <c r="F49" s="31">
        <f>C49</f>
        <v>-0.08</v>
      </c>
      <c r="G49" s="31">
        <f>G46*F49</f>
        <v>-194.63227599999999</v>
      </c>
      <c r="H49" s="31">
        <f>G49-D49</f>
        <v>-4.333477615219067</v>
      </c>
      <c r="I49" s="32">
        <f>IF(ISERROR(H49/D49),0,(H49/D49))</f>
        <v>2.2771965204198764E-2</v>
      </c>
      <c r="J49" s="32"/>
      <c r="K49" s="60">
        <f>G49/$G$50</f>
        <v>-7.6190476190476183E-2</v>
      </c>
    </row>
    <row r="50" spans="1:11" ht="13.5" thickBot="1" x14ac:dyDescent="0.25">
      <c r="A50" s="63" t="s">
        <v>144</v>
      </c>
      <c r="B50" s="64"/>
      <c r="C50" s="65"/>
      <c r="D50" s="65">
        <f>SUM(D48:D49)</f>
        <v>2497.6717288002496</v>
      </c>
      <c r="E50" s="65"/>
      <c r="F50" s="65"/>
      <c r="G50" s="65">
        <f>SUM(G48:G49)</f>
        <v>2554.5486225</v>
      </c>
      <c r="H50" s="65">
        <f>G50-D50</f>
        <v>56.876893699750326</v>
      </c>
      <c r="I50" s="66">
        <f>IF(ISERROR(H50/D50),0,(H50/D50))</f>
        <v>2.2771965204198791E-2</v>
      </c>
      <c r="J50" s="66"/>
      <c r="K50" s="67">
        <f>G50/$G$50</f>
        <v>1</v>
      </c>
    </row>
    <row r="51" spans="1:11" x14ac:dyDescent="0.2">
      <c r="C51" s="68"/>
      <c r="F51" s="69"/>
    </row>
    <row r="52" spans="1:11" x14ac:dyDescent="0.2">
      <c r="F52" s="69"/>
    </row>
    <row r="53" spans="1:11" x14ac:dyDescent="0.2">
      <c r="F53" s="69"/>
    </row>
    <row r="54" spans="1:11" x14ac:dyDescent="0.2">
      <c r="A54" s="70"/>
      <c r="B54" s="71"/>
      <c r="F54" s="69"/>
    </row>
    <row r="55" spans="1:11" x14ac:dyDescent="0.2">
      <c r="B55" s="71"/>
      <c r="F55" s="69"/>
    </row>
    <row r="56" spans="1:11" x14ac:dyDescent="0.2">
      <c r="F56" s="69"/>
    </row>
    <row r="57" spans="1:11" x14ac:dyDescent="0.2">
      <c r="D57" s="72"/>
      <c r="F57" s="69"/>
    </row>
    <row r="58" spans="1:11" x14ac:dyDescent="0.2">
      <c r="F58" s="69"/>
    </row>
    <row r="59" spans="1:11" x14ac:dyDescent="0.2">
      <c r="A59" s="70"/>
      <c r="B59" s="71"/>
      <c r="F59" s="69"/>
    </row>
    <row r="60" spans="1:11" x14ac:dyDescent="0.2">
      <c r="B60" s="72"/>
      <c r="D60" s="72"/>
      <c r="F60" s="69"/>
    </row>
    <row r="61" spans="1:11" x14ac:dyDescent="0.2">
      <c r="F61" s="69"/>
    </row>
    <row r="62" spans="1:11" x14ac:dyDescent="0.2">
      <c r="F62" s="69"/>
    </row>
    <row r="63" spans="1:11" x14ac:dyDescent="0.2">
      <c r="F63" s="69"/>
      <c r="K63"/>
    </row>
    <row r="64" spans="1:11" x14ac:dyDescent="0.2">
      <c r="F64" s="69"/>
      <c r="K64"/>
    </row>
    <row r="65" spans="6:11" x14ac:dyDescent="0.2">
      <c r="F65" s="69"/>
      <c r="K65"/>
    </row>
    <row r="66" spans="6:11" x14ac:dyDescent="0.2">
      <c r="F66" s="69"/>
      <c r="K66"/>
    </row>
    <row r="67" spans="6:11" x14ac:dyDescent="0.2">
      <c r="F67" s="69"/>
      <c r="K67"/>
    </row>
  </sheetData>
  <mergeCells count="1">
    <mergeCell ref="A1:K1"/>
  </mergeCell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'Data for Bill Impacts'!$A$3:$A$21</xm:f>
          </x14:formula1>
          <xm:sqref>B3</xm:sqref>
        </x14:dataValidation>
        <x14:dataValidation type="list" allowBlank="1" showInputMessage="1" showErrorMessage="1">
          <x14:formula1>
            <xm:f>'Data for Bill Impacts'!$A$3:$A$39</xm:f>
          </x14:formula1>
          <xm:sqref>C3</xm:sqref>
        </x14:dataValidation>
      </x14:dataValidations>
    </ext>
  </extLst>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pageSetUpPr fitToPage="1"/>
  </sheetPr>
  <dimension ref="A1:J37"/>
  <sheetViews>
    <sheetView topLeftCell="A10" workbookViewId="0">
      <selection activeCell="C19" sqref="C19"/>
    </sheetView>
  </sheetViews>
  <sheetFormatPr defaultRowHeight="12.75" x14ac:dyDescent="0.2"/>
  <cols>
    <col min="1" max="1" width="64.7109375" bestFit="1" customWidth="1"/>
    <col min="2" max="2" width="20.7109375" bestFit="1" customWidth="1"/>
    <col min="3" max="3" width="16.1406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48" t="s">
        <v>109</v>
      </c>
      <c r="B1" s="349"/>
      <c r="C1" s="349"/>
      <c r="D1" s="349"/>
      <c r="E1" s="349"/>
      <c r="F1" s="349"/>
      <c r="G1" s="349"/>
      <c r="H1" s="349"/>
      <c r="I1" s="349"/>
      <c r="J1" s="350"/>
    </row>
    <row r="3" spans="1:10" x14ac:dyDescent="0.2">
      <c r="A3" s="13" t="s">
        <v>13</v>
      </c>
      <c r="B3" s="13" t="s">
        <v>197</v>
      </c>
      <c r="C3" s="13" t="s">
        <v>115</v>
      </c>
    </row>
    <row r="4" spans="1:10" x14ac:dyDescent="0.2">
      <c r="A4" s="15" t="s">
        <v>62</v>
      </c>
      <c r="B4" s="79">
        <v>15000</v>
      </c>
      <c r="C4" s="79">
        <v>15000</v>
      </c>
    </row>
    <row r="5" spans="1:10" x14ac:dyDescent="0.2">
      <c r="A5" s="15" t="s">
        <v>16</v>
      </c>
      <c r="B5" s="79">
        <v>60</v>
      </c>
      <c r="C5" s="79">
        <v>60</v>
      </c>
    </row>
    <row r="6" spans="1:10" x14ac:dyDescent="0.2">
      <c r="A6" s="15" t="s">
        <v>20</v>
      </c>
      <c r="B6" s="80">
        <f>VLOOKUP($B$3,'Data for Bill Impacts'!$A$3:$Y$21,2,0)</f>
        <v>1.0465</v>
      </c>
      <c r="C6" s="80">
        <f>VLOOKUP($C$3,'Data for Bill Impacts'!$A$3:$Y$30,2,0)</f>
        <v>1.0430999999999999</v>
      </c>
    </row>
    <row r="7" spans="1:10" x14ac:dyDescent="0.2">
      <c r="A7" s="81" t="s">
        <v>49</v>
      </c>
      <c r="B7" s="82">
        <f>B4/(B5*730)</f>
        <v>0.34246575342465752</v>
      </c>
      <c r="C7" s="82">
        <f>C4/(C5*730)</f>
        <v>0.34246575342465752</v>
      </c>
    </row>
    <row r="8" spans="1:10" x14ac:dyDescent="0.2">
      <c r="A8" s="15" t="s">
        <v>15</v>
      </c>
      <c r="B8" s="79">
        <f>VLOOKUP($B$3,'Data for Bill Impacts'!$A$3:$Y$21,4,0)</f>
        <v>0</v>
      </c>
      <c r="C8" s="79">
        <f>VLOOKUP($C$3,'Data for Bill Impacts'!$A$3:$Y$30,4,0)</f>
        <v>0</v>
      </c>
    </row>
    <row r="9" spans="1:10" x14ac:dyDescent="0.2">
      <c r="A9" s="15" t="s">
        <v>82</v>
      </c>
      <c r="B9" s="79">
        <f>B4*B6</f>
        <v>15697.5</v>
      </c>
      <c r="C9" s="79">
        <f>C4*C6</f>
        <v>15646.499999999998</v>
      </c>
    </row>
    <row r="10" spans="1:10" x14ac:dyDescent="0.2">
      <c r="A10" s="15" t="s">
        <v>21</v>
      </c>
      <c r="B10" s="16" t="s">
        <v>19</v>
      </c>
      <c r="C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3" t="s">
        <v>50</v>
      </c>
    </row>
    <row r="13" spans="1:10" x14ac:dyDescent="0.2">
      <c r="A13" s="101" t="s">
        <v>31</v>
      </c>
      <c r="B13" s="102">
        <f>C9</f>
        <v>15646.499999999998</v>
      </c>
      <c r="C13" s="103">
        <v>0.10299999999999999</v>
      </c>
      <c r="D13" s="104">
        <f>B13*C13</f>
        <v>1611.5894999999998</v>
      </c>
      <c r="E13" s="102">
        <f>B9</f>
        <v>15697.5</v>
      </c>
      <c r="F13" s="103">
        <f>C13</f>
        <v>0.10299999999999999</v>
      </c>
      <c r="G13" s="104">
        <f>E13*F13</f>
        <v>1616.8425</v>
      </c>
      <c r="H13" s="104">
        <f>G13-D13</f>
        <v>5.2530000000001564</v>
      </c>
      <c r="I13" s="105">
        <f>IF(ISERROR(H13/D13),0,(H13/D13))</f>
        <v>3.2595149074873949E-3</v>
      </c>
      <c r="J13" s="124">
        <f t="shared" ref="J13:J35" si="0">G13/$G$35</f>
        <v>0.57874391163260919</v>
      </c>
    </row>
    <row r="14" spans="1:10" x14ac:dyDescent="0.2">
      <c r="A14" s="107" t="s">
        <v>32</v>
      </c>
      <c r="B14" s="73">
        <v>0</v>
      </c>
      <c r="C14" s="21">
        <v>0.121</v>
      </c>
      <c r="D14" s="22">
        <f>B14*C14</f>
        <v>0</v>
      </c>
      <c r="E14" s="73">
        <f t="shared" ref="E14" si="1">B14</f>
        <v>0</v>
      </c>
      <c r="F14" s="21">
        <f>C14</f>
        <v>0.121</v>
      </c>
      <c r="G14" s="22">
        <f>E14*F14</f>
        <v>0</v>
      </c>
      <c r="H14" s="22">
        <f t="shared" ref="H14:H35" si="2">G14-D14</f>
        <v>0</v>
      </c>
      <c r="I14" s="23">
        <f t="shared" ref="I14:I30" si="3">IF(ISERROR(H14/D14),0,(H14/D14))</f>
        <v>0</v>
      </c>
      <c r="J14" s="125">
        <f t="shared" si="0"/>
        <v>0</v>
      </c>
    </row>
    <row r="15" spans="1:10" s="1" customFormat="1" x14ac:dyDescent="0.2">
      <c r="A15" s="46" t="s">
        <v>33</v>
      </c>
      <c r="B15" s="24"/>
      <c r="C15" s="25"/>
      <c r="D15" s="25">
        <f>SUM(D13:D14)</f>
        <v>1611.5894999999998</v>
      </c>
      <c r="E15" s="76"/>
      <c r="F15" s="25"/>
      <c r="G15" s="25">
        <f>SUM(G13:G14)</f>
        <v>1616.8425</v>
      </c>
      <c r="H15" s="25">
        <f t="shared" si="2"/>
        <v>5.2530000000001564</v>
      </c>
      <c r="I15" s="27">
        <f t="shared" si="3"/>
        <v>3.2595149074873949E-3</v>
      </c>
      <c r="J15" s="47">
        <f t="shared" si="0"/>
        <v>0.57874391163260919</v>
      </c>
    </row>
    <row r="16" spans="1:10" s="1" customFormat="1" x14ac:dyDescent="0.2">
      <c r="A16" s="107" t="s">
        <v>38</v>
      </c>
      <c r="B16" s="73">
        <v>1</v>
      </c>
      <c r="C16" s="78">
        <f>VLOOKUP($B$3,'Data for Bill Impacts'!$A$3:$Y$21,7,0)</f>
        <v>139.96</v>
      </c>
      <c r="D16" s="22">
        <f>B16*C16</f>
        <v>139.96</v>
      </c>
      <c r="E16" s="73">
        <f t="shared" ref="E16:E28" si="4">B16</f>
        <v>1</v>
      </c>
      <c r="F16" s="78">
        <f>VLOOKUP($B$3,'Data for Bill Impacts'!$A$3:$Y$21,17,0)</f>
        <v>209.83</v>
      </c>
      <c r="G16" s="22">
        <f>E16*F16</f>
        <v>209.83</v>
      </c>
      <c r="H16" s="22">
        <f t="shared" si="2"/>
        <v>69.87</v>
      </c>
      <c r="I16" s="23">
        <f t="shared" si="3"/>
        <v>0.49921406116033151</v>
      </c>
      <c r="J16" s="125">
        <f t="shared" si="0"/>
        <v>7.5108017619446785E-2</v>
      </c>
    </row>
    <row r="17" spans="1:10" x14ac:dyDescent="0.2">
      <c r="A17" s="107" t="s">
        <v>188</v>
      </c>
      <c r="B17" s="73">
        <v>1</v>
      </c>
      <c r="C17" s="122">
        <f>'Data for Bill Impacts'!K24</f>
        <v>-1.4</v>
      </c>
      <c r="D17" s="22">
        <f>B17*C17</f>
        <v>-1.4</v>
      </c>
      <c r="E17" s="73">
        <f t="shared" si="4"/>
        <v>1</v>
      </c>
      <c r="F17" s="122">
        <v>0</v>
      </c>
      <c r="G17" s="22">
        <f t="shared" ref="G17" si="5">E17*F17</f>
        <v>0</v>
      </c>
      <c r="H17" s="22">
        <f t="shared" si="2"/>
        <v>1.4</v>
      </c>
      <c r="I17" s="23">
        <f t="shared" si="3"/>
        <v>-1</v>
      </c>
      <c r="J17" s="125">
        <f t="shared" si="0"/>
        <v>0</v>
      </c>
    </row>
    <row r="18" spans="1:10" x14ac:dyDescent="0.2">
      <c r="A18" s="107" t="s">
        <v>39</v>
      </c>
      <c r="B18" s="73">
        <f>IF($C$10="kWh",$C$4,$C$5)</f>
        <v>60</v>
      </c>
      <c r="C18" s="78">
        <f>VLOOKUP($B$3,'Data for Bill Impacts'!$A$3:$Y$21,10,0)</f>
        <v>2.5777000000000001</v>
      </c>
      <c r="D18" s="22">
        <f>B18*C18</f>
        <v>154.66200000000001</v>
      </c>
      <c r="E18" s="73">
        <f>IF($B$10="kWh",$B$4,$B$5)</f>
        <v>60</v>
      </c>
      <c r="F18" s="126">
        <f>VLOOKUP($B$3,'Data for Bill Impacts'!$A$3:$Y$21,19,0)</f>
        <v>3.86</v>
      </c>
      <c r="G18" s="22">
        <f>E18*F18</f>
        <v>231.6</v>
      </c>
      <c r="H18" s="22">
        <f t="shared" si="2"/>
        <v>76.937999999999988</v>
      </c>
      <c r="I18" s="23">
        <f t="shared" si="3"/>
        <v>0.49745897505528175</v>
      </c>
      <c r="J18" s="125">
        <f t="shared" si="0"/>
        <v>8.2900523665175974E-2</v>
      </c>
    </row>
    <row r="19" spans="1:10" s="1" customFormat="1" x14ac:dyDescent="0.2">
      <c r="A19" s="107" t="s">
        <v>191</v>
      </c>
      <c r="B19" s="73">
        <f>IF($C$10="kWh",$C$4,$C$5)</f>
        <v>60</v>
      </c>
      <c r="C19" s="78">
        <f>'Data for Bill Impacts'!L24</f>
        <v>-2.58E-2</v>
      </c>
      <c r="D19" s="22">
        <f>B19*C19</f>
        <v>-1.548</v>
      </c>
      <c r="E19" s="73">
        <f>IF($B$10="kWh",$B$4,$B$5)</f>
        <v>60</v>
      </c>
      <c r="F19" s="126">
        <f>VLOOKUP($B$3,'Data for Bill Impacts'!$A$3:$Y$21,21,0)</f>
        <v>0</v>
      </c>
      <c r="G19" s="22">
        <f>E19*F19</f>
        <v>0</v>
      </c>
      <c r="H19" s="22">
        <f t="shared" si="2"/>
        <v>1.548</v>
      </c>
      <c r="I19" s="23">
        <f>IF(ISERROR(H19/D19),0,(H19/D19))</f>
        <v>-1</v>
      </c>
      <c r="J19" s="125">
        <f t="shared" si="0"/>
        <v>0</v>
      </c>
    </row>
    <row r="20" spans="1:10" x14ac:dyDescent="0.2">
      <c r="A20" s="110" t="s">
        <v>97</v>
      </c>
      <c r="B20" s="74"/>
      <c r="C20" s="35"/>
      <c r="D20" s="35">
        <f>SUM(D16:D19)</f>
        <v>291.67399999999998</v>
      </c>
      <c r="E20" s="73"/>
      <c r="F20" s="35"/>
      <c r="G20" s="35">
        <f>SUM(G16:G19)</f>
        <v>441.43</v>
      </c>
      <c r="H20" s="35">
        <f t="shared" si="2"/>
        <v>149.75600000000003</v>
      </c>
      <c r="I20" s="36">
        <f t="shared" si="3"/>
        <v>0.51343623360326951</v>
      </c>
      <c r="J20" s="111">
        <f t="shared" si="0"/>
        <v>0.15800854128462277</v>
      </c>
    </row>
    <row r="21" spans="1:10" x14ac:dyDescent="0.2">
      <c r="A21" s="107" t="s">
        <v>40</v>
      </c>
      <c r="B21" s="73">
        <f>IF($C$10="kWh",$C$4,$C$5)</f>
        <v>60</v>
      </c>
      <c r="C21" s="78">
        <f>VLOOKUP($B$3,'Data for Bill Impacts'!$A$3:$Y$21,15,0)</f>
        <v>2.7930999999999999</v>
      </c>
      <c r="D21" s="22">
        <f>B21*C21</f>
        <v>167.58599999999998</v>
      </c>
      <c r="E21" s="73">
        <f>IF($B$10="kWh",$B$4,$B$5)</f>
        <v>60</v>
      </c>
      <c r="F21" s="78">
        <f>VLOOKUP($B$3,'Data for Bill Impacts'!$A$3:$Y$21,24,0)</f>
        <v>1.8612</v>
      </c>
      <c r="G21" s="22">
        <f>E21*F21</f>
        <v>111.672</v>
      </c>
      <c r="H21" s="22">
        <f t="shared" si="2"/>
        <v>-55.913999999999987</v>
      </c>
      <c r="I21" s="23">
        <f t="shared" si="3"/>
        <v>-0.33364362178224904</v>
      </c>
      <c r="J21" s="125">
        <f t="shared" si="0"/>
        <v>3.9972656643944435E-2</v>
      </c>
    </row>
    <row r="22" spans="1:10" s="1" customFormat="1" x14ac:dyDescent="0.2">
      <c r="A22" s="107" t="s">
        <v>41</v>
      </c>
      <c r="B22" s="73">
        <f>IF($C$10="kWh",$C$4,$C$5)</f>
        <v>60</v>
      </c>
      <c r="C22" s="126">
        <f>VLOOKUP($B$3,'Data for Bill Impacts'!$A$3:$Y$21,16,0)</f>
        <v>2.2465318947278483</v>
      </c>
      <c r="D22" s="22">
        <f>B22*C22</f>
        <v>134.79191368367088</v>
      </c>
      <c r="E22" s="73">
        <f>IF($B$10="kWh",$B$4,$B$5)</f>
        <v>60</v>
      </c>
      <c r="F22" s="78">
        <f>VLOOKUP($B$3,'Data for Bill Impacts'!$A$3:$Y$21,25,0)</f>
        <v>1.5062</v>
      </c>
      <c r="G22" s="22">
        <f>E22*F22</f>
        <v>90.372</v>
      </c>
      <c r="H22" s="22">
        <f t="shared" si="2"/>
        <v>-44.419913683670885</v>
      </c>
      <c r="I22" s="23">
        <f t="shared" si="3"/>
        <v>-0.32954435076806876</v>
      </c>
      <c r="J22" s="125">
        <f t="shared" si="0"/>
        <v>3.2348385685100532E-2</v>
      </c>
    </row>
    <row r="23" spans="1:10" x14ac:dyDescent="0.2">
      <c r="A23" s="110" t="s">
        <v>76</v>
      </c>
      <c r="B23" s="74"/>
      <c r="C23" s="35"/>
      <c r="D23" s="35">
        <f>SUM(D21:D22)</f>
        <v>302.37791368367084</v>
      </c>
      <c r="E23" s="73"/>
      <c r="F23" s="35"/>
      <c r="G23" s="35">
        <f>SUM(G21:G22)</f>
        <v>202.04399999999998</v>
      </c>
      <c r="H23" s="35">
        <f t="shared" si="2"/>
        <v>-100.33391368367086</v>
      </c>
      <c r="I23" s="36">
        <f t="shared" si="3"/>
        <v>-0.33181627739066294</v>
      </c>
      <c r="J23" s="111">
        <f t="shared" si="0"/>
        <v>7.232104232904496E-2</v>
      </c>
    </row>
    <row r="24" spans="1:10" s="1" customFormat="1" x14ac:dyDescent="0.2">
      <c r="A24" s="110" t="s">
        <v>80</v>
      </c>
      <c r="B24" s="74"/>
      <c r="C24" s="35"/>
      <c r="D24" s="35">
        <f>D20+D23</f>
        <v>594.05191368367082</v>
      </c>
      <c r="E24" s="73"/>
      <c r="F24" s="35"/>
      <c r="G24" s="35">
        <f>G20+G23</f>
        <v>643.47399999999993</v>
      </c>
      <c r="H24" s="35">
        <f t="shared" si="2"/>
        <v>49.422086316329114</v>
      </c>
      <c r="I24" s="36">
        <f t="shared" si="3"/>
        <v>8.3194894550320544E-2</v>
      </c>
      <c r="J24" s="111">
        <f t="shared" si="0"/>
        <v>0.2303295836136677</v>
      </c>
    </row>
    <row r="25" spans="1:10" x14ac:dyDescent="0.2">
      <c r="A25" s="107" t="s">
        <v>42</v>
      </c>
      <c r="B25" s="73">
        <f>C9</f>
        <v>15646.499999999998</v>
      </c>
      <c r="C25" s="34">
        <v>3.5999999999999999E-3</v>
      </c>
      <c r="D25" s="22">
        <f>B25*C25</f>
        <v>56.32739999999999</v>
      </c>
      <c r="E25" s="73">
        <f>B9</f>
        <v>15697.5</v>
      </c>
      <c r="F25" s="34">
        <v>3.5999999999999999E-3</v>
      </c>
      <c r="G25" s="22">
        <f>E25*F25</f>
        <v>56.510999999999996</v>
      </c>
      <c r="H25" s="22">
        <f t="shared" si="2"/>
        <v>0.18360000000000554</v>
      </c>
      <c r="I25" s="23">
        <f t="shared" si="3"/>
        <v>3.2595149074873962E-3</v>
      </c>
      <c r="J25" s="125">
        <f t="shared" si="0"/>
        <v>2.0227942542498961E-2</v>
      </c>
    </row>
    <row r="26" spans="1:10" x14ac:dyDescent="0.2">
      <c r="A26" s="107" t="s">
        <v>43</v>
      </c>
      <c r="B26" s="73">
        <f>C9</f>
        <v>15646.499999999998</v>
      </c>
      <c r="C26" s="34">
        <v>2.0999999999999999E-3</v>
      </c>
      <c r="D26" s="22">
        <f>B26*C26</f>
        <v>32.857649999999992</v>
      </c>
      <c r="E26" s="73">
        <f>B9</f>
        <v>15697.5</v>
      </c>
      <c r="F26" s="34">
        <v>2.0999999999999999E-3</v>
      </c>
      <c r="G26" s="22">
        <f>E26*F26</f>
        <v>32.964749999999995</v>
      </c>
      <c r="H26" s="22">
        <f>G26-D26</f>
        <v>0.10710000000000264</v>
      </c>
      <c r="I26" s="23">
        <f t="shared" si="3"/>
        <v>3.2595149074873785E-3</v>
      </c>
      <c r="J26" s="125">
        <f t="shared" si="0"/>
        <v>1.179963314979106E-2</v>
      </c>
    </row>
    <row r="27" spans="1:10" x14ac:dyDescent="0.2">
      <c r="A27" s="107" t="s">
        <v>100</v>
      </c>
      <c r="B27" s="73">
        <f>C9</f>
        <v>15646.499999999998</v>
      </c>
      <c r="C27" s="34">
        <v>1.1000000000000001E-3</v>
      </c>
      <c r="D27" s="22">
        <f>B27*C27</f>
        <v>17.21115</v>
      </c>
      <c r="E27" s="73">
        <f>B9</f>
        <v>15697.5</v>
      </c>
      <c r="F27" s="34">
        <v>1.1000000000000001E-3</v>
      </c>
      <c r="G27" s="22">
        <f>E27*F27</f>
        <v>17.267250000000001</v>
      </c>
      <c r="H27" s="22">
        <f>G27-D27</f>
        <v>5.6100000000000705E-2</v>
      </c>
      <c r="I27" s="23">
        <f t="shared" si="3"/>
        <v>3.2595149074873386E-3</v>
      </c>
      <c r="J27" s="125">
        <f t="shared" si="0"/>
        <v>6.1807602213191275E-3</v>
      </c>
    </row>
    <row r="28" spans="1:10" x14ac:dyDescent="0.2">
      <c r="A28" s="107" t="s">
        <v>44</v>
      </c>
      <c r="B28" s="73">
        <v>1</v>
      </c>
      <c r="C28" s="22">
        <v>0.25</v>
      </c>
      <c r="D28" s="22">
        <f>B28*C28</f>
        <v>0.25</v>
      </c>
      <c r="E28" s="73">
        <f t="shared" si="4"/>
        <v>1</v>
      </c>
      <c r="F28" s="22">
        <f>C28</f>
        <v>0.25</v>
      </c>
      <c r="G28" s="22">
        <f>E28*F28</f>
        <v>0.25</v>
      </c>
      <c r="H28" s="22">
        <f t="shared" si="2"/>
        <v>0</v>
      </c>
      <c r="I28" s="23">
        <f t="shared" si="3"/>
        <v>0</v>
      </c>
      <c r="J28" s="125">
        <f t="shared" si="0"/>
        <v>8.9486748343238319E-5</v>
      </c>
    </row>
    <row r="29" spans="1:10" x14ac:dyDescent="0.2">
      <c r="A29" s="110" t="s">
        <v>45</v>
      </c>
      <c r="B29" s="74"/>
      <c r="C29" s="35"/>
      <c r="D29" s="35">
        <f>SUM(D25:D28)</f>
        <v>106.64619999999999</v>
      </c>
      <c r="E29" s="73"/>
      <c r="F29" s="35"/>
      <c r="G29" s="35">
        <f>SUM(G25:G28)</f>
        <v>106.99299999999999</v>
      </c>
      <c r="H29" s="35">
        <f t="shared" si="2"/>
        <v>0.34680000000000177</v>
      </c>
      <c r="I29" s="36">
        <f t="shared" si="3"/>
        <v>3.2518739533148092E-3</v>
      </c>
      <c r="J29" s="111">
        <f t="shared" si="0"/>
        <v>3.8297822661952384E-2</v>
      </c>
    </row>
    <row r="30" spans="1:10" ht="13.5" thickBot="1" x14ac:dyDescent="0.25">
      <c r="A30" s="112" t="s">
        <v>46</v>
      </c>
      <c r="B30" s="113">
        <f>C4</f>
        <v>15000</v>
      </c>
      <c r="C30" s="114">
        <v>7.0000000000000001E-3</v>
      </c>
      <c r="D30" s="115">
        <f>B30*C30</f>
        <v>105</v>
      </c>
      <c r="E30" s="116">
        <f>B4</f>
        <v>15000</v>
      </c>
      <c r="F30" s="114">
        <f>C30</f>
        <v>7.0000000000000001E-3</v>
      </c>
      <c r="G30" s="115">
        <f>E30*F30</f>
        <v>105</v>
      </c>
      <c r="H30" s="115">
        <f t="shared" si="2"/>
        <v>0</v>
      </c>
      <c r="I30" s="117">
        <f t="shared" si="3"/>
        <v>0</v>
      </c>
      <c r="J30" s="118">
        <f t="shared" si="0"/>
        <v>3.7584434304160093E-2</v>
      </c>
    </row>
    <row r="31" spans="1:10" x14ac:dyDescent="0.2">
      <c r="A31" s="37" t="s">
        <v>146</v>
      </c>
      <c r="B31" s="38"/>
      <c r="C31" s="39"/>
      <c r="D31" s="39">
        <f>SUM(D15,D20,D23,D29,D30)</f>
        <v>2417.2876136836708</v>
      </c>
      <c r="E31" s="38"/>
      <c r="F31" s="39"/>
      <c r="G31" s="39">
        <f>SUM(G15,G20,G23,G29,G30)</f>
        <v>2472.3094999999998</v>
      </c>
      <c r="H31" s="39">
        <f t="shared" si="2"/>
        <v>55.021886316329073</v>
      </c>
      <c r="I31" s="40">
        <f>IF(ISERROR(H31/D31),0,(H31/D31))</f>
        <v>2.2761828590385235E-2</v>
      </c>
      <c r="J31" s="41">
        <f t="shared" si="0"/>
        <v>0.88495575221238931</v>
      </c>
    </row>
    <row r="32" spans="1:10" x14ac:dyDescent="0.2">
      <c r="A32" s="46" t="s">
        <v>138</v>
      </c>
      <c r="B32" s="43"/>
      <c r="C32" s="26">
        <v>0.13</v>
      </c>
      <c r="D32" s="26">
        <f>D31*C32</f>
        <v>314.24738977887722</v>
      </c>
      <c r="E32" s="26"/>
      <c r="F32" s="26">
        <f>C32</f>
        <v>0.13</v>
      </c>
      <c r="G32" s="26">
        <f>G31*F32</f>
        <v>321.40023500000001</v>
      </c>
      <c r="H32" s="26">
        <f t="shared" si="2"/>
        <v>7.1528452211227886</v>
      </c>
      <c r="I32" s="44">
        <f t="shared" ref="I32:I35" si="6">IF(ISERROR(H32/D32),0,(H32/D32))</f>
        <v>2.2761828590385263E-2</v>
      </c>
      <c r="J32" s="45">
        <f t="shared" si="0"/>
        <v>0.11504424778761063</v>
      </c>
    </row>
    <row r="33" spans="1:10" x14ac:dyDescent="0.2">
      <c r="A33" s="46" t="s">
        <v>139</v>
      </c>
      <c r="B33" s="24"/>
      <c r="C33" s="25"/>
      <c r="D33" s="25">
        <f>SUM(D31:D32)</f>
        <v>2731.535003462548</v>
      </c>
      <c r="E33" s="25"/>
      <c r="F33" s="25"/>
      <c r="G33" s="25">
        <f>SUM(G31:G32)</f>
        <v>2793.7097349999999</v>
      </c>
      <c r="H33" s="25">
        <f t="shared" si="2"/>
        <v>62.174731537451862</v>
      </c>
      <c r="I33" s="27">
        <f t="shared" si="6"/>
        <v>2.2761828590385235E-2</v>
      </c>
      <c r="J33" s="47">
        <f t="shared" si="0"/>
        <v>1</v>
      </c>
    </row>
    <row r="34" spans="1:10" x14ac:dyDescent="0.2">
      <c r="A34" s="46" t="s">
        <v>140</v>
      </c>
      <c r="B34" s="43"/>
      <c r="C34" s="26">
        <v>0</v>
      </c>
      <c r="D34" s="26">
        <f>D31*C34</f>
        <v>0</v>
      </c>
      <c r="E34" s="26"/>
      <c r="F34" s="26">
        <f>C34</f>
        <v>0</v>
      </c>
      <c r="G34" s="26">
        <f>G31*F34</f>
        <v>0</v>
      </c>
      <c r="H34" s="26">
        <f t="shared" si="2"/>
        <v>0</v>
      </c>
      <c r="I34" s="44">
        <f t="shared" si="6"/>
        <v>0</v>
      </c>
      <c r="J34" s="45">
        <f t="shared" si="0"/>
        <v>0</v>
      </c>
    </row>
    <row r="35" spans="1:10" ht="13.5" thickBot="1" x14ac:dyDescent="0.25">
      <c r="A35" s="46" t="s">
        <v>141</v>
      </c>
      <c r="B35" s="49"/>
      <c r="C35" s="50"/>
      <c r="D35" s="50">
        <f>SUM(D33:D34)</f>
        <v>2731.535003462548</v>
      </c>
      <c r="E35" s="50"/>
      <c r="F35" s="50"/>
      <c r="G35" s="50">
        <f>SUM(G33:G34)</f>
        <v>2793.7097349999999</v>
      </c>
      <c r="H35" s="50">
        <f t="shared" si="2"/>
        <v>62.174731537451862</v>
      </c>
      <c r="I35" s="51">
        <f t="shared" si="6"/>
        <v>2.2761828590385235E-2</v>
      </c>
      <c r="J35" s="52">
        <f t="shared" si="0"/>
        <v>1</v>
      </c>
    </row>
    <row r="36" spans="1:10" x14ac:dyDescent="0.2">
      <c r="A36" s="330"/>
      <c r="F36" s="69"/>
    </row>
    <row r="37" spans="1:10" x14ac:dyDescent="0.2">
      <c r="F37" s="69"/>
    </row>
  </sheetData>
  <mergeCells count="1">
    <mergeCell ref="A1:J1"/>
  </mergeCells>
  <dataValidations count="1">
    <dataValidation type="list" allowBlank="1" showInputMessage="1" showErrorMessage="1" sqref="WVI983029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5 IW65525 SS65525 ACO65525 AMK65525 AWG65525 BGC65525 BPY65525 BZU65525 CJQ65525 CTM65525 DDI65525 DNE65525 DXA65525 EGW65525 EQS65525 FAO65525 FKK65525 FUG65525 GEC65525 GNY65525 GXU65525 HHQ65525 HRM65525 IBI65525 ILE65525 IVA65525 JEW65525 JOS65525 JYO65525 KIK65525 KSG65525 LCC65525 LLY65525 LVU65525 MFQ65525 MPM65525 MZI65525 NJE65525 NTA65525 OCW65525 OMS65525 OWO65525 PGK65525 PQG65525 QAC65525 QJY65525 QTU65525 RDQ65525 RNM65525 RXI65525 SHE65525 SRA65525 TAW65525 TKS65525 TUO65525 UEK65525 UOG65525 UYC65525 VHY65525 VRU65525 WBQ65525 WLM65525 WVI65525 B131061 IW131061 SS131061 ACO131061 AMK131061 AWG131061 BGC131061 BPY131061 BZU131061 CJQ131061 CTM131061 DDI131061 DNE131061 DXA131061 EGW131061 EQS131061 FAO131061 FKK131061 FUG131061 GEC131061 GNY131061 GXU131061 HHQ131061 HRM131061 IBI131061 ILE131061 IVA131061 JEW131061 JOS131061 JYO131061 KIK131061 KSG131061 LCC131061 LLY131061 LVU131061 MFQ131061 MPM131061 MZI131061 NJE131061 NTA131061 OCW131061 OMS131061 OWO131061 PGK131061 PQG131061 QAC131061 QJY131061 QTU131061 RDQ131061 RNM131061 RXI131061 SHE131061 SRA131061 TAW131061 TKS131061 TUO131061 UEK131061 UOG131061 UYC131061 VHY131061 VRU131061 WBQ131061 WLM131061 WVI131061 B196597 IW196597 SS196597 ACO196597 AMK196597 AWG196597 BGC196597 BPY196597 BZU196597 CJQ196597 CTM196597 DDI196597 DNE196597 DXA196597 EGW196597 EQS196597 FAO196597 FKK196597 FUG196597 GEC196597 GNY196597 GXU196597 HHQ196597 HRM196597 IBI196597 ILE196597 IVA196597 JEW196597 JOS196597 JYO196597 KIK196597 KSG196597 LCC196597 LLY196597 LVU196597 MFQ196597 MPM196597 MZI196597 NJE196597 NTA196597 OCW196597 OMS196597 OWO196597 PGK196597 PQG196597 QAC196597 QJY196597 QTU196597 RDQ196597 RNM196597 RXI196597 SHE196597 SRA196597 TAW196597 TKS196597 TUO196597 UEK196597 UOG196597 UYC196597 VHY196597 VRU196597 WBQ196597 WLM196597 WVI196597 B262133 IW262133 SS262133 ACO262133 AMK262133 AWG262133 BGC262133 BPY262133 BZU262133 CJQ262133 CTM262133 DDI262133 DNE262133 DXA262133 EGW262133 EQS262133 FAO262133 FKK262133 FUG262133 GEC262133 GNY262133 GXU262133 HHQ262133 HRM262133 IBI262133 ILE262133 IVA262133 JEW262133 JOS262133 JYO262133 KIK262133 KSG262133 LCC262133 LLY262133 LVU262133 MFQ262133 MPM262133 MZI262133 NJE262133 NTA262133 OCW262133 OMS262133 OWO262133 PGK262133 PQG262133 QAC262133 QJY262133 QTU262133 RDQ262133 RNM262133 RXI262133 SHE262133 SRA262133 TAW262133 TKS262133 TUO262133 UEK262133 UOG262133 UYC262133 VHY262133 VRU262133 WBQ262133 WLM262133 WVI262133 B327669 IW327669 SS327669 ACO327669 AMK327669 AWG327669 BGC327669 BPY327669 BZU327669 CJQ327669 CTM327669 DDI327669 DNE327669 DXA327669 EGW327669 EQS327669 FAO327669 FKK327669 FUG327669 GEC327669 GNY327669 GXU327669 HHQ327669 HRM327669 IBI327669 ILE327669 IVA327669 JEW327669 JOS327669 JYO327669 KIK327669 KSG327669 LCC327669 LLY327669 LVU327669 MFQ327669 MPM327669 MZI327669 NJE327669 NTA327669 OCW327669 OMS327669 OWO327669 PGK327669 PQG327669 QAC327669 QJY327669 QTU327669 RDQ327669 RNM327669 RXI327669 SHE327669 SRA327669 TAW327669 TKS327669 TUO327669 UEK327669 UOG327669 UYC327669 VHY327669 VRU327669 WBQ327669 WLM327669 WVI327669 B393205 IW393205 SS393205 ACO393205 AMK393205 AWG393205 BGC393205 BPY393205 BZU393205 CJQ393205 CTM393205 DDI393205 DNE393205 DXA393205 EGW393205 EQS393205 FAO393205 FKK393205 FUG393205 GEC393205 GNY393205 GXU393205 HHQ393205 HRM393205 IBI393205 ILE393205 IVA393205 JEW393205 JOS393205 JYO393205 KIK393205 KSG393205 LCC393205 LLY393205 LVU393205 MFQ393205 MPM393205 MZI393205 NJE393205 NTA393205 OCW393205 OMS393205 OWO393205 PGK393205 PQG393205 QAC393205 QJY393205 QTU393205 RDQ393205 RNM393205 RXI393205 SHE393205 SRA393205 TAW393205 TKS393205 TUO393205 UEK393205 UOG393205 UYC393205 VHY393205 VRU393205 WBQ393205 WLM393205 WVI393205 B458741 IW458741 SS458741 ACO458741 AMK458741 AWG458741 BGC458741 BPY458741 BZU458741 CJQ458741 CTM458741 DDI458741 DNE458741 DXA458741 EGW458741 EQS458741 FAO458741 FKK458741 FUG458741 GEC458741 GNY458741 GXU458741 HHQ458741 HRM458741 IBI458741 ILE458741 IVA458741 JEW458741 JOS458741 JYO458741 KIK458741 KSG458741 LCC458741 LLY458741 LVU458741 MFQ458741 MPM458741 MZI458741 NJE458741 NTA458741 OCW458741 OMS458741 OWO458741 PGK458741 PQG458741 QAC458741 QJY458741 QTU458741 RDQ458741 RNM458741 RXI458741 SHE458741 SRA458741 TAW458741 TKS458741 TUO458741 UEK458741 UOG458741 UYC458741 VHY458741 VRU458741 WBQ458741 WLM458741 WVI458741 B524277 IW524277 SS524277 ACO524277 AMK524277 AWG524277 BGC524277 BPY524277 BZU524277 CJQ524277 CTM524277 DDI524277 DNE524277 DXA524277 EGW524277 EQS524277 FAO524277 FKK524277 FUG524277 GEC524277 GNY524277 GXU524277 HHQ524277 HRM524277 IBI524277 ILE524277 IVA524277 JEW524277 JOS524277 JYO524277 KIK524277 KSG524277 LCC524277 LLY524277 LVU524277 MFQ524277 MPM524277 MZI524277 NJE524277 NTA524277 OCW524277 OMS524277 OWO524277 PGK524277 PQG524277 QAC524277 QJY524277 QTU524277 RDQ524277 RNM524277 RXI524277 SHE524277 SRA524277 TAW524277 TKS524277 TUO524277 UEK524277 UOG524277 UYC524277 VHY524277 VRU524277 WBQ524277 WLM524277 WVI524277 B589813 IW589813 SS589813 ACO589813 AMK589813 AWG589813 BGC589813 BPY589813 BZU589813 CJQ589813 CTM589813 DDI589813 DNE589813 DXA589813 EGW589813 EQS589813 FAO589813 FKK589813 FUG589813 GEC589813 GNY589813 GXU589813 HHQ589813 HRM589813 IBI589813 ILE589813 IVA589813 JEW589813 JOS589813 JYO589813 KIK589813 KSG589813 LCC589813 LLY589813 LVU589813 MFQ589813 MPM589813 MZI589813 NJE589813 NTA589813 OCW589813 OMS589813 OWO589813 PGK589813 PQG589813 QAC589813 QJY589813 QTU589813 RDQ589813 RNM589813 RXI589813 SHE589813 SRA589813 TAW589813 TKS589813 TUO589813 UEK589813 UOG589813 UYC589813 VHY589813 VRU589813 WBQ589813 WLM589813 WVI589813 B655349 IW655349 SS655349 ACO655349 AMK655349 AWG655349 BGC655349 BPY655349 BZU655349 CJQ655349 CTM655349 DDI655349 DNE655349 DXA655349 EGW655349 EQS655349 FAO655349 FKK655349 FUG655349 GEC655349 GNY655349 GXU655349 HHQ655349 HRM655349 IBI655349 ILE655349 IVA655349 JEW655349 JOS655349 JYO655349 KIK655349 KSG655349 LCC655349 LLY655349 LVU655349 MFQ655349 MPM655349 MZI655349 NJE655349 NTA655349 OCW655349 OMS655349 OWO655349 PGK655349 PQG655349 QAC655349 QJY655349 QTU655349 RDQ655349 RNM655349 RXI655349 SHE655349 SRA655349 TAW655349 TKS655349 TUO655349 UEK655349 UOG655349 UYC655349 VHY655349 VRU655349 WBQ655349 WLM655349 WVI655349 B720885 IW720885 SS720885 ACO720885 AMK720885 AWG720885 BGC720885 BPY720885 BZU720885 CJQ720885 CTM720885 DDI720885 DNE720885 DXA720885 EGW720885 EQS720885 FAO720885 FKK720885 FUG720885 GEC720885 GNY720885 GXU720885 HHQ720885 HRM720885 IBI720885 ILE720885 IVA720885 JEW720885 JOS720885 JYO720885 KIK720885 KSG720885 LCC720885 LLY720885 LVU720885 MFQ720885 MPM720885 MZI720885 NJE720885 NTA720885 OCW720885 OMS720885 OWO720885 PGK720885 PQG720885 QAC720885 QJY720885 QTU720885 RDQ720885 RNM720885 RXI720885 SHE720885 SRA720885 TAW720885 TKS720885 TUO720885 UEK720885 UOG720885 UYC720885 VHY720885 VRU720885 WBQ720885 WLM720885 WVI720885 B786421 IW786421 SS786421 ACO786421 AMK786421 AWG786421 BGC786421 BPY786421 BZU786421 CJQ786421 CTM786421 DDI786421 DNE786421 DXA786421 EGW786421 EQS786421 FAO786421 FKK786421 FUG786421 GEC786421 GNY786421 GXU786421 HHQ786421 HRM786421 IBI786421 ILE786421 IVA786421 JEW786421 JOS786421 JYO786421 KIK786421 KSG786421 LCC786421 LLY786421 LVU786421 MFQ786421 MPM786421 MZI786421 NJE786421 NTA786421 OCW786421 OMS786421 OWO786421 PGK786421 PQG786421 QAC786421 QJY786421 QTU786421 RDQ786421 RNM786421 RXI786421 SHE786421 SRA786421 TAW786421 TKS786421 TUO786421 UEK786421 UOG786421 UYC786421 VHY786421 VRU786421 WBQ786421 WLM786421 WVI786421 B851957 IW851957 SS851957 ACO851957 AMK851957 AWG851957 BGC851957 BPY851957 BZU851957 CJQ851957 CTM851957 DDI851957 DNE851957 DXA851957 EGW851957 EQS851957 FAO851957 FKK851957 FUG851957 GEC851957 GNY851957 GXU851957 HHQ851957 HRM851957 IBI851957 ILE851957 IVA851957 JEW851957 JOS851957 JYO851957 KIK851957 KSG851957 LCC851957 LLY851957 LVU851957 MFQ851957 MPM851957 MZI851957 NJE851957 NTA851957 OCW851957 OMS851957 OWO851957 PGK851957 PQG851957 QAC851957 QJY851957 QTU851957 RDQ851957 RNM851957 RXI851957 SHE851957 SRA851957 TAW851957 TKS851957 TUO851957 UEK851957 UOG851957 UYC851957 VHY851957 VRU851957 WBQ851957 WLM851957 WVI851957 B917493 IW917493 SS917493 ACO917493 AMK917493 AWG917493 BGC917493 BPY917493 BZU917493 CJQ917493 CTM917493 DDI917493 DNE917493 DXA917493 EGW917493 EQS917493 FAO917493 FKK917493 FUG917493 GEC917493 GNY917493 GXU917493 HHQ917493 HRM917493 IBI917493 ILE917493 IVA917493 JEW917493 JOS917493 JYO917493 KIK917493 KSG917493 LCC917493 LLY917493 LVU917493 MFQ917493 MPM917493 MZI917493 NJE917493 NTA917493 OCW917493 OMS917493 OWO917493 PGK917493 PQG917493 QAC917493 QJY917493 QTU917493 RDQ917493 RNM917493 RXI917493 SHE917493 SRA917493 TAW917493 TKS917493 TUO917493 UEK917493 UOG917493 UYC917493 VHY917493 VRU917493 WBQ917493 WLM917493 WVI917493 B983029 IW983029 SS983029 ACO983029 AMK983029 AWG983029 BGC983029 BPY983029 BZU983029 CJQ983029 CTM983029 DDI983029 DNE983029 DXA983029 EGW983029 EQS983029 FAO983029 FKK983029 FUG983029 GEC983029 GNY983029 GXU983029 HHQ983029 HRM983029 IBI983029 ILE983029 IVA983029 JEW983029 JOS983029 JYO983029 KIK983029 KSG983029 LCC983029 LLY983029 LVU983029 MFQ983029 MPM983029 MZI983029 NJE983029 NTA983029 OCW983029 OMS983029 OWO983029 PGK983029 PQG983029 QAC983029 QJY983029 QTU983029 RDQ983029 RNM983029 RXI983029 SHE983029 SRA983029 TAW983029 TKS983029 TUO983029 UEK983029 UOG983029 UYC983029 VHY983029 VRU983029 WBQ983029 WLM983029">
      <formula1>Demand</formula1>
    </dataValidation>
  </dataValidation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'Data for Bill Impacts'!$A$12:$A$21</xm:f>
          </x14:formula1>
          <xm:sqref>B3</xm:sqref>
        </x14:dataValidation>
        <x14:dataValidation type="list" allowBlank="1" showInputMessage="1" showErrorMessage="1">
          <x14:formula1>
            <xm:f>'Data for Bill Impacts'!$A$3:$A$39</xm:f>
          </x14:formula1>
          <xm:sqref>C3</xm:sqref>
        </x14:dataValidation>
      </x14:dataValidations>
    </ext>
  </extLst>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pageSetUpPr fitToPage="1"/>
  </sheetPr>
  <dimension ref="A1:J37"/>
  <sheetViews>
    <sheetView topLeftCell="B12" zoomScale="120" zoomScaleNormal="120" workbookViewId="0">
      <selection activeCell="C19" sqref="C19"/>
    </sheetView>
  </sheetViews>
  <sheetFormatPr defaultRowHeight="12.75" x14ac:dyDescent="0.2"/>
  <cols>
    <col min="1" max="1" width="64.7109375" bestFit="1" customWidth="1"/>
    <col min="2" max="2" width="20.7109375" bestFit="1" customWidth="1"/>
    <col min="3" max="3" width="16.1406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48" t="s">
        <v>112</v>
      </c>
      <c r="B1" s="349"/>
      <c r="C1" s="349"/>
      <c r="D1" s="349"/>
      <c r="E1" s="349"/>
      <c r="F1" s="349"/>
      <c r="G1" s="349"/>
      <c r="H1" s="349"/>
      <c r="I1" s="349"/>
      <c r="J1" s="350"/>
    </row>
    <row r="3" spans="1:10" x14ac:dyDescent="0.2">
      <c r="A3" s="13" t="s">
        <v>13</v>
      </c>
      <c r="B3" s="13" t="s">
        <v>197</v>
      </c>
      <c r="C3" s="13" t="s">
        <v>115</v>
      </c>
    </row>
    <row r="4" spans="1:10" x14ac:dyDescent="0.2">
      <c r="A4" s="15" t="s">
        <v>62</v>
      </c>
      <c r="B4" s="79">
        <f>C4</f>
        <v>61239</v>
      </c>
      <c r="C4" s="79">
        <f>'Data for Bill Impacts_HONI Avg '!C18</f>
        <v>61239</v>
      </c>
    </row>
    <row r="5" spans="1:10" x14ac:dyDescent="0.2">
      <c r="A5" s="15" t="s">
        <v>16</v>
      </c>
      <c r="B5" s="79">
        <f>C5</f>
        <v>177</v>
      </c>
      <c r="C5" s="79">
        <f>'Data for Bill Impacts_HONI Avg '!E18</f>
        <v>177</v>
      </c>
    </row>
    <row r="6" spans="1:10" x14ac:dyDescent="0.2">
      <c r="A6" s="15" t="s">
        <v>20</v>
      </c>
      <c r="B6" s="80">
        <f>VLOOKUP($B$3,'Data for Bill Impacts'!$A$3:$Y$21,2,0)</f>
        <v>1.0465</v>
      </c>
      <c r="C6" s="80">
        <f>VLOOKUP($C$3,'Data for Bill Impacts'!$A$3:$Y$30,2,0)</f>
        <v>1.0430999999999999</v>
      </c>
    </row>
    <row r="7" spans="1:10" x14ac:dyDescent="0.2">
      <c r="A7" s="81" t="s">
        <v>49</v>
      </c>
      <c r="B7" s="82">
        <f>B4/(B5*730)</f>
        <v>0.47394938472254472</v>
      </c>
      <c r="C7" s="82">
        <f>C4/(C5*730)</f>
        <v>0.47394938472254472</v>
      </c>
    </row>
    <row r="8" spans="1:10" x14ac:dyDescent="0.2">
      <c r="A8" s="15" t="s">
        <v>15</v>
      </c>
      <c r="B8" s="79">
        <f>VLOOKUP($B$3,'Data for Bill Impacts'!$A$3:$Y$21,4,0)</f>
        <v>0</v>
      </c>
      <c r="C8" s="79">
        <f>VLOOKUP($C$3,'Data for Bill Impacts'!$A$3:$Y$30,4,0)</f>
        <v>0</v>
      </c>
    </row>
    <row r="9" spans="1:10" x14ac:dyDescent="0.2">
      <c r="A9" s="15" t="s">
        <v>82</v>
      </c>
      <c r="B9" s="79">
        <f>B4*B6</f>
        <v>64086.613499999999</v>
      </c>
      <c r="C9" s="79">
        <f>C4*C6</f>
        <v>63878.400899999993</v>
      </c>
    </row>
    <row r="10" spans="1:10" x14ac:dyDescent="0.2">
      <c r="A10" s="15" t="s">
        <v>21</v>
      </c>
      <c r="B10" s="16" t="s">
        <v>19</v>
      </c>
      <c r="C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3" t="s">
        <v>50</v>
      </c>
    </row>
    <row r="13" spans="1:10" x14ac:dyDescent="0.2">
      <c r="A13" s="101" t="s">
        <v>31</v>
      </c>
      <c r="B13" s="102">
        <f>C9</f>
        <v>63878.400899999993</v>
      </c>
      <c r="C13" s="103">
        <v>0.10299999999999999</v>
      </c>
      <c r="D13" s="104">
        <f>B13*C13</f>
        <v>6579.475292699999</v>
      </c>
      <c r="E13" s="102">
        <f>B9</f>
        <v>64086.613499999999</v>
      </c>
      <c r="F13" s="103">
        <f>C13</f>
        <v>0.10299999999999999</v>
      </c>
      <c r="G13" s="104">
        <f>E13*F13</f>
        <v>6600.9211904999993</v>
      </c>
      <c r="H13" s="104">
        <f>G13-D13</f>
        <v>21.445897800000239</v>
      </c>
      <c r="I13" s="105">
        <f>IF(ISERROR(H13/D13),0,(H13/D13))</f>
        <v>3.2595149074873342E-3</v>
      </c>
      <c r="J13" s="124">
        <f t="shared" ref="J13:J35" si="0">G13/$G$35</f>
        <v>0.65234063917256413</v>
      </c>
    </row>
    <row r="14" spans="1:10" x14ac:dyDescent="0.2">
      <c r="A14" s="107" t="s">
        <v>32</v>
      </c>
      <c r="B14" s="73">
        <v>0</v>
      </c>
      <c r="C14" s="21">
        <v>0.121</v>
      </c>
      <c r="D14" s="22">
        <f>B14*C14</f>
        <v>0</v>
      </c>
      <c r="E14" s="73">
        <f t="shared" ref="E14" si="1">B14</f>
        <v>0</v>
      </c>
      <c r="F14" s="21">
        <f>C14</f>
        <v>0.121</v>
      </c>
      <c r="G14" s="22">
        <f>E14*F14</f>
        <v>0</v>
      </c>
      <c r="H14" s="22">
        <f t="shared" ref="H14:H35" si="2">G14-D14</f>
        <v>0</v>
      </c>
      <c r="I14" s="23">
        <f t="shared" ref="I14:I30" si="3">IF(ISERROR(H14/D14),0,(H14/D14))</f>
        <v>0</v>
      </c>
      <c r="J14" s="125">
        <f t="shared" si="0"/>
        <v>0</v>
      </c>
    </row>
    <row r="15" spans="1:10" s="1" customFormat="1" x14ac:dyDescent="0.2">
      <c r="A15" s="46" t="s">
        <v>33</v>
      </c>
      <c r="B15" s="24"/>
      <c r="C15" s="25"/>
      <c r="D15" s="25">
        <f>SUM(D13:D14)</f>
        <v>6579.475292699999</v>
      </c>
      <c r="E15" s="76"/>
      <c r="F15" s="25"/>
      <c r="G15" s="25">
        <f>SUM(G13:G14)</f>
        <v>6600.9211904999993</v>
      </c>
      <c r="H15" s="25">
        <f t="shared" si="2"/>
        <v>21.445897800000239</v>
      </c>
      <c r="I15" s="27">
        <f t="shared" si="3"/>
        <v>3.2595149074873342E-3</v>
      </c>
      <c r="J15" s="47">
        <f t="shared" si="0"/>
        <v>0.65234063917256413</v>
      </c>
    </row>
    <row r="16" spans="1:10" s="1" customFormat="1" x14ac:dyDescent="0.2">
      <c r="A16" s="107" t="s">
        <v>38</v>
      </c>
      <c r="B16" s="73">
        <v>1</v>
      </c>
      <c r="C16" s="78">
        <f>VLOOKUP($B$3,'Data for Bill Impacts'!$A$3:$Y$21,7,0)</f>
        <v>139.96</v>
      </c>
      <c r="D16" s="22">
        <f>B16*C16</f>
        <v>139.96</v>
      </c>
      <c r="E16" s="73">
        <f t="shared" ref="E16:E28" si="4">B16</f>
        <v>1</v>
      </c>
      <c r="F16" s="78">
        <f>VLOOKUP($B$3,'Data for Bill Impacts'!$A$3:$Y$21,17,0)</f>
        <v>209.83</v>
      </c>
      <c r="G16" s="22">
        <f>E16*F16</f>
        <v>209.83</v>
      </c>
      <c r="H16" s="22">
        <f t="shared" si="2"/>
        <v>69.87</v>
      </c>
      <c r="I16" s="23">
        <f t="shared" si="3"/>
        <v>0.49921406116033151</v>
      </c>
      <c r="J16" s="125">
        <f t="shared" si="0"/>
        <v>2.0736596054892583E-2</v>
      </c>
    </row>
    <row r="17" spans="1:10" x14ac:dyDescent="0.2">
      <c r="A17" s="107" t="s">
        <v>188</v>
      </c>
      <c r="B17" s="73">
        <v>1</v>
      </c>
      <c r="C17" s="122">
        <f>'Data for Bill Impacts'!K24</f>
        <v>-1.4</v>
      </c>
      <c r="D17" s="22">
        <f>B17*C17</f>
        <v>-1.4</v>
      </c>
      <c r="E17" s="73">
        <f t="shared" si="4"/>
        <v>1</v>
      </c>
      <c r="F17" s="122">
        <v>0</v>
      </c>
      <c r="G17" s="22">
        <f t="shared" ref="G17" si="5">E17*F17</f>
        <v>0</v>
      </c>
      <c r="H17" s="22">
        <f t="shared" si="2"/>
        <v>1.4</v>
      </c>
      <c r="I17" s="23">
        <f t="shared" si="3"/>
        <v>-1</v>
      </c>
      <c r="J17" s="125">
        <f t="shared" si="0"/>
        <v>0</v>
      </c>
    </row>
    <row r="18" spans="1:10" x14ac:dyDescent="0.2">
      <c r="A18" s="107" t="s">
        <v>39</v>
      </c>
      <c r="B18" s="73">
        <f>IF($C$10="kWh",$C$4,$C$5)</f>
        <v>177</v>
      </c>
      <c r="C18" s="78">
        <f>VLOOKUP($B$3,'Data for Bill Impacts'!$A$3:$Y$21,10,0)</f>
        <v>2.5777000000000001</v>
      </c>
      <c r="D18" s="22">
        <f>B18*C18</f>
        <v>456.25290000000001</v>
      </c>
      <c r="E18" s="73">
        <f>IF($B$10="kWh",$B$4,$B$5)</f>
        <v>177</v>
      </c>
      <c r="F18" s="126">
        <f>VLOOKUP($B$3,'Data for Bill Impacts'!$A$3:$Y$21,19,0)</f>
        <v>3.86</v>
      </c>
      <c r="G18" s="22">
        <f>E18*F18</f>
        <v>683.22</v>
      </c>
      <c r="H18" s="22">
        <f t="shared" si="2"/>
        <v>226.96710000000002</v>
      </c>
      <c r="I18" s="23">
        <f t="shared" si="3"/>
        <v>0.49745897505528186</v>
      </c>
      <c r="J18" s="125">
        <f t="shared" si="0"/>
        <v>6.7519692878157136E-2</v>
      </c>
    </row>
    <row r="19" spans="1:10" s="1" customFormat="1" x14ac:dyDescent="0.2">
      <c r="A19" s="107" t="s">
        <v>191</v>
      </c>
      <c r="B19" s="73">
        <f>IF($C$10="kWh",$C$4,$C$5)</f>
        <v>177</v>
      </c>
      <c r="C19" s="78">
        <f>'Data for Bill Impacts'!L24</f>
        <v>-2.58E-2</v>
      </c>
      <c r="D19" s="22">
        <f>B19*C19</f>
        <v>-4.5666000000000002</v>
      </c>
      <c r="E19" s="73">
        <f>IF($B$10="kWh",$B$4,$B$5)</f>
        <v>177</v>
      </c>
      <c r="F19" s="126">
        <f>VLOOKUP($B$3,'Data for Bill Impacts'!$A$3:$Y$21,21,0)</f>
        <v>0</v>
      </c>
      <c r="G19" s="22">
        <f>E19*F19</f>
        <v>0</v>
      </c>
      <c r="H19" s="22">
        <f t="shared" si="2"/>
        <v>4.5666000000000002</v>
      </c>
      <c r="I19" s="23">
        <f>IF(ISERROR(H19/D19),0,(H19/D19))</f>
        <v>-1</v>
      </c>
      <c r="J19" s="125">
        <f t="shared" si="0"/>
        <v>0</v>
      </c>
    </row>
    <row r="20" spans="1:10" x14ac:dyDescent="0.2">
      <c r="A20" s="110" t="s">
        <v>97</v>
      </c>
      <c r="B20" s="74"/>
      <c r="C20" s="35"/>
      <c r="D20" s="35">
        <f>SUM(D16:D19)</f>
        <v>590.24630000000002</v>
      </c>
      <c r="E20" s="73"/>
      <c r="F20" s="35"/>
      <c r="G20" s="35">
        <f>SUM(G16:G19)</f>
        <v>893.05000000000007</v>
      </c>
      <c r="H20" s="35">
        <f t="shared" si="2"/>
        <v>302.80370000000005</v>
      </c>
      <c r="I20" s="36">
        <f t="shared" si="3"/>
        <v>0.51301244920976219</v>
      </c>
      <c r="J20" s="111">
        <f t="shared" si="0"/>
        <v>8.8256288933049723E-2</v>
      </c>
    </row>
    <row r="21" spans="1:10" x14ac:dyDescent="0.2">
      <c r="A21" s="107" t="s">
        <v>40</v>
      </c>
      <c r="B21" s="73">
        <f>IF($C$10="kWh",$C$4,$C$5)</f>
        <v>177</v>
      </c>
      <c r="C21" s="78">
        <f>VLOOKUP($B$3,'Data for Bill Impacts'!$A$3:$Y$21,15,0)</f>
        <v>2.7930999999999999</v>
      </c>
      <c r="D21" s="22">
        <f>B21*C21</f>
        <v>494.37869999999998</v>
      </c>
      <c r="E21" s="73">
        <f>IF($B$10="kWh",$B$4,$B$5)</f>
        <v>177</v>
      </c>
      <c r="F21" s="78">
        <f>VLOOKUP($B$3,'Data for Bill Impacts'!$A$3:$Y$21,24,0)</f>
        <v>1.8612</v>
      </c>
      <c r="G21" s="22">
        <f>E21*F21</f>
        <v>329.43239999999997</v>
      </c>
      <c r="H21" s="22">
        <f t="shared" si="2"/>
        <v>-164.94630000000001</v>
      </c>
      <c r="I21" s="23">
        <f t="shared" si="3"/>
        <v>-0.33364362178224916</v>
      </c>
      <c r="J21" s="125">
        <f t="shared" si="0"/>
        <v>3.2556386628193275E-2</v>
      </c>
    </row>
    <row r="22" spans="1:10" s="1" customFormat="1" x14ac:dyDescent="0.2">
      <c r="A22" s="107" t="s">
        <v>41</v>
      </c>
      <c r="B22" s="73">
        <f>IF($C$10="kWh",$C$4,$C$5)</f>
        <v>177</v>
      </c>
      <c r="C22" s="126">
        <f>VLOOKUP($B$3,'Data for Bill Impacts'!$A$3:$Y$21,16,0)</f>
        <v>2.2465318947278483</v>
      </c>
      <c r="D22" s="22">
        <f>B22*C22</f>
        <v>397.63614536682917</v>
      </c>
      <c r="E22" s="73">
        <f>IF($B$10="kWh",$B$4,$B$5)</f>
        <v>177</v>
      </c>
      <c r="F22" s="78">
        <f>VLOOKUP($B$3,'Data for Bill Impacts'!$A$3:$Y$21,25,0)</f>
        <v>1.5062</v>
      </c>
      <c r="G22" s="22">
        <f>E22*F22</f>
        <v>266.59739999999999</v>
      </c>
      <c r="H22" s="22">
        <f t="shared" si="2"/>
        <v>-131.03874536682918</v>
      </c>
      <c r="I22" s="23">
        <f t="shared" si="3"/>
        <v>-0.32954435076806887</v>
      </c>
      <c r="J22" s="125">
        <f t="shared" si="0"/>
        <v>2.6346673941212505E-2</v>
      </c>
    </row>
    <row r="23" spans="1:10" x14ac:dyDescent="0.2">
      <c r="A23" s="110" t="s">
        <v>76</v>
      </c>
      <c r="B23" s="74"/>
      <c r="C23" s="35"/>
      <c r="D23" s="35">
        <f>SUM(D21:D22)</f>
        <v>892.01484536682915</v>
      </c>
      <c r="E23" s="73"/>
      <c r="F23" s="35"/>
      <c r="G23" s="35">
        <f>SUM(G21:G22)</f>
        <v>596.02980000000002</v>
      </c>
      <c r="H23" s="35">
        <f t="shared" si="2"/>
        <v>-295.98504536682913</v>
      </c>
      <c r="I23" s="36">
        <f t="shared" si="3"/>
        <v>-0.33181627739066299</v>
      </c>
      <c r="J23" s="111">
        <f t="shared" si="0"/>
        <v>5.8903060569405787E-2</v>
      </c>
    </row>
    <row r="24" spans="1:10" s="1" customFormat="1" x14ac:dyDescent="0.2">
      <c r="A24" s="110" t="s">
        <v>80</v>
      </c>
      <c r="B24" s="74"/>
      <c r="C24" s="35"/>
      <c r="D24" s="35">
        <f>D20+D23</f>
        <v>1482.2611453668292</v>
      </c>
      <c r="E24" s="73"/>
      <c r="F24" s="35"/>
      <c r="G24" s="35">
        <f>G20+G23</f>
        <v>1489.0798</v>
      </c>
      <c r="H24" s="35">
        <f t="shared" si="2"/>
        <v>6.8186546331708087</v>
      </c>
      <c r="I24" s="36">
        <f t="shared" si="3"/>
        <v>4.6001709310698633E-3</v>
      </c>
      <c r="J24" s="111">
        <f t="shared" si="0"/>
        <v>0.14715934950245549</v>
      </c>
    </row>
    <row r="25" spans="1:10" x14ac:dyDescent="0.2">
      <c r="A25" s="107" t="s">
        <v>42</v>
      </c>
      <c r="B25" s="73">
        <f>C9</f>
        <v>63878.400899999993</v>
      </c>
      <c r="C25" s="34">
        <v>3.5999999999999999E-3</v>
      </c>
      <c r="D25" s="22">
        <f>B25*C25</f>
        <v>229.96224323999996</v>
      </c>
      <c r="E25" s="73">
        <f>B9</f>
        <v>64086.613499999999</v>
      </c>
      <c r="F25" s="34">
        <v>3.5999999999999999E-3</v>
      </c>
      <c r="G25" s="22">
        <f>E25*F25</f>
        <v>230.71180859999998</v>
      </c>
      <c r="H25" s="22">
        <f t="shared" si="2"/>
        <v>0.74956536000001961</v>
      </c>
      <c r="I25" s="23">
        <f t="shared" si="3"/>
        <v>3.2595149074873832E-3</v>
      </c>
      <c r="J25" s="125">
        <f t="shared" si="0"/>
        <v>2.2800255349720688E-2</v>
      </c>
    </row>
    <row r="26" spans="1:10" x14ac:dyDescent="0.2">
      <c r="A26" s="107" t="s">
        <v>43</v>
      </c>
      <c r="B26" s="73">
        <f>C9</f>
        <v>63878.400899999993</v>
      </c>
      <c r="C26" s="34">
        <v>2.0999999999999999E-3</v>
      </c>
      <c r="D26" s="22">
        <f>B26*C26</f>
        <v>134.14464188999997</v>
      </c>
      <c r="E26" s="73">
        <f>B9</f>
        <v>64086.613499999999</v>
      </c>
      <c r="F26" s="34">
        <v>2.0999999999999999E-3</v>
      </c>
      <c r="G26" s="22">
        <f>E26*F26</f>
        <v>134.58188834999999</v>
      </c>
      <c r="H26" s="22">
        <f>G26-D26</f>
        <v>0.43724646000001144</v>
      </c>
      <c r="I26" s="23">
        <f t="shared" si="3"/>
        <v>3.2595149074873832E-3</v>
      </c>
      <c r="J26" s="125">
        <f t="shared" si="0"/>
        <v>1.3300148954003735E-2</v>
      </c>
    </row>
    <row r="27" spans="1:10" x14ac:dyDescent="0.2">
      <c r="A27" s="107" t="s">
        <v>100</v>
      </c>
      <c r="B27" s="73">
        <f>C9</f>
        <v>63878.400899999993</v>
      </c>
      <c r="C27" s="34">
        <v>1.1000000000000001E-3</v>
      </c>
      <c r="D27" s="22">
        <f>B27*C27</f>
        <v>70.26624099</v>
      </c>
      <c r="E27" s="73">
        <f>B9</f>
        <v>64086.613499999999</v>
      </c>
      <c r="F27" s="34">
        <v>1.1000000000000001E-3</v>
      </c>
      <c r="G27" s="22">
        <f>E27*F27</f>
        <v>70.495274850000001</v>
      </c>
      <c r="H27" s="22">
        <f>G27-D27</f>
        <v>0.22903386000000125</v>
      </c>
      <c r="I27" s="23">
        <f t="shared" si="3"/>
        <v>3.2595149074873151E-3</v>
      </c>
      <c r="J27" s="125">
        <f t="shared" si="0"/>
        <v>6.966744690192434E-3</v>
      </c>
    </row>
    <row r="28" spans="1:10" x14ac:dyDescent="0.2">
      <c r="A28" s="107" t="s">
        <v>44</v>
      </c>
      <c r="B28" s="73">
        <v>1</v>
      </c>
      <c r="C28" s="22">
        <v>0.25</v>
      </c>
      <c r="D28" s="22">
        <f>B28*C28</f>
        <v>0.25</v>
      </c>
      <c r="E28" s="73">
        <f t="shared" si="4"/>
        <v>1</v>
      </c>
      <c r="F28" s="22">
        <f>C28</f>
        <v>0.25</v>
      </c>
      <c r="G28" s="22">
        <f>E28*F28</f>
        <v>0.25</v>
      </c>
      <c r="H28" s="22">
        <f t="shared" si="2"/>
        <v>0</v>
      </c>
      <c r="I28" s="23">
        <f t="shared" si="3"/>
        <v>0</v>
      </c>
      <c r="J28" s="125">
        <f t="shared" si="0"/>
        <v>2.4706424313602182E-5</v>
      </c>
    </row>
    <row r="29" spans="1:10" x14ac:dyDescent="0.2">
      <c r="A29" s="110" t="s">
        <v>45</v>
      </c>
      <c r="B29" s="74"/>
      <c r="C29" s="35"/>
      <c r="D29" s="35">
        <f>SUM(D25:D28)</f>
        <v>434.62312611999994</v>
      </c>
      <c r="E29" s="73"/>
      <c r="F29" s="35"/>
      <c r="G29" s="35">
        <f>SUM(G25:G28)</f>
        <v>436.03897179999996</v>
      </c>
      <c r="H29" s="35">
        <f t="shared" si="2"/>
        <v>1.4158456800000181</v>
      </c>
      <c r="I29" s="36">
        <f t="shared" si="3"/>
        <v>3.2576399986803772E-3</v>
      </c>
      <c r="J29" s="111">
        <f t="shared" si="0"/>
        <v>4.3091855418230463E-2</v>
      </c>
    </row>
    <row r="30" spans="1:10" ht="13.5" thickBot="1" x14ac:dyDescent="0.25">
      <c r="A30" s="112" t="s">
        <v>46</v>
      </c>
      <c r="B30" s="113">
        <f>C4</f>
        <v>61239</v>
      </c>
      <c r="C30" s="114">
        <v>7.0000000000000001E-3</v>
      </c>
      <c r="D30" s="115">
        <f>B30*C30</f>
        <v>428.673</v>
      </c>
      <c r="E30" s="116">
        <f>B4</f>
        <v>61239</v>
      </c>
      <c r="F30" s="114">
        <f>C30</f>
        <v>7.0000000000000001E-3</v>
      </c>
      <c r="G30" s="115">
        <f>E30*F30</f>
        <v>428.673</v>
      </c>
      <c r="H30" s="115">
        <f t="shared" si="2"/>
        <v>0</v>
      </c>
      <c r="I30" s="117">
        <f t="shared" si="3"/>
        <v>0</v>
      </c>
      <c r="J30" s="118">
        <f t="shared" si="0"/>
        <v>4.2363908119139149E-2</v>
      </c>
    </row>
    <row r="31" spans="1:10" x14ac:dyDescent="0.2">
      <c r="A31" s="37" t="s">
        <v>146</v>
      </c>
      <c r="B31" s="38"/>
      <c r="C31" s="39"/>
      <c r="D31" s="39">
        <f>SUM(D15,D20,D23,D29,D30)</f>
        <v>8925.0325641868276</v>
      </c>
      <c r="E31" s="38"/>
      <c r="F31" s="39"/>
      <c r="G31" s="39">
        <f>SUM(G15,G20,G23,G29,G30)</f>
        <v>8954.7129623000001</v>
      </c>
      <c r="H31" s="39">
        <f t="shared" si="2"/>
        <v>29.680398113172487</v>
      </c>
      <c r="I31" s="40">
        <f>IF(ISERROR(H31/D31),0,(H31/D31))</f>
        <v>3.3255226689334451E-3</v>
      </c>
      <c r="J31" s="41">
        <f t="shared" si="0"/>
        <v>0.88495575221238931</v>
      </c>
    </row>
    <row r="32" spans="1:10" x14ac:dyDescent="0.2">
      <c r="A32" s="46" t="s">
        <v>138</v>
      </c>
      <c r="B32" s="43"/>
      <c r="C32" s="26">
        <v>0.13</v>
      </c>
      <c r="D32" s="26">
        <f>D31*C32</f>
        <v>1160.2542333442875</v>
      </c>
      <c r="E32" s="26"/>
      <c r="F32" s="26">
        <f>C32</f>
        <v>0.13</v>
      </c>
      <c r="G32" s="26">
        <f>G31*F32</f>
        <v>1164.1126850990001</v>
      </c>
      <c r="H32" s="26">
        <f t="shared" si="2"/>
        <v>3.8584517547126325</v>
      </c>
      <c r="I32" s="44">
        <f t="shared" ref="I32:I35" si="6">IF(ISERROR(H32/D32),0,(H32/D32))</f>
        <v>3.3255226689336255E-3</v>
      </c>
      <c r="J32" s="45">
        <f t="shared" si="0"/>
        <v>0.11504424778761063</v>
      </c>
    </row>
    <row r="33" spans="1:10" x14ac:dyDescent="0.2">
      <c r="A33" s="46" t="s">
        <v>139</v>
      </c>
      <c r="B33" s="24"/>
      <c r="C33" s="25"/>
      <c r="D33" s="25">
        <f>SUM(D31:D32)</f>
        <v>10085.286797531115</v>
      </c>
      <c r="E33" s="25"/>
      <c r="F33" s="25"/>
      <c r="G33" s="25">
        <f>SUM(G31:G32)</f>
        <v>10118.825647399</v>
      </c>
      <c r="H33" s="25">
        <f t="shared" si="2"/>
        <v>33.538849867885801</v>
      </c>
      <c r="I33" s="27">
        <f t="shared" si="6"/>
        <v>3.3255226689335336E-3</v>
      </c>
      <c r="J33" s="47">
        <f t="shared" si="0"/>
        <v>1</v>
      </c>
    </row>
    <row r="34" spans="1:10" x14ac:dyDescent="0.2">
      <c r="A34" s="46" t="s">
        <v>140</v>
      </c>
      <c r="B34" s="43"/>
      <c r="C34" s="26">
        <v>0</v>
      </c>
      <c r="D34" s="26">
        <f>D31*C34</f>
        <v>0</v>
      </c>
      <c r="E34" s="26"/>
      <c r="F34" s="26">
        <f>C34</f>
        <v>0</v>
      </c>
      <c r="G34" s="26">
        <f>G31*F34</f>
        <v>0</v>
      </c>
      <c r="H34" s="26">
        <f t="shared" si="2"/>
        <v>0</v>
      </c>
      <c r="I34" s="44">
        <f t="shared" si="6"/>
        <v>0</v>
      </c>
      <c r="J34" s="45">
        <f t="shared" si="0"/>
        <v>0</v>
      </c>
    </row>
    <row r="35" spans="1:10" ht="13.5" thickBot="1" x14ac:dyDescent="0.25">
      <c r="A35" s="46" t="s">
        <v>141</v>
      </c>
      <c r="B35" s="49"/>
      <c r="C35" s="50"/>
      <c r="D35" s="50">
        <f>SUM(D33:D34)</f>
        <v>10085.286797531115</v>
      </c>
      <c r="E35" s="50"/>
      <c r="F35" s="50"/>
      <c r="G35" s="50">
        <f>SUM(G33:G34)</f>
        <v>10118.825647399</v>
      </c>
      <c r="H35" s="50">
        <f t="shared" si="2"/>
        <v>33.538849867885801</v>
      </c>
      <c r="I35" s="51">
        <f t="shared" si="6"/>
        <v>3.3255226689335336E-3</v>
      </c>
      <c r="J35" s="52">
        <f t="shared" si="0"/>
        <v>1</v>
      </c>
    </row>
    <row r="36" spans="1:10" x14ac:dyDescent="0.2">
      <c r="A36" s="330"/>
      <c r="F36" s="69"/>
    </row>
    <row r="37" spans="1:10" x14ac:dyDescent="0.2">
      <c r="F37" s="69"/>
    </row>
  </sheetData>
  <mergeCells count="1">
    <mergeCell ref="A1:J1"/>
  </mergeCells>
  <dataValidations count="1">
    <dataValidation type="list" allowBlank="1" showInputMessage="1" showErrorMessage="1" sqref="WVI983029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5 IW65525 SS65525 ACO65525 AMK65525 AWG65525 BGC65525 BPY65525 BZU65525 CJQ65525 CTM65525 DDI65525 DNE65525 DXA65525 EGW65525 EQS65525 FAO65525 FKK65525 FUG65525 GEC65525 GNY65525 GXU65525 HHQ65525 HRM65525 IBI65525 ILE65525 IVA65525 JEW65525 JOS65525 JYO65525 KIK65525 KSG65525 LCC65525 LLY65525 LVU65525 MFQ65525 MPM65525 MZI65525 NJE65525 NTA65525 OCW65525 OMS65525 OWO65525 PGK65525 PQG65525 QAC65525 QJY65525 QTU65525 RDQ65525 RNM65525 RXI65525 SHE65525 SRA65525 TAW65525 TKS65525 TUO65525 UEK65525 UOG65525 UYC65525 VHY65525 VRU65525 WBQ65525 WLM65525 WVI65525 B131061 IW131061 SS131061 ACO131061 AMK131061 AWG131061 BGC131061 BPY131061 BZU131061 CJQ131061 CTM131061 DDI131061 DNE131061 DXA131061 EGW131061 EQS131061 FAO131061 FKK131061 FUG131061 GEC131061 GNY131061 GXU131061 HHQ131061 HRM131061 IBI131061 ILE131061 IVA131061 JEW131061 JOS131061 JYO131061 KIK131061 KSG131061 LCC131061 LLY131061 LVU131061 MFQ131061 MPM131061 MZI131061 NJE131061 NTA131061 OCW131061 OMS131061 OWO131061 PGK131061 PQG131061 QAC131061 QJY131061 QTU131061 RDQ131061 RNM131061 RXI131061 SHE131061 SRA131061 TAW131061 TKS131061 TUO131061 UEK131061 UOG131061 UYC131061 VHY131061 VRU131061 WBQ131061 WLM131061 WVI131061 B196597 IW196597 SS196597 ACO196597 AMK196597 AWG196597 BGC196597 BPY196597 BZU196597 CJQ196597 CTM196597 DDI196597 DNE196597 DXA196597 EGW196597 EQS196597 FAO196597 FKK196597 FUG196597 GEC196597 GNY196597 GXU196597 HHQ196597 HRM196597 IBI196597 ILE196597 IVA196597 JEW196597 JOS196597 JYO196597 KIK196597 KSG196597 LCC196597 LLY196597 LVU196597 MFQ196597 MPM196597 MZI196597 NJE196597 NTA196597 OCW196597 OMS196597 OWO196597 PGK196597 PQG196597 QAC196597 QJY196597 QTU196597 RDQ196597 RNM196597 RXI196597 SHE196597 SRA196597 TAW196597 TKS196597 TUO196597 UEK196597 UOG196597 UYC196597 VHY196597 VRU196597 WBQ196597 WLM196597 WVI196597 B262133 IW262133 SS262133 ACO262133 AMK262133 AWG262133 BGC262133 BPY262133 BZU262133 CJQ262133 CTM262133 DDI262133 DNE262133 DXA262133 EGW262133 EQS262133 FAO262133 FKK262133 FUG262133 GEC262133 GNY262133 GXU262133 HHQ262133 HRM262133 IBI262133 ILE262133 IVA262133 JEW262133 JOS262133 JYO262133 KIK262133 KSG262133 LCC262133 LLY262133 LVU262133 MFQ262133 MPM262133 MZI262133 NJE262133 NTA262133 OCW262133 OMS262133 OWO262133 PGK262133 PQG262133 QAC262133 QJY262133 QTU262133 RDQ262133 RNM262133 RXI262133 SHE262133 SRA262133 TAW262133 TKS262133 TUO262133 UEK262133 UOG262133 UYC262133 VHY262133 VRU262133 WBQ262133 WLM262133 WVI262133 B327669 IW327669 SS327669 ACO327669 AMK327669 AWG327669 BGC327669 BPY327669 BZU327669 CJQ327669 CTM327669 DDI327669 DNE327669 DXA327669 EGW327669 EQS327669 FAO327669 FKK327669 FUG327669 GEC327669 GNY327669 GXU327669 HHQ327669 HRM327669 IBI327669 ILE327669 IVA327669 JEW327669 JOS327669 JYO327669 KIK327669 KSG327669 LCC327669 LLY327669 LVU327669 MFQ327669 MPM327669 MZI327669 NJE327669 NTA327669 OCW327669 OMS327669 OWO327669 PGK327669 PQG327669 QAC327669 QJY327669 QTU327669 RDQ327669 RNM327669 RXI327669 SHE327669 SRA327669 TAW327669 TKS327669 TUO327669 UEK327669 UOG327669 UYC327669 VHY327669 VRU327669 WBQ327669 WLM327669 WVI327669 B393205 IW393205 SS393205 ACO393205 AMK393205 AWG393205 BGC393205 BPY393205 BZU393205 CJQ393205 CTM393205 DDI393205 DNE393205 DXA393205 EGW393205 EQS393205 FAO393205 FKK393205 FUG393205 GEC393205 GNY393205 GXU393205 HHQ393205 HRM393205 IBI393205 ILE393205 IVA393205 JEW393205 JOS393205 JYO393205 KIK393205 KSG393205 LCC393205 LLY393205 LVU393205 MFQ393205 MPM393205 MZI393205 NJE393205 NTA393205 OCW393205 OMS393205 OWO393205 PGK393205 PQG393205 QAC393205 QJY393205 QTU393205 RDQ393205 RNM393205 RXI393205 SHE393205 SRA393205 TAW393205 TKS393205 TUO393205 UEK393205 UOG393205 UYC393205 VHY393205 VRU393205 WBQ393205 WLM393205 WVI393205 B458741 IW458741 SS458741 ACO458741 AMK458741 AWG458741 BGC458741 BPY458741 BZU458741 CJQ458741 CTM458741 DDI458741 DNE458741 DXA458741 EGW458741 EQS458741 FAO458741 FKK458741 FUG458741 GEC458741 GNY458741 GXU458741 HHQ458741 HRM458741 IBI458741 ILE458741 IVA458741 JEW458741 JOS458741 JYO458741 KIK458741 KSG458741 LCC458741 LLY458741 LVU458741 MFQ458741 MPM458741 MZI458741 NJE458741 NTA458741 OCW458741 OMS458741 OWO458741 PGK458741 PQG458741 QAC458741 QJY458741 QTU458741 RDQ458741 RNM458741 RXI458741 SHE458741 SRA458741 TAW458741 TKS458741 TUO458741 UEK458741 UOG458741 UYC458741 VHY458741 VRU458741 WBQ458741 WLM458741 WVI458741 B524277 IW524277 SS524277 ACO524277 AMK524277 AWG524277 BGC524277 BPY524277 BZU524277 CJQ524277 CTM524277 DDI524277 DNE524277 DXA524277 EGW524277 EQS524277 FAO524277 FKK524277 FUG524277 GEC524277 GNY524277 GXU524277 HHQ524277 HRM524277 IBI524277 ILE524277 IVA524277 JEW524277 JOS524277 JYO524277 KIK524277 KSG524277 LCC524277 LLY524277 LVU524277 MFQ524277 MPM524277 MZI524277 NJE524277 NTA524277 OCW524277 OMS524277 OWO524277 PGK524277 PQG524277 QAC524277 QJY524277 QTU524277 RDQ524277 RNM524277 RXI524277 SHE524277 SRA524277 TAW524277 TKS524277 TUO524277 UEK524277 UOG524277 UYC524277 VHY524277 VRU524277 WBQ524277 WLM524277 WVI524277 B589813 IW589813 SS589813 ACO589813 AMK589813 AWG589813 BGC589813 BPY589813 BZU589813 CJQ589813 CTM589813 DDI589813 DNE589813 DXA589813 EGW589813 EQS589813 FAO589813 FKK589813 FUG589813 GEC589813 GNY589813 GXU589813 HHQ589813 HRM589813 IBI589813 ILE589813 IVA589813 JEW589813 JOS589813 JYO589813 KIK589813 KSG589813 LCC589813 LLY589813 LVU589813 MFQ589813 MPM589813 MZI589813 NJE589813 NTA589813 OCW589813 OMS589813 OWO589813 PGK589813 PQG589813 QAC589813 QJY589813 QTU589813 RDQ589813 RNM589813 RXI589813 SHE589813 SRA589813 TAW589813 TKS589813 TUO589813 UEK589813 UOG589813 UYC589813 VHY589813 VRU589813 WBQ589813 WLM589813 WVI589813 B655349 IW655349 SS655349 ACO655349 AMK655349 AWG655349 BGC655349 BPY655349 BZU655349 CJQ655349 CTM655349 DDI655349 DNE655349 DXA655349 EGW655349 EQS655349 FAO655349 FKK655349 FUG655349 GEC655349 GNY655349 GXU655349 HHQ655349 HRM655349 IBI655349 ILE655349 IVA655349 JEW655349 JOS655349 JYO655349 KIK655349 KSG655349 LCC655349 LLY655349 LVU655349 MFQ655349 MPM655349 MZI655349 NJE655349 NTA655349 OCW655349 OMS655349 OWO655349 PGK655349 PQG655349 QAC655349 QJY655349 QTU655349 RDQ655349 RNM655349 RXI655349 SHE655349 SRA655349 TAW655349 TKS655349 TUO655349 UEK655349 UOG655349 UYC655349 VHY655349 VRU655349 WBQ655349 WLM655349 WVI655349 B720885 IW720885 SS720885 ACO720885 AMK720885 AWG720885 BGC720885 BPY720885 BZU720885 CJQ720885 CTM720885 DDI720885 DNE720885 DXA720885 EGW720885 EQS720885 FAO720885 FKK720885 FUG720885 GEC720885 GNY720885 GXU720885 HHQ720885 HRM720885 IBI720885 ILE720885 IVA720885 JEW720885 JOS720885 JYO720885 KIK720885 KSG720885 LCC720885 LLY720885 LVU720885 MFQ720885 MPM720885 MZI720885 NJE720885 NTA720885 OCW720885 OMS720885 OWO720885 PGK720885 PQG720885 QAC720885 QJY720885 QTU720885 RDQ720885 RNM720885 RXI720885 SHE720885 SRA720885 TAW720885 TKS720885 TUO720885 UEK720885 UOG720885 UYC720885 VHY720885 VRU720885 WBQ720885 WLM720885 WVI720885 B786421 IW786421 SS786421 ACO786421 AMK786421 AWG786421 BGC786421 BPY786421 BZU786421 CJQ786421 CTM786421 DDI786421 DNE786421 DXA786421 EGW786421 EQS786421 FAO786421 FKK786421 FUG786421 GEC786421 GNY786421 GXU786421 HHQ786421 HRM786421 IBI786421 ILE786421 IVA786421 JEW786421 JOS786421 JYO786421 KIK786421 KSG786421 LCC786421 LLY786421 LVU786421 MFQ786421 MPM786421 MZI786421 NJE786421 NTA786421 OCW786421 OMS786421 OWO786421 PGK786421 PQG786421 QAC786421 QJY786421 QTU786421 RDQ786421 RNM786421 RXI786421 SHE786421 SRA786421 TAW786421 TKS786421 TUO786421 UEK786421 UOG786421 UYC786421 VHY786421 VRU786421 WBQ786421 WLM786421 WVI786421 B851957 IW851957 SS851957 ACO851957 AMK851957 AWG851957 BGC851957 BPY851957 BZU851957 CJQ851957 CTM851957 DDI851957 DNE851957 DXA851957 EGW851957 EQS851957 FAO851957 FKK851957 FUG851957 GEC851957 GNY851957 GXU851957 HHQ851957 HRM851957 IBI851957 ILE851957 IVA851957 JEW851957 JOS851957 JYO851957 KIK851957 KSG851957 LCC851957 LLY851957 LVU851957 MFQ851957 MPM851957 MZI851957 NJE851957 NTA851957 OCW851957 OMS851957 OWO851957 PGK851957 PQG851957 QAC851957 QJY851957 QTU851957 RDQ851957 RNM851957 RXI851957 SHE851957 SRA851957 TAW851957 TKS851957 TUO851957 UEK851957 UOG851957 UYC851957 VHY851957 VRU851957 WBQ851957 WLM851957 WVI851957 B917493 IW917493 SS917493 ACO917493 AMK917493 AWG917493 BGC917493 BPY917493 BZU917493 CJQ917493 CTM917493 DDI917493 DNE917493 DXA917493 EGW917493 EQS917493 FAO917493 FKK917493 FUG917493 GEC917493 GNY917493 GXU917493 HHQ917493 HRM917493 IBI917493 ILE917493 IVA917493 JEW917493 JOS917493 JYO917493 KIK917493 KSG917493 LCC917493 LLY917493 LVU917493 MFQ917493 MPM917493 MZI917493 NJE917493 NTA917493 OCW917493 OMS917493 OWO917493 PGK917493 PQG917493 QAC917493 QJY917493 QTU917493 RDQ917493 RNM917493 RXI917493 SHE917493 SRA917493 TAW917493 TKS917493 TUO917493 UEK917493 UOG917493 UYC917493 VHY917493 VRU917493 WBQ917493 WLM917493 WVI917493 B983029 IW983029 SS983029 ACO983029 AMK983029 AWG983029 BGC983029 BPY983029 BZU983029 CJQ983029 CTM983029 DDI983029 DNE983029 DXA983029 EGW983029 EQS983029 FAO983029 FKK983029 FUG983029 GEC983029 GNY983029 GXU983029 HHQ983029 HRM983029 IBI983029 ILE983029 IVA983029 JEW983029 JOS983029 JYO983029 KIK983029 KSG983029 LCC983029 LLY983029 LVU983029 MFQ983029 MPM983029 MZI983029 NJE983029 NTA983029 OCW983029 OMS983029 OWO983029 PGK983029 PQG983029 QAC983029 QJY983029 QTU983029 RDQ983029 RNM983029 RXI983029 SHE983029 SRA983029 TAW983029 TKS983029 TUO983029 UEK983029 UOG983029 UYC983029 VHY983029 VRU983029 WBQ983029 WLM983029">
      <formula1>Demand</formula1>
    </dataValidation>
  </dataValidation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'Data for Bill Impacts'!$A$12:$A$21</xm:f>
          </x14:formula1>
          <xm:sqref>B3</xm:sqref>
        </x14:dataValidation>
        <x14:dataValidation type="list" allowBlank="1" showInputMessage="1" showErrorMessage="1">
          <x14:formula1>
            <xm:f>'Data for Bill Impacts'!$A$3:$A$39</xm:f>
          </x14:formula1>
          <xm:sqref>C3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1" tint="0.499984740745262"/>
    <pageSetUpPr fitToPage="1"/>
  </sheetPr>
  <dimension ref="A1:K68"/>
  <sheetViews>
    <sheetView view="pageBreakPreview" topLeftCell="A19" zoomScaleNormal="100" zoomScaleSheetLayoutView="100" workbookViewId="0">
      <selection activeCell="C19" sqref="C19"/>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48" t="s">
        <v>110</v>
      </c>
      <c r="B1" s="349"/>
      <c r="C1" s="349"/>
      <c r="D1" s="349"/>
      <c r="E1" s="349"/>
      <c r="F1" s="349"/>
      <c r="G1" s="349"/>
      <c r="H1" s="349"/>
      <c r="I1" s="349"/>
      <c r="J1" s="349"/>
      <c r="K1" s="350"/>
    </row>
    <row r="3" spans="1:11" x14ac:dyDescent="0.2">
      <c r="A3" s="13" t="s">
        <v>13</v>
      </c>
      <c r="B3" s="13" t="s">
        <v>0</v>
      </c>
    </row>
    <row r="4" spans="1:11" x14ac:dyDescent="0.2">
      <c r="A4" s="15" t="s">
        <v>62</v>
      </c>
      <c r="B4" s="15">
        <v>750</v>
      </c>
    </row>
    <row r="5" spans="1:11" x14ac:dyDescent="0.2">
      <c r="A5" s="15" t="s">
        <v>16</v>
      </c>
      <c r="B5" s="15">
        <f>VLOOKUP($B$3,'Data for Bill Impacts'!$A$3:$Y$15,5,0)</f>
        <v>0</v>
      </c>
    </row>
    <row r="6" spans="1:11" x14ac:dyDescent="0.2">
      <c r="A6" s="15" t="s">
        <v>20</v>
      </c>
      <c r="B6" s="15">
        <f>VLOOKUP($B$3,'Data for Bill Impacts'!$A$3:$Y$15,2,0)</f>
        <v>1.0569999999999999</v>
      </c>
    </row>
    <row r="7" spans="1:11" x14ac:dyDescent="0.2">
      <c r="A7" s="15" t="s">
        <v>15</v>
      </c>
      <c r="B7" s="15">
        <f>VLOOKUP($B$3,'Data for Bill Impacts'!$A$3:$Y$15,4,0)</f>
        <v>600</v>
      </c>
    </row>
    <row r="8" spans="1:11" x14ac:dyDescent="0.2">
      <c r="A8" s="15" t="s">
        <v>82</v>
      </c>
      <c r="B8" s="193">
        <f>B4*B6</f>
        <v>792.75</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0.10299999999999999</v>
      </c>
      <c r="D12" s="104">
        <f>B12*C12</f>
        <v>61.8</v>
      </c>
      <c r="E12" s="102">
        <f>B12</f>
        <v>600</v>
      </c>
      <c r="F12" s="103">
        <f>C12</f>
        <v>0.10299999999999999</v>
      </c>
      <c r="G12" s="104">
        <f>E12*F12</f>
        <v>61.8</v>
      </c>
      <c r="H12" s="104">
        <f>G12-D12</f>
        <v>0</v>
      </c>
      <c r="I12" s="105">
        <f>IF(ISERROR(H12/D12),0,(H12/D12))</f>
        <v>0</v>
      </c>
      <c r="J12" s="105">
        <f>G12/$G$46</f>
        <v>0.42181839254122699</v>
      </c>
      <c r="K12" s="106"/>
    </row>
    <row r="13" spans="1:11" x14ac:dyDescent="0.2">
      <c r="A13" s="107" t="s">
        <v>32</v>
      </c>
      <c r="B13" s="73">
        <f>IF(B4&gt;B7,(B4)-B7,0)</f>
        <v>150</v>
      </c>
      <c r="C13" s="21">
        <v>0.121</v>
      </c>
      <c r="D13" s="22">
        <f>B13*C13</f>
        <v>18.149999999999999</v>
      </c>
      <c r="E13" s="73">
        <f t="shared" ref="E13" si="0">B13</f>
        <v>150</v>
      </c>
      <c r="F13" s="21">
        <f>C13</f>
        <v>0.121</v>
      </c>
      <c r="G13" s="22">
        <f>E13*F13</f>
        <v>18.149999999999999</v>
      </c>
      <c r="H13" s="22">
        <f t="shared" ref="H13:H46" si="1">G13-D13</f>
        <v>0</v>
      </c>
      <c r="I13" s="23">
        <f t="shared" ref="I13:I46" si="2">IF(ISERROR(H13/D13),0,(H13/D13))</f>
        <v>0</v>
      </c>
      <c r="J13" s="23">
        <f>G13/$G$46</f>
        <v>0.123883557032739</v>
      </c>
      <c r="K13" s="108"/>
    </row>
    <row r="14" spans="1:11" s="1" customFormat="1" x14ac:dyDescent="0.2">
      <c r="A14" s="46" t="s">
        <v>33</v>
      </c>
      <c r="B14" s="24"/>
      <c r="C14" s="25"/>
      <c r="D14" s="25">
        <f>SUM(D12:D13)</f>
        <v>79.949999999999989</v>
      </c>
      <c r="E14" s="76"/>
      <c r="F14" s="25"/>
      <c r="G14" s="25">
        <f>SUM(G12:G13)</f>
        <v>79.949999999999989</v>
      </c>
      <c r="H14" s="25">
        <f t="shared" si="1"/>
        <v>0</v>
      </c>
      <c r="I14" s="27">
        <f t="shared" si="2"/>
        <v>0</v>
      </c>
      <c r="J14" s="27">
        <f>G14/$G$46</f>
        <v>0.54570194957396589</v>
      </c>
      <c r="K14" s="108"/>
    </row>
    <row r="15" spans="1:11" s="1" customFormat="1" x14ac:dyDescent="0.2">
      <c r="A15" s="109" t="s">
        <v>34</v>
      </c>
      <c r="B15" s="75">
        <f>B4*0.65</f>
        <v>487.5</v>
      </c>
      <c r="C15" s="28">
        <v>8.6999999999999994E-2</v>
      </c>
      <c r="D15" s="22">
        <f>B15*C15</f>
        <v>42.412499999999994</v>
      </c>
      <c r="E15" s="73">
        <f t="shared" ref="E15:F17" si="3">B15</f>
        <v>487.5</v>
      </c>
      <c r="F15" s="28">
        <f t="shared" si="3"/>
        <v>8.6999999999999994E-2</v>
      </c>
      <c r="G15" s="22">
        <f>E15*F15</f>
        <v>42.412499999999994</v>
      </c>
      <c r="H15" s="22">
        <f t="shared" si="1"/>
        <v>0</v>
      </c>
      <c r="I15" s="23">
        <f t="shared" si="2"/>
        <v>0</v>
      </c>
      <c r="J15" s="23"/>
      <c r="K15" s="108">
        <f t="shared" ref="K15:K26" si="4">G15/$G$51</f>
        <v>0.28303434833529739</v>
      </c>
    </row>
    <row r="16" spans="1:11" s="1" customFormat="1" x14ac:dyDescent="0.2">
      <c r="A16" s="109" t="s">
        <v>35</v>
      </c>
      <c r="B16" s="75">
        <f>B4*0.17</f>
        <v>127.50000000000001</v>
      </c>
      <c r="C16" s="28">
        <v>0.13200000000000001</v>
      </c>
      <c r="D16" s="22">
        <f>B16*C16</f>
        <v>16.830000000000002</v>
      </c>
      <c r="E16" s="73">
        <f t="shared" si="3"/>
        <v>127.50000000000001</v>
      </c>
      <c r="F16" s="28">
        <f t="shared" si="3"/>
        <v>0.13200000000000001</v>
      </c>
      <c r="G16" s="22">
        <f>E16*F16</f>
        <v>16.830000000000002</v>
      </c>
      <c r="H16" s="22">
        <f t="shared" si="1"/>
        <v>0</v>
      </c>
      <c r="I16" s="23">
        <f t="shared" si="2"/>
        <v>0</v>
      </c>
      <c r="J16" s="23"/>
      <c r="K16" s="108">
        <f t="shared" si="4"/>
        <v>0.11231283424657958</v>
      </c>
    </row>
    <row r="17" spans="1:11" s="1" customFormat="1" x14ac:dyDescent="0.2">
      <c r="A17" s="109" t="s">
        <v>36</v>
      </c>
      <c r="B17" s="75">
        <f>B4*0.18</f>
        <v>135</v>
      </c>
      <c r="C17" s="28">
        <v>0.18</v>
      </c>
      <c r="D17" s="22">
        <f>B17*C17</f>
        <v>24.3</v>
      </c>
      <c r="E17" s="73">
        <f t="shared" si="3"/>
        <v>135</v>
      </c>
      <c r="F17" s="28">
        <f t="shared" si="3"/>
        <v>0.18</v>
      </c>
      <c r="G17" s="22">
        <f>E17*F17</f>
        <v>24.3</v>
      </c>
      <c r="H17" s="22">
        <f t="shared" si="1"/>
        <v>0</v>
      </c>
      <c r="I17" s="23">
        <f t="shared" si="2"/>
        <v>0</v>
      </c>
      <c r="J17" s="23"/>
      <c r="K17" s="108">
        <f t="shared" si="4"/>
        <v>0.16216291575709349</v>
      </c>
    </row>
    <row r="18" spans="1:11" s="1" customFormat="1" x14ac:dyDescent="0.2">
      <c r="A18" s="61" t="s">
        <v>37</v>
      </c>
      <c r="B18" s="29"/>
      <c r="C18" s="30"/>
      <c r="D18" s="30">
        <f>SUM(D15:D17)</f>
        <v>83.54249999999999</v>
      </c>
      <c r="E18" s="77"/>
      <c r="F18" s="30"/>
      <c r="G18" s="30">
        <f>SUM(G15:G17)</f>
        <v>83.54249999999999</v>
      </c>
      <c r="H18" s="31">
        <f t="shared" si="1"/>
        <v>0</v>
      </c>
      <c r="I18" s="32">
        <f t="shared" si="2"/>
        <v>0</v>
      </c>
      <c r="J18" s="33">
        <f t="shared" ref="J18:J23" si="5">G18/$G$46</f>
        <v>0.57022270321804935</v>
      </c>
      <c r="K18" s="62">
        <f t="shared" si="4"/>
        <v>0.55751009833897047</v>
      </c>
    </row>
    <row r="19" spans="1:11" x14ac:dyDescent="0.2">
      <c r="A19" s="107" t="s">
        <v>38</v>
      </c>
      <c r="B19" s="73">
        <v>1</v>
      </c>
      <c r="C19" s="78">
        <f>VLOOKUP($B$3,'Data for Bill Impacts'!$A$3:$Y$15,7,0)</f>
        <v>35.880000000000003</v>
      </c>
      <c r="D19" s="22">
        <f>B19*C19</f>
        <v>35.880000000000003</v>
      </c>
      <c r="E19" s="73">
        <f t="shared" ref="E19:E41" si="6">B19</f>
        <v>1</v>
      </c>
      <c r="F19" s="78">
        <f>VLOOKUP($B$3,'Data for Bill Impacts'!$A$3:$Y$15,17,0)</f>
        <v>36.72</v>
      </c>
      <c r="G19" s="22">
        <f>E19*F19</f>
        <v>36.72</v>
      </c>
      <c r="H19" s="22">
        <f t="shared" si="1"/>
        <v>0.83999999999999631</v>
      </c>
      <c r="I19" s="23">
        <f t="shared" si="2"/>
        <v>2.3411371237458088E-2</v>
      </c>
      <c r="J19" s="23">
        <f t="shared" si="5"/>
        <v>0.25063384100507857</v>
      </c>
      <c r="K19" s="108">
        <f t="shared" si="4"/>
        <v>0.24504618381071905</v>
      </c>
    </row>
    <row r="20" spans="1:11" hidden="1" x14ac:dyDescent="0.2">
      <c r="A20" s="107" t="s">
        <v>83</v>
      </c>
      <c r="B20" s="73">
        <v>1</v>
      </c>
      <c r="C20" s="78">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145</v>
      </c>
      <c r="B21" s="73">
        <v>1</v>
      </c>
      <c r="C21" s="78">
        <v>0</v>
      </c>
      <c r="D21" s="22">
        <f t="shared" ref="D21:D22" si="8">B21*C21</f>
        <v>0</v>
      </c>
      <c r="E21" s="73">
        <f t="shared" si="6"/>
        <v>1</v>
      </c>
      <c r="F21" s="122">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0.01</v>
      </c>
      <c r="D22" s="22">
        <f t="shared" si="8"/>
        <v>0.01</v>
      </c>
      <c r="E22" s="73">
        <f t="shared" si="6"/>
        <v>1</v>
      </c>
      <c r="F22" s="122">
        <f>VLOOKUP($B$3,'Data for Bill Impacts'!$A$3:$Y$15,22,0)</f>
        <v>0.01</v>
      </c>
      <c r="G22" s="22">
        <f t="shared" si="7"/>
        <v>0.01</v>
      </c>
      <c r="H22" s="22">
        <f t="shared" si="1"/>
        <v>0</v>
      </c>
      <c r="I22" s="23">
        <f t="shared" si="2"/>
        <v>0</v>
      </c>
      <c r="J22" s="23">
        <f t="shared" si="5"/>
        <v>6.8255403323823141E-5</v>
      </c>
      <c r="K22" s="108">
        <f t="shared" si="4"/>
        <v>6.6733710188104315E-5</v>
      </c>
    </row>
    <row r="23" spans="1:11" x14ac:dyDescent="0.2">
      <c r="A23" s="107" t="s">
        <v>39</v>
      </c>
      <c r="B23" s="73">
        <f>IF($B$9="kWh",$B$4,$B$5)</f>
        <v>750</v>
      </c>
      <c r="C23" s="126">
        <f>VLOOKUP($B$3,'Data for Bill Impacts'!$A$3:$Y$15,10,0)</f>
        <v>0</v>
      </c>
      <c r="D23" s="22">
        <f>B23*C23</f>
        <v>0</v>
      </c>
      <c r="E23" s="73">
        <f t="shared" si="6"/>
        <v>750</v>
      </c>
      <c r="F23" s="78">
        <f>VLOOKUP($B$3,'Data for Bill Impacts'!$A$3:$Y$15,19,0)</f>
        <v>0</v>
      </c>
      <c r="G23" s="22">
        <f>E23*F23</f>
        <v>0</v>
      </c>
      <c r="H23" s="22">
        <f t="shared" si="1"/>
        <v>0</v>
      </c>
      <c r="I23" s="23">
        <f t="shared" si="2"/>
        <v>0</v>
      </c>
      <c r="J23" s="23">
        <f t="shared" si="5"/>
        <v>0</v>
      </c>
      <c r="K23" s="108">
        <f t="shared" si="4"/>
        <v>0</v>
      </c>
    </row>
    <row r="24" spans="1:11" x14ac:dyDescent="0.2">
      <c r="A24" s="107" t="s">
        <v>194</v>
      </c>
      <c r="B24" s="73">
        <f>IF($B$9="kWh",$B$4,$B$5)</f>
        <v>750</v>
      </c>
      <c r="C24" s="126">
        <f>VLOOKUP($B$3,'Data for Bill Impacts'!$A$3:$Y$15,14,0)</f>
        <v>2.0000000000000001E-4</v>
      </c>
      <c r="D24" s="22">
        <f>B24*C24</f>
        <v>0.15</v>
      </c>
      <c r="E24" s="73">
        <f t="shared" si="6"/>
        <v>750</v>
      </c>
      <c r="F24" s="126">
        <f>VLOOKUP($B$3,'Data for Bill Impacts'!$A$3:$Y$15,23,0)</f>
        <v>2.0000000000000001E-4</v>
      </c>
      <c r="G24" s="22">
        <f>E24*F24</f>
        <v>0.15</v>
      </c>
      <c r="H24" s="22">
        <f t="shared" si="1"/>
        <v>0</v>
      </c>
      <c r="I24" s="23">
        <f>IF(ISERROR(H24/D24),0,(H24/D24))</f>
        <v>0</v>
      </c>
      <c r="J24" s="23">
        <f t="shared" ref="J24" si="9">G24/$G$46</f>
        <v>1.023831049857347E-3</v>
      </c>
      <c r="K24" s="108">
        <f t="shared" si="4"/>
        <v>1.0010056528215647E-3</v>
      </c>
    </row>
    <row r="25" spans="1:11" s="1" customFormat="1" x14ac:dyDescent="0.2">
      <c r="A25" s="110" t="s">
        <v>72</v>
      </c>
      <c r="B25" s="74"/>
      <c r="C25" s="35"/>
      <c r="D25" s="35">
        <f>SUM(D19:D24)</f>
        <v>36.04</v>
      </c>
      <c r="E25" s="73"/>
      <c r="F25" s="35"/>
      <c r="G25" s="35">
        <f>SUM(G19:G24)</f>
        <v>36.879999999999995</v>
      </c>
      <c r="H25" s="35">
        <f t="shared" si="1"/>
        <v>0.83999999999999631</v>
      </c>
      <c r="I25" s="36">
        <f t="shared" si="2"/>
        <v>2.3307436182019876E-2</v>
      </c>
      <c r="J25" s="36">
        <f>G25/$G$46</f>
        <v>0.25172592745825972</v>
      </c>
      <c r="K25" s="111">
        <f t="shared" si="4"/>
        <v>0.24611392317372868</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G26/$G$46</f>
        <v>5.3921768625820286E-3</v>
      </c>
      <c r="K26" s="108">
        <f t="shared" si="4"/>
        <v>5.2719631048602413E-3</v>
      </c>
    </row>
    <row r="27" spans="1:11" s="1" customFormat="1" x14ac:dyDescent="0.2">
      <c r="A27" s="119" t="s">
        <v>75</v>
      </c>
      <c r="B27" s="120">
        <f>B8-B4</f>
        <v>42.75</v>
      </c>
      <c r="C27" s="121">
        <f>IF(B4&gt;B7,C13,C12)</f>
        <v>0.121</v>
      </c>
      <c r="D27" s="22">
        <f>B27*C27</f>
        <v>5.1727499999999997</v>
      </c>
      <c r="E27" s="73">
        <f>B27</f>
        <v>42.75</v>
      </c>
      <c r="F27" s="121">
        <f>C27</f>
        <v>0.121</v>
      </c>
      <c r="G27" s="22">
        <f>E27*F27</f>
        <v>5.1727499999999997</v>
      </c>
      <c r="H27" s="22">
        <f t="shared" si="1"/>
        <v>0</v>
      </c>
      <c r="I27" s="23">
        <f>IF(ISERROR(H27/D27),0,(H27/D27))</f>
        <v>0</v>
      </c>
      <c r="J27" s="23">
        <f t="shared" ref="J27:J46" si="10">G27/$G$46</f>
        <v>3.5306813754330611E-2</v>
      </c>
      <c r="K27" s="108">
        <f t="shared" ref="K27:K41" si="11">G27/$G$51</f>
        <v>3.4519679937551659E-2</v>
      </c>
    </row>
    <row r="28" spans="1:11" s="1" customFormat="1" x14ac:dyDescent="0.2">
      <c r="A28" s="119" t="s">
        <v>74</v>
      </c>
      <c r="B28" s="120">
        <f>B8-B4</f>
        <v>42.75</v>
      </c>
      <c r="C28" s="121">
        <f>0.65*C15+0.17*C16+0.18*C17</f>
        <v>0.11139</v>
      </c>
      <c r="D28" s="22">
        <f>B28*C28</f>
        <v>4.7619224999999998</v>
      </c>
      <c r="E28" s="73">
        <f>B28</f>
        <v>42.75</v>
      </c>
      <c r="F28" s="121">
        <f>C28</f>
        <v>0.11139</v>
      </c>
      <c r="G28" s="22">
        <f>E28*F28</f>
        <v>4.7619224999999998</v>
      </c>
      <c r="H28" s="22">
        <f t="shared" si="1"/>
        <v>0</v>
      </c>
      <c r="I28" s="23">
        <f>IF(ISERROR(H28/D28),0,(H28/D28))</f>
        <v>0</v>
      </c>
      <c r="J28" s="23">
        <f t="shared" si="10"/>
        <v>3.2502694083428818E-2</v>
      </c>
      <c r="K28" s="108">
        <f t="shared" si="11"/>
        <v>3.1778075605321317E-2</v>
      </c>
    </row>
    <row r="29" spans="1:11" s="1" customFormat="1" x14ac:dyDescent="0.2">
      <c r="A29" s="110" t="s">
        <v>78</v>
      </c>
      <c r="B29" s="74"/>
      <c r="C29" s="35"/>
      <c r="D29" s="35">
        <f>SUM(D25,D26:D27)</f>
        <v>42.002749999999999</v>
      </c>
      <c r="E29" s="73"/>
      <c r="F29" s="35"/>
      <c r="G29" s="35">
        <f>SUM(G25,G26:G27)</f>
        <v>42.842749999999995</v>
      </c>
      <c r="H29" s="35">
        <f t="shared" si="1"/>
        <v>0.83999999999999631</v>
      </c>
      <c r="I29" s="36">
        <f>IF(ISERROR(H29/D29),0,(H29/D29))</f>
        <v>1.9998690561927407E-2</v>
      </c>
      <c r="J29" s="36">
        <f t="shared" si="10"/>
        <v>0.29242491807517235</v>
      </c>
      <c r="K29" s="111">
        <f t="shared" si="11"/>
        <v>0.28590556621614061</v>
      </c>
    </row>
    <row r="30" spans="1:11" s="1" customFormat="1" x14ac:dyDescent="0.2">
      <c r="A30" s="110" t="s">
        <v>77</v>
      </c>
      <c r="B30" s="74"/>
      <c r="C30" s="35"/>
      <c r="D30" s="35">
        <f>SUM(D25,D26,D28)</f>
        <v>41.591922499999995</v>
      </c>
      <c r="E30" s="73"/>
      <c r="F30" s="35"/>
      <c r="G30" s="35">
        <f>SUM(G25,G26,G28)</f>
        <v>42.431922499999992</v>
      </c>
      <c r="H30" s="35">
        <f t="shared" si="1"/>
        <v>0.83999999999999631</v>
      </c>
      <c r="I30" s="36">
        <f>IF(ISERROR(H30/D30),0,(H30/D30))</f>
        <v>2.0196229207726485E-2</v>
      </c>
      <c r="J30" s="36">
        <f t="shared" si="10"/>
        <v>0.28962079840427052</v>
      </c>
      <c r="K30" s="111">
        <f t="shared" si="11"/>
        <v>0.28316396188391024</v>
      </c>
    </row>
    <row r="31" spans="1:11" x14ac:dyDescent="0.2">
      <c r="A31" s="107" t="s">
        <v>40</v>
      </c>
      <c r="B31" s="73">
        <f>B8</f>
        <v>792.75</v>
      </c>
      <c r="C31" s="126">
        <f>VLOOKUP($B$3,'Data for Bill Impacts'!$A$3:$Y$15,15,0)</f>
        <v>7.8279999999999999E-3</v>
      </c>
      <c r="D31" s="22">
        <f>B31*C31</f>
        <v>6.2056469999999999</v>
      </c>
      <c r="E31" s="73">
        <f t="shared" si="6"/>
        <v>792.75</v>
      </c>
      <c r="F31" s="78">
        <f>VLOOKUP($B$3,'Data for Bill Impacts'!$A$3:$Y$15,24,0)</f>
        <v>7.7000000000000002E-3</v>
      </c>
      <c r="G31" s="22">
        <f>E31*F31</f>
        <v>6.1041750000000006</v>
      </c>
      <c r="H31" s="22">
        <f t="shared" si="1"/>
        <v>-0.10147199999999934</v>
      </c>
      <c r="I31" s="23">
        <f t="shared" si="2"/>
        <v>-1.635155850792018E-2</v>
      </c>
      <c r="J31" s="23">
        <f t="shared" si="10"/>
        <v>4.1664292658419817E-2</v>
      </c>
      <c r="K31" s="108">
        <f t="shared" si="11"/>
        <v>4.0735424538747171E-2</v>
      </c>
    </row>
    <row r="32" spans="1:11" x14ac:dyDescent="0.2">
      <c r="A32" s="107" t="s">
        <v>41</v>
      </c>
      <c r="B32" s="73">
        <f>B8</f>
        <v>792.75</v>
      </c>
      <c r="C32" s="126">
        <f>VLOOKUP($B$3,'Data for Bill Impacts'!$A$3:$Y$15,16,0)</f>
        <v>6.4380000000000001E-3</v>
      </c>
      <c r="D32" s="22">
        <f>B32*C32</f>
        <v>5.1037245000000002</v>
      </c>
      <c r="E32" s="73">
        <f t="shared" si="6"/>
        <v>792.75</v>
      </c>
      <c r="F32" s="78">
        <f>VLOOKUP($B$3,'Data for Bill Impacts'!$A$3:$Y$15,25,0)</f>
        <v>6.3E-3</v>
      </c>
      <c r="G32" s="22">
        <f>E32*F32</f>
        <v>4.9943249999999999</v>
      </c>
      <c r="H32" s="22">
        <f t="shared" si="1"/>
        <v>-0.10939950000000032</v>
      </c>
      <c r="I32" s="23">
        <f t="shared" si="2"/>
        <v>-2.1435228331780118E-2</v>
      </c>
      <c r="J32" s="23">
        <f t="shared" si="10"/>
        <v>3.4088966720525297E-2</v>
      </c>
      <c r="K32" s="108">
        <f t="shared" si="11"/>
        <v>3.3328983713520409E-2</v>
      </c>
    </row>
    <row r="33" spans="1:11" s="1" customFormat="1" x14ac:dyDescent="0.2">
      <c r="A33" s="110" t="s">
        <v>76</v>
      </c>
      <c r="B33" s="74"/>
      <c r="C33" s="35"/>
      <c r="D33" s="35">
        <f>SUM(D31:D32)</f>
        <v>11.309371500000001</v>
      </c>
      <c r="E33" s="73"/>
      <c r="F33" s="35"/>
      <c r="G33" s="35">
        <f>SUM(G31:G32)</f>
        <v>11.098500000000001</v>
      </c>
      <c r="H33" s="35">
        <f t="shared" si="1"/>
        <v>-0.21087149999999966</v>
      </c>
      <c r="I33" s="36">
        <f t="shared" si="2"/>
        <v>-1.8645731108930291E-2</v>
      </c>
      <c r="J33" s="36">
        <f t="shared" si="10"/>
        <v>7.5753259378945129E-2</v>
      </c>
      <c r="K33" s="111">
        <f t="shared" si="11"/>
        <v>7.406440825226758E-2</v>
      </c>
    </row>
    <row r="34" spans="1:11" s="1" customFormat="1" x14ac:dyDescent="0.2">
      <c r="A34" s="110" t="s">
        <v>95</v>
      </c>
      <c r="B34" s="74"/>
      <c r="C34" s="35"/>
      <c r="D34" s="35">
        <f>D29+D33</f>
        <v>53.312121500000003</v>
      </c>
      <c r="E34" s="73"/>
      <c r="F34" s="35"/>
      <c r="G34" s="35">
        <f>G29+G33</f>
        <v>53.941249999999997</v>
      </c>
      <c r="H34" s="35">
        <f t="shared" si="1"/>
        <v>0.6291284999999931</v>
      </c>
      <c r="I34" s="36">
        <f t="shared" si="2"/>
        <v>1.1800852832314936E-2</v>
      </c>
      <c r="J34" s="36">
        <f t="shared" si="10"/>
        <v>0.36817817745411746</v>
      </c>
      <c r="K34" s="111">
        <f t="shared" si="11"/>
        <v>0.35996997446840817</v>
      </c>
    </row>
    <row r="35" spans="1:11" s="1" customFormat="1" x14ac:dyDescent="0.2">
      <c r="A35" s="110" t="s">
        <v>96</v>
      </c>
      <c r="B35" s="74"/>
      <c r="C35" s="35"/>
      <c r="D35" s="35">
        <f>D30+D33</f>
        <v>52.901293999999993</v>
      </c>
      <c r="E35" s="73"/>
      <c r="F35" s="35"/>
      <c r="G35" s="35">
        <f>G30+G33</f>
        <v>53.530422499999993</v>
      </c>
      <c r="H35" s="35">
        <f t="shared" si="1"/>
        <v>0.6291285000000002</v>
      </c>
      <c r="I35" s="36">
        <f t="shared" si="2"/>
        <v>1.1892497374449864E-2</v>
      </c>
      <c r="J35" s="36">
        <f t="shared" si="10"/>
        <v>0.36537405778321563</v>
      </c>
      <c r="K35" s="111">
        <f t="shared" si="11"/>
        <v>0.35722837013617781</v>
      </c>
    </row>
    <row r="36" spans="1:11" x14ac:dyDescent="0.2">
      <c r="A36" s="107" t="s">
        <v>42</v>
      </c>
      <c r="B36" s="73">
        <f>B8</f>
        <v>792.75</v>
      </c>
      <c r="C36" s="34">
        <v>3.5999999999999999E-3</v>
      </c>
      <c r="D36" s="22">
        <f>B36*C36</f>
        <v>2.8538999999999999</v>
      </c>
      <c r="E36" s="73">
        <f t="shared" si="6"/>
        <v>792.75</v>
      </c>
      <c r="F36" s="34">
        <v>3.5999999999999999E-3</v>
      </c>
      <c r="G36" s="22">
        <f>E36*F36</f>
        <v>2.8538999999999999</v>
      </c>
      <c r="H36" s="22">
        <f t="shared" si="1"/>
        <v>0</v>
      </c>
      <c r="I36" s="23">
        <f t="shared" si="2"/>
        <v>0</v>
      </c>
      <c r="J36" s="23">
        <f t="shared" si="10"/>
        <v>1.9479409554585884E-2</v>
      </c>
      <c r="K36" s="108">
        <f t="shared" si="11"/>
        <v>1.9045133550583092E-2</v>
      </c>
    </row>
    <row r="37" spans="1:11" x14ac:dyDescent="0.2">
      <c r="A37" s="107" t="s">
        <v>43</v>
      </c>
      <c r="B37" s="73">
        <f>B8</f>
        <v>792.75</v>
      </c>
      <c r="C37" s="34">
        <v>2.0999999999999999E-3</v>
      </c>
      <c r="D37" s="22">
        <f>B37*C37</f>
        <v>1.6647749999999999</v>
      </c>
      <c r="E37" s="73">
        <f t="shared" si="6"/>
        <v>792.75</v>
      </c>
      <c r="F37" s="34">
        <v>2.0999999999999999E-3</v>
      </c>
      <c r="G37" s="22">
        <f>E37*F37</f>
        <v>1.6647749999999999</v>
      </c>
      <c r="H37" s="22">
        <f>G37-D37</f>
        <v>0</v>
      </c>
      <c r="I37" s="23">
        <f t="shared" si="2"/>
        <v>0</v>
      </c>
      <c r="J37" s="23">
        <f t="shared" si="10"/>
        <v>1.1362988906841766E-2</v>
      </c>
      <c r="K37" s="108">
        <f t="shared" si="11"/>
        <v>1.1109661237840136E-2</v>
      </c>
    </row>
    <row r="38" spans="1:11" x14ac:dyDescent="0.2">
      <c r="A38" s="107" t="s">
        <v>100</v>
      </c>
      <c r="B38" s="73">
        <f>B8</f>
        <v>792.75</v>
      </c>
      <c r="C38" s="34">
        <v>1.1000000000000001E-3</v>
      </c>
      <c r="D38" s="22">
        <f>B38*C38</f>
        <v>0.87202500000000005</v>
      </c>
      <c r="E38" s="73">
        <f t="shared" si="6"/>
        <v>792.75</v>
      </c>
      <c r="F38" s="34">
        <v>1.1000000000000001E-3</v>
      </c>
      <c r="G38" s="22">
        <f>E38*F38</f>
        <v>0.87202500000000005</v>
      </c>
      <c r="H38" s="22">
        <f>G38-D38</f>
        <v>0</v>
      </c>
      <c r="I38" s="23">
        <f t="shared" ref="I38" si="12">IF(ISERROR(H38/D38),0,(H38/D38))</f>
        <v>0</v>
      </c>
      <c r="J38" s="23">
        <f t="shared" ref="J38" si="13">G38/$G$46</f>
        <v>5.9520418083456881E-3</v>
      </c>
      <c r="K38" s="108">
        <f t="shared" ref="K38" si="14">G38/$G$51</f>
        <v>5.8193463626781674E-3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10"/>
        <v>1.7063850830955785E-3</v>
      </c>
      <c r="K39" s="108">
        <f t="shared" si="11"/>
        <v>1.6683427547026079E-3</v>
      </c>
    </row>
    <row r="40" spans="1:11" s="1" customFormat="1" x14ac:dyDescent="0.2">
      <c r="A40" s="110" t="s">
        <v>45</v>
      </c>
      <c r="B40" s="74"/>
      <c r="C40" s="35"/>
      <c r="D40" s="35">
        <f>SUM(D36:D39)</f>
        <v>5.6406999999999998</v>
      </c>
      <c r="E40" s="73"/>
      <c r="F40" s="35"/>
      <c r="G40" s="35">
        <f>SUM(G36:G39)</f>
        <v>5.6406999999999998</v>
      </c>
      <c r="H40" s="35">
        <f t="shared" si="1"/>
        <v>0</v>
      </c>
      <c r="I40" s="36">
        <f t="shared" si="2"/>
        <v>0</v>
      </c>
      <c r="J40" s="36">
        <f t="shared" si="10"/>
        <v>3.8500825352868917E-2</v>
      </c>
      <c r="K40" s="111">
        <f t="shared" si="11"/>
        <v>3.7642483905803999E-2</v>
      </c>
    </row>
    <row r="41" spans="1:11" s="1" customFormat="1" ht="13.5" thickBot="1" x14ac:dyDescent="0.25">
      <c r="A41" s="112" t="s">
        <v>46</v>
      </c>
      <c r="B41" s="113">
        <f>B4</f>
        <v>750</v>
      </c>
      <c r="C41" s="114">
        <v>0</v>
      </c>
      <c r="D41" s="115">
        <f>B41*C41</f>
        <v>0</v>
      </c>
      <c r="E41" s="116">
        <f t="shared" si="6"/>
        <v>750</v>
      </c>
      <c r="F41" s="114">
        <f>C41</f>
        <v>0</v>
      </c>
      <c r="G41" s="115">
        <f>E41*F41</f>
        <v>0</v>
      </c>
      <c r="H41" s="115">
        <f t="shared" si="1"/>
        <v>0</v>
      </c>
      <c r="I41" s="117">
        <f t="shared" si="2"/>
        <v>0</v>
      </c>
      <c r="J41" s="117">
        <f t="shared" si="10"/>
        <v>0</v>
      </c>
      <c r="K41" s="118">
        <f t="shared" si="11"/>
        <v>0</v>
      </c>
    </row>
    <row r="42" spans="1:11" s="1" customFormat="1" x14ac:dyDescent="0.2">
      <c r="A42" s="37" t="s">
        <v>137</v>
      </c>
      <c r="B42" s="38"/>
      <c r="C42" s="39"/>
      <c r="D42" s="39">
        <f>SUM(D14,D25,D26,D27,D33,D40,D41)</f>
        <v>138.90282149999999</v>
      </c>
      <c r="E42" s="38"/>
      <c r="F42" s="39"/>
      <c r="G42" s="39">
        <f>SUM(G14,G25,G26,G27,G33,G40,G41)</f>
        <v>139.53194999999999</v>
      </c>
      <c r="H42" s="39">
        <f t="shared" si="1"/>
        <v>0.62912850000000731</v>
      </c>
      <c r="I42" s="40">
        <f>IF(ISERROR(H42/D42),0,(H42/D42))</f>
        <v>4.5292708471008801E-3</v>
      </c>
      <c r="J42" s="40">
        <f t="shared" si="10"/>
        <v>0.95238095238095244</v>
      </c>
      <c r="K42" s="41"/>
    </row>
    <row r="43" spans="1:11" x14ac:dyDescent="0.2">
      <c r="A43" s="150" t="s">
        <v>138</v>
      </c>
      <c r="B43" s="43"/>
      <c r="C43" s="26">
        <v>0.13</v>
      </c>
      <c r="D43" s="26">
        <f>D42*C43</f>
        <v>18.057366795</v>
      </c>
      <c r="E43" s="26"/>
      <c r="F43" s="26">
        <f>C43</f>
        <v>0.13</v>
      </c>
      <c r="G43" s="26">
        <f>G42*F43</f>
        <v>18.139153499999999</v>
      </c>
      <c r="H43" s="26">
        <f t="shared" si="1"/>
        <v>8.178670499999896E-2</v>
      </c>
      <c r="I43" s="44">
        <f t="shared" si="2"/>
        <v>4.5292708471007699E-3</v>
      </c>
      <c r="J43" s="44">
        <f t="shared" si="10"/>
        <v>0.12380952380952381</v>
      </c>
      <c r="K43" s="45"/>
    </row>
    <row r="44" spans="1:11" s="1" customFormat="1" x14ac:dyDescent="0.2">
      <c r="A44" s="46" t="s">
        <v>139</v>
      </c>
      <c r="B44" s="24"/>
      <c r="C44" s="25"/>
      <c r="D44" s="25">
        <f>SUM(D42:D43)</f>
        <v>156.96018829499999</v>
      </c>
      <c r="E44" s="25"/>
      <c r="F44" s="25"/>
      <c r="G44" s="25">
        <f>SUM(G42:G43)</f>
        <v>157.67110349999999</v>
      </c>
      <c r="H44" s="25">
        <f t="shared" si="1"/>
        <v>0.71091520499999206</v>
      </c>
      <c r="I44" s="27">
        <f t="shared" si="2"/>
        <v>4.5292708471007768E-3</v>
      </c>
      <c r="J44" s="27">
        <f t="shared" si="10"/>
        <v>1.0761904761904761</v>
      </c>
      <c r="K44" s="47"/>
    </row>
    <row r="45" spans="1:11" x14ac:dyDescent="0.2">
      <c r="A45" s="42" t="s">
        <v>140</v>
      </c>
      <c r="B45" s="43"/>
      <c r="C45" s="26">
        <v>-0.08</v>
      </c>
      <c r="D45" s="26">
        <f>D42*C45</f>
        <v>-11.11222572</v>
      </c>
      <c r="E45" s="26"/>
      <c r="F45" s="26">
        <f>C45</f>
        <v>-0.08</v>
      </c>
      <c r="G45" s="26">
        <f>G42*F45</f>
        <v>-11.162556</v>
      </c>
      <c r="H45" s="26">
        <f t="shared" si="1"/>
        <v>-5.0330280000000727E-2</v>
      </c>
      <c r="I45" s="44">
        <f t="shared" si="2"/>
        <v>4.5292708471008931E-3</v>
      </c>
      <c r="J45" s="44">
        <f t="shared" si="10"/>
        <v>-7.6190476190476197E-2</v>
      </c>
      <c r="K45" s="45"/>
    </row>
    <row r="46" spans="1:11" s="1" customFormat="1" ht="13.5" thickBot="1" x14ac:dyDescent="0.25">
      <c r="A46" s="48" t="s">
        <v>141</v>
      </c>
      <c r="B46" s="49"/>
      <c r="C46" s="50"/>
      <c r="D46" s="50">
        <f>SUM(D44:D45)</f>
        <v>145.847962575</v>
      </c>
      <c r="E46" s="50"/>
      <c r="F46" s="50"/>
      <c r="G46" s="50">
        <f>SUM(G44:G45)</f>
        <v>146.50854749999999</v>
      </c>
      <c r="H46" s="50">
        <f t="shared" si="1"/>
        <v>0.66058492499999488</v>
      </c>
      <c r="I46" s="51">
        <f t="shared" si="2"/>
        <v>4.5292708471007925E-3</v>
      </c>
      <c r="J46" s="51">
        <f t="shared" si="10"/>
        <v>1</v>
      </c>
      <c r="K46" s="52"/>
    </row>
    <row r="47" spans="1:11" x14ac:dyDescent="0.2">
      <c r="A47" s="53" t="s">
        <v>142</v>
      </c>
      <c r="B47" s="54"/>
      <c r="C47" s="55"/>
      <c r="D47" s="55">
        <f>SUM(D18,D25,D26,D28,D33,D40,D41)</f>
        <v>142.08449400000001</v>
      </c>
      <c r="E47" s="55"/>
      <c r="F47" s="55"/>
      <c r="G47" s="55">
        <f>SUM(G18,G25,G26,G28,G33,G40,G41)</f>
        <v>142.71362250000001</v>
      </c>
      <c r="H47" s="55">
        <f>G47-D47</f>
        <v>0.62912850000000731</v>
      </c>
      <c r="I47" s="56">
        <f>IF(ISERROR(H47/D47),0,(H47/D47))</f>
        <v>4.4278477002564912E-3</v>
      </c>
      <c r="J47" s="56"/>
      <c r="K47" s="57">
        <f>G47/$G$51</f>
        <v>0.95238095238095244</v>
      </c>
    </row>
    <row r="48" spans="1:11" x14ac:dyDescent="0.2">
      <c r="A48" s="58" t="s">
        <v>138</v>
      </c>
      <c r="B48" s="59"/>
      <c r="C48" s="31">
        <v>0.13</v>
      </c>
      <c r="D48" s="31">
        <f>D47*C48</f>
        <v>18.470984220000002</v>
      </c>
      <c r="E48" s="31"/>
      <c r="F48" s="31">
        <f>C48</f>
        <v>0.13</v>
      </c>
      <c r="G48" s="31">
        <f>G47*F48</f>
        <v>18.552770925000001</v>
      </c>
      <c r="H48" s="31">
        <f>G48-D48</f>
        <v>8.178670499999896E-2</v>
      </c>
      <c r="I48" s="32">
        <f>IF(ISERROR(H48/D48),0,(H48/D48))</f>
        <v>4.4278477002563836E-3</v>
      </c>
      <c r="J48" s="32"/>
      <c r="K48" s="60">
        <f>G48/$G$51</f>
        <v>0.12380952380952381</v>
      </c>
    </row>
    <row r="49" spans="1:11" x14ac:dyDescent="0.2">
      <c r="A49" s="61" t="s">
        <v>143</v>
      </c>
      <c r="B49" s="29"/>
      <c r="C49" s="30"/>
      <c r="D49" s="30">
        <f>SUM(D47:D48)</f>
        <v>160.55547822</v>
      </c>
      <c r="E49" s="30"/>
      <c r="F49" s="30"/>
      <c r="G49" s="30">
        <f>SUM(G47:G48)</f>
        <v>161.26639342500002</v>
      </c>
      <c r="H49" s="30">
        <f>G49-D49</f>
        <v>0.71091520500002048</v>
      </c>
      <c r="I49" s="33">
        <f>IF(ISERROR(H49/D49),0,(H49/D49))</f>
        <v>4.4278477002565684E-3</v>
      </c>
      <c r="J49" s="33"/>
      <c r="K49" s="62">
        <f>G49/$G$51</f>
        <v>1.0761904761904764</v>
      </c>
    </row>
    <row r="50" spans="1:11" x14ac:dyDescent="0.2">
      <c r="A50" s="58" t="s">
        <v>140</v>
      </c>
      <c r="B50" s="59"/>
      <c r="C50" s="31">
        <v>-0.08</v>
      </c>
      <c r="D50" s="31">
        <f>D47*C50</f>
        <v>-11.36675952</v>
      </c>
      <c r="E50" s="31"/>
      <c r="F50" s="31">
        <f>C50</f>
        <v>-0.08</v>
      </c>
      <c r="G50" s="31">
        <f>G47*F50</f>
        <v>-11.417089800000001</v>
      </c>
      <c r="H50" s="31">
        <f>G50-D50</f>
        <v>-5.0330280000000727E-2</v>
      </c>
      <c r="I50" s="32">
        <f>IF(ISERROR(H50/D50),0,(H50/D50))</f>
        <v>4.4278477002565042E-3</v>
      </c>
      <c r="J50" s="32"/>
      <c r="K50" s="60">
        <f>G50/$G$51</f>
        <v>-7.6190476190476197E-2</v>
      </c>
    </row>
    <row r="51" spans="1:11" ht="13.5" thickBot="1" x14ac:dyDescent="0.25">
      <c r="A51" s="63" t="s">
        <v>144</v>
      </c>
      <c r="B51" s="64"/>
      <c r="C51" s="65"/>
      <c r="D51" s="65">
        <f>SUM(D49:D50)</f>
        <v>149.18871870000001</v>
      </c>
      <c r="E51" s="65"/>
      <c r="F51" s="65"/>
      <c r="G51" s="65">
        <f>SUM(G49:G50)</f>
        <v>149.849303625</v>
      </c>
      <c r="H51" s="65">
        <f>G51-D51</f>
        <v>0.66058492499999488</v>
      </c>
      <c r="I51" s="66">
        <f>IF(ISERROR(H51/D51),0,(H51/D51))</f>
        <v>4.4278477002564062E-3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c r="K64"/>
    </row>
    <row r="65" spans="6:11" x14ac:dyDescent="0.2">
      <c r="F65" s="69"/>
      <c r="K65"/>
    </row>
    <row r="66" spans="6:11" x14ac:dyDescent="0.2">
      <c r="F66" s="69"/>
      <c r="K66"/>
    </row>
    <row r="67" spans="6:11" x14ac:dyDescent="0.2">
      <c r="F67" s="69"/>
      <c r="K67"/>
    </row>
    <row r="68" spans="6:11" x14ac:dyDescent="0.2">
      <c r="F68" s="69"/>
      <c r="K68"/>
    </row>
  </sheetData>
  <mergeCells count="1">
    <mergeCell ref="A1:K1"/>
  </mergeCell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pageSetUpPr fitToPage="1"/>
  </sheetPr>
  <dimension ref="A1:J37"/>
  <sheetViews>
    <sheetView topLeftCell="A7" workbookViewId="0">
      <selection activeCell="C19" sqref="C19"/>
    </sheetView>
  </sheetViews>
  <sheetFormatPr defaultRowHeight="12.75" x14ac:dyDescent="0.2"/>
  <cols>
    <col min="1" max="1" width="64.7109375" bestFit="1" customWidth="1"/>
    <col min="2" max="2" width="20.7109375" bestFit="1" customWidth="1"/>
    <col min="3" max="3" width="16.1406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48" t="s">
        <v>111</v>
      </c>
      <c r="B1" s="349"/>
      <c r="C1" s="349"/>
      <c r="D1" s="349"/>
      <c r="E1" s="349"/>
      <c r="F1" s="349"/>
      <c r="G1" s="349"/>
      <c r="H1" s="349"/>
      <c r="I1" s="349"/>
      <c r="J1" s="350"/>
    </row>
    <row r="3" spans="1:10" x14ac:dyDescent="0.2">
      <c r="A3" s="13" t="s">
        <v>13</v>
      </c>
      <c r="B3" s="13" t="s">
        <v>197</v>
      </c>
      <c r="C3" s="13" t="s">
        <v>115</v>
      </c>
    </row>
    <row r="4" spans="1:10" x14ac:dyDescent="0.2">
      <c r="A4" s="15" t="s">
        <v>62</v>
      </c>
      <c r="B4" s="79">
        <v>175000</v>
      </c>
      <c r="C4" s="79">
        <v>175000</v>
      </c>
    </row>
    <row r="5" spans="1:10" x14ac:dyDescent="0.2">
      <c r="A5" s="15" t="s">
        <v>16</v>
      </c>
      <c r="B5" s="79">
        <v>500</v>
      </c>
      <c r="C5" s="79">
        <v>500</v>
      </c>
    </row>
    <row r="6" spans="1:10" x14ac:dyDescent="0.2">
      <c r="A6" s="15" t="s">
        <v>20</v>
      </c>
      <c r="B6" s="80">
        <f>VLOOKUP($B$3,'Data for Bill Impacts'!$A$3:$Y$21,2,0)</f>
        <v>1.0465</v>
      </c>
      <c r="C6" s="80">
        <f>VLOOKUP($C$3,'Data for Bill Impacts'!$A$3:$Y$30,2,0)</f>
        <v>1.0430999999999999</v>
      </c>
    </row>
    <row r="7" spans="1:10" x14ac:dyDescent="0.2">
      <c r="A7" s="81" t="s">
        <v>49</v>
      </c>
      <c r="B7" s="82">
        <f>B4/(B5*730)</f>
        <v>0.47945205479452052</v>
      </c>
      <c r="C7" s="82">
        <f>C4/(C5*730)</f>
        <v>0.47945205479452052</v>
      </c>
    </row>
    <row r="8" spans="1:10" x14ac:dyDescent="0.2">
      <c r="A8" s="15" t="s">
        <v>15</v>
      </c>
      <c r="B8" s="79">
        <f>VLOOKUP($B$3,'Data for Bill Impacts'!$A$3:$Y$21,4,0)</f>
        <v>0</v>
      </c>
      <c r="C8" s="79">
        <f>VLOOKUP($C$3,'Data for Bill Impacts'!$A$3:$Y$30,4,0)</f>
        <v>0</v>
      </c>
    </row>
    <row r="9" spans="1:10" x14ac:dyDescent="0.2">
      <c r="A9" s="15" t="s">
        <v>82</v>
      </c>
      <c r="B9" s="79">
        <f>B4*B6</f>
        <v>183137.5</v>
      </c>
      <c r="C9" s="79">
        <f>C4*C6</f>
        <v>182542.49999999997</v>
      </c>
    </row>
    <row r="10" spans="1:10" x14ac:dyDescent="0.2">
      <c r="A10" s="15" t="s">
        <v>21</v>
      </c>
      <c r="B10" s="16" t="s">
        <v>19</v>
      </c>
      <c r="C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3" t="s">
        <v>50</v>
      </c>
    </row>
    <row r="13" spans="1:10" x14ac:dyDescent="0.2">
      <c r="A13" s="101" t="s">
        <v>31</v>
      </c>
      <c r="B13" s="102">
        <f>C9</f>
        <v>182542.49999999997</v>
      </c>
      <c r="C13" s="103">
        <v>0.10299999999999999</v>
      </c>
      <c r="D13" s="104">
        <f>B13*C13</f>
        <v>18801.877499999995</v>
      </c>
      <c r="E13" s="102">
        <f>B9</f>
        <v>183137.5</v>
      </c>
      <c r="F13" s="103">
        <f>C13</f>
        <v>0.10299999999999999</v>
      </c>
      <c r="G13" s="104">
        <f>E13*F13</f>
        <v>18863.162499999999</v>
      </c>
      <c r="H13" s="104">
        <f>G13-D13</f>
        <v>61.285000000003492</v>
      </c>
      <c r="I13" s="105">
        <f>IF(ISERROR(H13/D13),0,(H13/D13))</f>
        <v>3.2595149074874843E-3</v>
      </c>
      <c r="J13" s="124">
        <f t="shared" ref="J13:J35" si="0">G13/$G$35</f>
        <v>0.66354811880148934</v>
      </c>
    </row>
    <row r="14" spans="1:10" x14ac:dyDescent="0.2">
      <c r="A14" s="107" t="s">
        <v>32</v>
      </c>
      <c r="B14" s="73">
        <v>0</v>
      </c>
      <c r="C14" s="21">
        <v>0.121</v>
      </c>
      <c r="D14" s="22">
        <f>B14*C14</f>
        <v>0</v>
      </c>
      <c r="E14" s="73">
        <f t="shared" ref="E14" si="1">B14</f>
        <v>0</v>
      </c>
      <c r="F14" s="21">
        <f>C14</f>
        <v>0.121</v>
      </c>
      <c r="G14" s="22">
        <f>E14*F14</f>
        <v>0</v>
      </c>
      <c r="H14" s="22">
        <f t="shared" ref="H14:H35" si="2">G14-D14</f>
        <v>0</v>
      </c>
      <c r="I14" s="23">
        <f t="shared" ref="I14:I30" si="3">IF(ISERROR(H14/D14),0,(H14/D14))</f>
        <v>0</v>
      </c>
      <c r="J14" s="125">
        <f t="shared" si="0"/>
        <v>0</v>
      </c>
    </row>
    <row r="15" spans="1:10" s="1" customFormat="1" x14ac:dyDescent="0.2">
      <c r="A15" s="46" t="s">
        <v>33</v>
      </c>
      <c r="B15" s="24"/>
      <c r="C15" s="25"/>
      <c r="D15" s="25">
        <f>SUM(D13:D14)</f>
        <v>18801.877499999995</v>
      </c>
      <c r="E15" s="76"/>
      <c r="F15" s="25"/>
      <c r="G15" s="25">
        <f>SUM(G13:G14)</f>
        <v>18863.162499999999</v>
      </c>
      <c r="H15" s="25">
        <f t="shared" si="2"/>
        <v>61.285000000003492</v>
      </c>
      <c r="I15" s="27">
        <f t="shared" si="3"/>
        <v>3.2595149074874843E-3</v>
      </c>
      <c r="J15" s="47">
        <f t="shared" si="0"/>
        <v>0.66354811880148934</v>
      </c>
    </row>
    <row r="16" spans="1:10" s="1" customFormat="1" x14ac:dyDescent="0.2">
      <c r="A16" s="107" t="s">
        <v>38</v>
      </c>
      <c r="B16" s="73">
        <v>1</v>
      </c>
      <c r="C16" s="78">
        <f>VLOOKUP($B$3,'Data for Bill Impacts'!$A$3:$Y$21,7,0)</f>
        <v>139.96</v>
      </c>
      <c r="D16" s="22">
        <f>B16*C16</f>
        <v>139.96</v>
      </c>
      <c r="E16" s="73">
        <f t="shared" ref="E16:E28" si="4">B16</f>
        <v>1</v>
      </c>
      <c r="F16" s="78">
        <f>VLOOKUP($B$3,'Data for Bill Impacts'!$A$3:$Y$21,17,0)</f>
        <v>209.83</v>
      </c>
      <c r="G16" s="22">
        <f>E16*F16</f>
        <v>209.83</v>
      </c>
      <c r="H16" s="22">
        <f t="shared" si="2"/>
        <v>69.87</v>
      </c>
      <c r="I16" s="23">
        <f t="shared" si="3"/>
        <v>0.49921406116033151</v>
      </c>
      <c r="J16" s="125">
        <f t="shared" si="0"/>
        <v>7.3811749099927711E-3</v>
      </c>
    </row>
    <row r="17" spans="1:10" x14ac:dyDescent="0.2">
      <c r="A17" s="107" t="s">
        <v>188</v>
      </c>
      <c r="B17" s="73">
        <v>1</v>
      </c>
      <c r="C17" s="122">
        <f>'Data for Bill Impacts'!K24</f>
        <v>-1.4</v>
      </c>
      <c r="D17" s="22">
        <f>B17*C17</f>
        <v>-1.4</v>
      </c>
      <c r="E17" s="73">
        <f t="shared" si="4"/>
        <v>1</v>
      </c>
      <c r="F17" s="122">
        <v>0</v>
      </c>
      <c r="G17" s="22">
        <f t="shared" ref="G17" si="5">E17*F17</f>
        <v>0</v>
      </c>
      <c r="H17" s="22">
        <f t="shared" si="2"/>
        <v>1.4</v>
      </c>
      <c r="I17" s="23">
        <f t="shared" si="3"/>
        <v>-1</v>
      </c>
      <c r="J17" s="125">
        <f t="shared" si="0"/>
        <v>0</v>
      </c>
    </row>
    <row r="18" spans="1:10" x14ac:dyDescent="0.2">
      <c r="A18" s="107" t="s">
        <v>39</v>
      </c>
      <c r="B18" s="73">
        <f>IF($C$10="kWh",$C$4,$C$5)</f>
        <v>500</v>
      </c>
      <c r="C18" s="78">
        <f>VLOOKUP($B$3,'Data for Bill Impacts'!$A$3:$Y$21,10,0)</f>
        <v>2.5777000000000001</v>
      </c>
      <c r="D18" s="22">
        <f>B18*C18</f>
        <v>1288.8500000000001</v>
      </c>
      <c r="E18" s="73">
        <f>IF($B$10="kWh",$B$4,$B$5)</f>
        <v>500</v>
      </c>
      <c r="F18" s="126">
        <f>VLOOKUP($B$3,'Data for Bill Impacts'!$A$3:$Y$21,19,0)</f>
        <v>3.86</v>
      </c>
      <c r="G18" s="22">
        <f>E18*F18</f>
        <v>1930</v>
      </c>
      <c r="H18" s="22">
        <f t="shared" si="2"/>
        <v>641.14999999999986</v>
      </c>
      <c r="I18" s="23">
        <f t="shared" si="3"/>
        <v>0.49745897505528169</v>
      </c>
      <c r="J18" s="125">
        <f t="shared" si="0"/>
        <v>6.7891472031101602E-2</v>
      </c>
    </row>
    <row r="19" spans="1:10" s="1" customFormat="1" x14ac:dyDescent="0.2">
      <c r="A19" s="107" t="s">
        <v>191</v>
      </c>
      <c r="B19" s="73">
        <f>IF($C$10="kWh",$C$4,$C$5)</f>
        <v>500</v>
      </c>
      <c r="C19" s="78">
        <f>'Data for Bill Impacts'!L24</f>
        <v>-2.58E-2</v>
      </c>
      <c r="D19" s="22">
        <f>B19*C19</f>
        <v>-12.9</v>
      </c>
      <c r="E19" s="73">
        <f>IF($B$10="kWh",$B$4,$B$5)</f>
        <v>500</v>
      </c>
      <c r="F19" s="126">
        <v>0</v>
      </c>
      <c r="G19" s="22">
        <f>E19*F19</f>
        <v>0</v>
      </c>
      <c r="H19" s="22">
        <f t="shared" si="2"/>
        <v>12.9</v>
      </c>
      <c r="I19" s="23">
        <f>IF(ISERROR(H19/D19),0,(H19/D19))</f>
        <v>-1</v>
      </c>
      <c r="J19" s="125">
        <f t="shared" si="0"/>
        <v>0</v>
      </c>
    </row>
    <row r="20" spans="1:10" x14ac:dyDescent="0.2">
      <c r="A20" s="110" t="s">
        <v>97</v>
      </c>
      <c r="B20" s="74"/>
      <c r="C20" s="35"/>
      <c r="D20" s="35">
        <f>SUM(D16:D19)</f>
        <v>1414.51</v>
      </c>
      <c r="E20" s="73"/>
      <c r="F20" s="35"/>
      <c r="G20" s="35">
        <f>SUM(G16:G19)</f>
        <v>2139.83</v>
      </c>
      <c r="H20" s="35">
        <f t="shared" si="2"/>
        <v>725.31999999999994</v>
      </c>
      <c r="I20" s="36">
        <f>IF(ISERROR(H20/D20),0,(H20/D20))</f>
        <v>0.51277120699040657</v>
      </c>
      <c r="J20" s="111">
        <f t="shared" si="0"/>
        <v>7.5272646941094368E-2</v>
      </c>
    </row>
    <row r="21" spans="1:10" x14ac:dyDescent="0.2">
      <c r="A21" s="107" t="s">
        <v>40</v>
      </c>
      <c r="B21" s="73">
        <f>IF($C$10="kWh",$C$4,$C$5)</f>
        <v>500</v>
      </c>
      <c r="C21" s="78">
        <f>VLOOKUP($B$3,'Data for Bill Impacts'!$A$3:$Y$21,15,0)</f>
        <v>2.7930999999999999</v>
      </c>
      <c r="D21" s="22">
        <f>B21*C21</f>
        <v>1396.55</v>
      </c>
      <c r="E21" s="73">
        <f>IF($B$10="kWh",$B$4,$B$5)</f>
        <v>500</v>
      </c>
      <c r="F21" s="78">
        <f>VLOOKUP($B$3,'Data for Bill Impacts'!$A$3:$Y$21,24,0)</f>
        <v>1.8612</v>
      </c>
      <c r="G21" s="22">
        <f>E21*F21</f>
        <v>930.6</v>
      </c>
      <c r="H21" s="22">
        <f t="shared" si="2"/>
        <v>-465.94999999999993</v>
      </c>
      <c r="I21" s="23">
        <f t="shared" si="3"/>
        <v>-0.3336436217822491</v>
      </c>
      <c r="J21" s="125">
        <f t="shared" si="0"/>
        <v>3.273564967468557E-2</v>
      </c>
    </row>
    <row r="22" spans="1:10" s="1" customFormat="1" x14ac:dyDescent="0.2">
      <c r="A22" s="107" t="s">
        <v>41</v>
      </c>
      <c r="B22" s="73">
        <f>IF($C$10="kWh",$C$4,$C$5)</f>
        <v>500</v>
      </c>
      <c r="C22" s="126">
        <f>VLOOKUP($B$3,'Data for Bill Impacts'!$A$3:$Y$21,16,0)</f>
        <v>2.2465318947278483</v>
      </c>
      <c r="D22" s="22">
        <f>B22*C22</f>
        <v>1123.2659473639242</v>
      </c>
      <c r="E22" s="73">
        <f>IF($B$10="kWh",$B$4,$B$5)</f>
        <v>500</v>
      </c>
      <c r="F22" s="78">
        <f>VLOOKUP($B$3,'Data for Bill Impacts'!$A$3:$Y$21,25,0)</f>
        <v>1.5062</v>
      </c>
      <c r="G22" s="22">
        <f>E22*F22</f>
        <v>753.1</v>
      </c>
      <c r="H22" s="22">
        <f t="shared" si="2"/>
        <v>-370.16594736392415</v>
      </c>
      <c r="I22" s="23">
        <f t="shared" si="3"/>
        <v>-0.32954435076806882</v>
      </c>
      <c r="J22" s="125">
        <f t="shared" si="0"/>
        <v>2.6491744863535033E-2</v>
      </c>
    </row>
    <row r="23" spans="1:10" x14ac:dyDescent="0.2">
      <c r="A23" s="110" t="s">
        <v>76</v>
      </c>
      <c r="B23" s="74"/>
      <c r="C23" s="35"/>
      <c r="D23" s="35">
        <f>SUM(D21:D22)</f>
        <v>2519.8159473639244</v>
      </c>
      <c r="E23" s="73"/>
      <c r="F23" s="35"/>
      <c r="G23" s="35">
        <f>SUM(G21:G22)</f>
        <v>1683.7</v>
      </c>
      <c r="H23" s="35">
        <f t="shared" si="2"/>
        <v>-836.11594736392431</v>
      </c>
      <c r="I23" s="36">
        <f t="shared" si="3"/>
        <v>-0.33181627739066305</v>
      </c>
      <c r="J23" s="111">
        <f t="shared" si="0"/>
        <v>5.9227394538220603E-2</v>
      </c>
    </row>
    <row r="24" spans="1:10" s="1" customFormat="1" x14ac:dyDescent="0.2">
      <c r="A24" s="110" t="s">
        <v>80</v>
      </c>
      <c r="B24" s="74"/>
      <c r="C24" s="35"/>
      <c r="D24" s="35">
        <f>D20+D23</f>
        <v>3934.3259473639246</v>
      </c>
      <c r="E24" s="73"/>
      <c r="F24" s="35"/>
      <c r="G24" s="35">
        <f>G20+G23</f>
        <v>3823.5299999999997</v>
      </c>
      <c r="H24" s="35">
        <f t="shared" si="2"/>
        <v>-110.79594736392482</v>
      </c>
      <c r="I24" s="36">
        <f t="shared" si="3"/>
        <v>-2.8161354408919849E-2</v>
      </c>
      <c r="J24" s="111">
        <f t="shared" si="0"/>
        <v>0.13450004147931496</v>
      </c>
    </row>
    <row r="25" spans="1:10" x14ac:dyDescent="0.2">
      <c r="A25" s="107" t="s">
        <v>42</v>
      </c>
      <c r="B25" s="73">
        <f>C9</f>
        <v>182542.49999999997</v>
      </c>
      <c r="C25" s="34">
        <v>3.5999999999999999E-3</v>
      </c>
      <c r="D25" s="22">
        <f>B25*C25</f>
        <v>657.15299999999991</v>
      </c>
      <c r="E25" s="73">
        <f>B9</f>
        <v>183137.5</v>
      </c>
      <c r="F25" s="34">
        <v>3.5999999999999999E-3</v>
      </c>
      <c r="G25" s="22">
        <f>E25*F25</f>
        <v>659.29499999999996</v>
      </c>
      <c r="H25" s="22">
        <f t="shared" si="2"/>
        <v>2.1420000000000528</v>
      </c>
      <c r="I25" s="23">
        <f t="shared" si="3"/>
        <v>3.259514907487378E-3</v>
      </c>
      <c r="J25" s="125">
        <f t="shared" si="0"/>
        <v>2.31919730843239E-2</v>
      </c>
    </row>
    <row r="26" spans="1:10" x14ac:dyDescent="0.2">
      <c r="A26" s="107" t="s">
        <v>43</v>
      </c>
      <c r="B26" s="73">
        <f>C9</f>
        <v>182542.49999999997</v>
      </c>
      <c r="C26" s="34">
        <v>2.0999999999999999E-3</v>
      </c>
      <c r="D26" s="22">
        <f>B26*C26</f>
        <v>383.33924999999994</v>
      </c>
      <c r="E26" s="73">
        <f>B9</f>
        <v>183137.5</v>
      </c>
      <c r="F26" s="34">
        <v>2.0999999999999999E-3</v>
      </c>
      <c r="G26" s="22">
        <f>E26*F26</f>
        <v>384.58875</v>
      </c>
      <c r="H26" s="22">
        <f>G26-D26</f>
        <v>1.2495000000000687</v>
      </c>
      <c r="I26" s="23">
        <f t="shared" si="3"/>
        <v>3.2595149074874773E-3</v>
      </c>
      <c r="J26" s="125">
        <f t="shared" si="0"/>
        <v>1.3528650965855609E-2</v>
      </c>
    </row>
    <row r="27" spans="1:10" x14ac:dyDescent="0.2">
      <c r="A27" s="107" t="s">
        <v>100</v>
      </c>
      <c r="B27" s="73">
        <f>C9</f>
        <v>182542.49999999997</v>
      </c>
      <c r="C27" s="34">
        <v>1.1000000000000001E-3</v>
      </c>
      <c r="D27" s="22">
        <f>B27*C27</f>
        <v>200.79674999999997</v>
      </c>
      <c r="E27" s="73">
        <f>B9</f>
        <v>183137.5</v>
      </c>
      <c r="F27" s="34">
        <v>1.1000000000000001E-3</v>
      </c>
      <c r="G27" s="22">
        <f>E27*F27</f>
        <v>201.45125000000002</v>
      </c>
      <c r="H27" s="22">
        <f>G27-D27</f>
        <v>0.65450000000004138</v>
      </c>
      <c r="I27" s="23">
        <f t="shared" si="3"/>
        <v>3.2595149074875038E-3</v>
      </c>
      <c r="J27" s="125">
        <f t="shared" si="0"/>
        <v>7.0864362202100808E-3</v>
      </c>
    </row>
    <row r="28" spans="1:10" x14ac:dyDescent="0.2">
      <c r="A28" s="107" t="s">
        <v>44</v>
      </c>
      <c r="B28" s="73">
        <v>1</v>
      </c>
      <c r="C28" s="22">
        <v>0.25</v>
      </c>
      <c r="D28" s="22">
        <f>B28*C28</f>
        <v>0.25</v>
      </c>
      <c r="E28" s="73">
        <f t="shared" si="4"/>
        <v>1</v>
      </c>
      <c r="F28" s="22">
        <f>C28</f>
        <v>0.25</v>
      </c>
      <c r="G28" s="22">
        <f>E28*F28</f>
        <v>0.25</v>
      </c>
      <c r="H28" s="22">
        <f t="shared" si="2"/>
        <v>0</v>
      </c>
      <c r="I28" s="23">
        <f t="shared" si="3"/>
        <v>0</v>
      </c>
      <c r="J28" s="125">
        <f t="shared" si="0"/>
        <v>8.7942321283810353E-6</v>
      </c>
    </row>
    <row r="29" spans="1:10" x14ac:dyDescent="0.2">
      <c r="A29" s="110" t="s">
        <v>45</v>
      </c>
      <c r="B29" s="74"/>
      <c r="C29" s="35"/>
      <c r="D29" s="35">
        <f>SUM(D25:D28)</f>
        <v>1241.5389999999998</v>
      </c>
      <c r="E29" s="73"/>
      <c r="F29" s="35"/>
      <c r="G29" s="35">
        <f>SUM(G25:G28)</f>
        <v>1245.585</v>
      </c>
      <c r="H29" s="35">
        <f t="shared" si="2"/>
        <v>4.0460000000002765</v>
      </c>
      <c r="I29" s="36">
        <f t="shared" si="3"/>
        <v>3.2588585618335609E-3</v>
      </c>
      <c r="J29" s="111">
        <f t="shared" si="0"/>
        <v>4.3815854502517973E-2</v>
      </c>
    </row>
    <row r="30" spans="1:10" ht="13.5" thickBot="1" x14ac:dyDescent="0.25">
      <c r="A30" s="112" t="s">
        <v>46</v>
      </c>
      <c r="B30" s="113">
        <f>C4</f>
        <v>175000</v>
      </c>
      <c r="C30" s="114">
        <v>7.0000000000000001E-3</v>
      </c>
      <c r="D30" s="115">
        <f>B30*C30</f>
        <v>1225</v>
      </c>
      <c r="E30" s="116">
        <f>B4</f>
        <v>175000</v>
      </c>
      <c r="F30" s="114">
        <f>C30</f>
        <v>7.0000000000000001E-3</v>
      </c>
      <c r="G30" s="115">
        <f>E30*F30</f>
        <v>1225</v>
      </c>
      <c r="H30" s="115">
        <f t="shared" si="2"/>
        <v>0</v>
      </c>
      <c r="I30" s="117">
        <f t="shared" si="3"/>
        <v>0</v>
      </c>
      <c r="J30" s="118">
        <f t="shared" si="0"/>
        <v>4.3091737429067078E-2</v>
      </c>
    </row>
    <row r="31" spans="1:10" x14ac:dyDescent="0.2">
      <c r="A31" s="37" t="s">
        <v>146</v>
      </c>
      <c r="B31" s="38"/>
      <c r="C31" s="39"/>
      <c r="D31" s="39">
        <f>SUM(D15,D20,D23,D29,D30)</f>
        <v>25202.742447363918</v>
      </c>
      <c r="E31" s="38"/>
      <c r="F31" s="39"/>
      <c r="G31" s="39">
        <f>SUM(G15,G20,G23,G29,G30)</f>
        <v>25157.2775</v>
      </c>
      <c r="H31" s="39">
        <f t="shared" si="2"/>
        <v>-45.464947363918327</v>
      </c>
      <c r="I31" s="40">
        <f>IF(ISERROR(H31/D31),0,(H31/D31))</f>
        <v>-1.8039682569812451E-3</v>
      </c>
      <c r="J31" s="41">
        <f t="shared" si="0"/>
        <v>0.88495575221238942</v>
      </c>
    </row>
    <row r="32" spans="1:10" x14ac:dyDescent="0.2">
      <c r="A32" s="46" t="s">
        <v>138</v>
      </c>
      <c r="B32" s="43"/>
      <c r="C32" s="26">
        <v>0.13</v>
      </c>
      <c r="D32" s="26">
        <f>D31*C32</f>
        <v>3276.3565181573094</v>
      </c>
      <c r="E32" s="26"/>
      <c r="F32" s="26">
        <f>C32</f>
        <v>0.13</v>
      </c>
      <c r="G32" s="26">
        <f>G31*F32</f>
        <v>3270.4460750000003</v>
      </c>
      <c r="H32" s="26">
        <f t="shared" si="2"/>
        <v>-5.910443157309146</v>
      </c>
      <c r="I32" s="44">
        <f t="shared" ref="I32:I35" si="6">IF(ISERROR(H32/D32),0,(H32/D32))</f>
        <v>-1.8039682569811729E-3</v>
      </c>
      <c r="J32" s="45">
        <f t="shared" si="0"/>
        <v>0.11504424778761063</v>
      </c>
    </row>
    <row r="33" spans="1:10" x14ac:dyDescent="0.2">
      <c r="A33" s="46" t="s">
        <v>139</v>
      </c>
      <c r="B33" s="24"/>
      <c r="C33" s="25"/>
      <c r="D33" s="25">
        <f>SUM(D31:D32)</f>
        <v>28479.098965521229</v>
      </c>
      <c r="E33" s="25"/>
      <c r="F33" s="25"/>
      <c r="G33" s="25">
        <f>SUM(G31:G32)</f>
        <v>28427.723575</v>
      </c>
      <c r="H33" s="25">
        <f t="shared" si="2"/>
        <v>-51.375390521228837</v>
      </c>
      <c r="I33" s="27">
        <f t="shared" si="6"/>
        <v>-1.8039682569812845E-3</v>
      </c>
      <c r="J33" s="47">
        <f t="shared" si="0"/>
        <v>1</v>
      </c>
    </row>
    <row r="34" spans="1:10" x14ac:dyDescent="0.2">
      <c r="A34" s="46" t="s">
        <v>140</v>
      </c>
      <c r="B34" s="43"/>
      <c r="C34" s="26">
        <v>0</v>
      </c>
      <c r="D34" s="26">
        <f>D31*C34</f>
        <v>0</v>
      </c>
      <c r="E34" s="26"/>
      <c r="F34" s="26">
        <f>C34</f>
        <v>0</v>
      </c>
      <c r="G34" s="26">
        <f>G31*F34</f>
        <v>0</v>
      </c>
      <c r="H34" s="26">
        <f t="shared" si="2"/>
        <v>0</v>
      </c>
      <c r="I34" s="44">
        <f t="shared" si="6"/>
        <v>0</v>
      </c>
      <c r="J34" s="45">
        <f t="shared" si="0"/>
        <v>0</v>
      </c>
    </row>
    <row r="35" spans="1:10" ht="13.5" thickBot="1" x14ac:dyDescent="0.25">
      <c r="A35" s="46" t="s">
        <v>141</v>
      </c>
      <c r="B35" s="49"/>
      <c r="C35" s="50"/>
      <c r="D35" s="50">
        <f>SUM(D33:D34)</f>
        <v>28479.098965521229</v>
      </c>
      <c r="E35" s="50"/>
      <c r="F35" s="50"/>
      <c r="G35" s="50">
        <f>SUM(G33:G34)</f>
        <v>28427.723575</v>
      </c>
      <c r="H35" s="50">
        <f t="shared" si="2"/>
        <v>-51.375390521228837</v>
      </c>
      <c r="I35" s="51">
        <f t="shared" si="6"/>
        <v>-1.8039682569812845E-3</v>
      </c>
      <c r="J35" s="52">
        <f t="shared" si="0"/>
        <v>1</v>
      </c>
    </row>
    <row r="36" spans="1:10" x14ac:dyDescent="0.2">
      <c r="A36" s="330"/>
      <c r="F36" s="69"/>
    </row>
    <row r="37" spans="1:10" x14ac:dyDescent="0.2">
      <c r="F37" s="69"/>
    </row>
  </sheetData>
  <mergeCells count="1">
    <mergeCell ref="A1:J1"/>
  </mergeCells>
  <dataValidations count="1">
    <dataValidation type="list" allowBlank="1" showInputMessage="1" showErrorMessage="1" sqref="WVI983029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5 IW65525 SS65525 ACO65525 AMK65525 AWG65525 BGC65525 BPY65525 BZU65525 CJQ65525 CTM65525 DDI65525 DNE65525 DXA65525 EGW65525 EQS65525 FAO65525 FKK65525 FUG65525 GEC65525 GNY65525 GXU65525 HHQ65525 HRM65525 IBI65525 ILE65525 IVA65525 JEW65525 JOS65525 JYO65525 KIK65525 KSG65525 LCC65525 LLY65525 LVU65525 MFQ65525 MPM65525 MZI65525 NJE65525 NTA65525 OCW65525 OMS65525 OWO65525 PGK65525 PQG65525 QAC65525 QJY65525 QTU65525 RDQ65525 RNM65525 RXI65525 SHE65525 SRA65525 TAW65525 TKS65525 TUO65525 UEK65525 UOG65525 UYC65525 VHY65525 VRU65525 WBQ65525 WLM65525 WVI65525 B131061 IW131061 SS131061 ACO131061 AMK131061 AWG131061 BGC131061 BPY131061 BZU131061 CJQ131061 CTM131061 DDI131061 DNE131061 DXA131061 EGW131061 EQS131061 FAO131061 FKK131061 FUG131061 GEC131061 GNY131061 GXU131061 HHQ131061 HRM131061 IBI131061 ILE131061 IVA131061 JEW131061 JOS131061 JYO131061 KIK131061 KSG131061 LCC131061 LLY131061 LVU131061 MFQ131061 MPM131061 MZI131061 NJE131061 NTA131061 OCW131061 OMS131061 OWO131061 PGK131061 PQG131061 QAC131061 QJY131061 QTU131061 RDQ131061 RNM131061 RXI131061 SHE131061 SRA131061 TAW131061 TKS131061 TUO131061 UEK131061 UOG131061 UYC131061 VHY131061 VRU131061 WBQ131061 WLM131061 WVI131061 B196597 IW196597 SS196597 ACO196597 AMK196597 AWG196597 BGC196597 BPY196597 BZU196597 CJQ196597 CTM196597 DDI196597 DNE196597 DXA196597 EGW196597 EQS196597 FAO196597 FKK196597 FUG196597 GEC196597 GNY196597 GXU196597 HHQ196597 HRM196597 IBI196597 ILE196597 IVA196597 JEW196597 JOS196597 JYO196597 KIK196597 KSG196597 LCC196597 LLY196597 LVU196597 MFQ196597 MPM196597 MZI196597 NJE196597 NTA196597 OCW196597 OMS196597 OWO196597 PGK196597 PQG196597 QAC196597 QJY196597 QTU196597 RDQ196597 RNM196597 RXI196597 SHE196597 SRA196597 TAW196597 TKS196597 TUO196597 UEK196597 UOG196597 UYC196597 VHY196597 VRU196597 WBQ196597 WLM196597 WVI196597 B262133 IW262133 SS262133 ACO262133 AMK262133 AWG262133 BGC262133 BPY262133 BZU262133 CJQ262133 CTM262133 DDI262133 DNE262133 DXA262133 EGW262133 EQS262133 FAO262133 FKK262133 FUG262133 GEC262133 GNY262133 GXU262133 HHQ262133 HRM262133 IBI262133 ILE262133 IVA262133 JEW262133 JOS262133 JYO262133 KIK262133 KSG262133 LCC262133 LLY262133 LVU262133 MFQ262133 MPM262133 MZI262133 NJE262133 NTA262133 OCW262133 OMS262133 OWO262133 PGK262133 PQG262133 QAC262133 QJY262133 QTU262133 RDQ262133 RNM262133 RXI262133 SHE262133 SRA262133 TAW262133 TKS262133 TUO262133 UEK262133 UOG262133 UYC262133 VHY262133 VRU262133 WBQ262133 WLM262133 WVI262133 B327669 IW327669 SS327669 ACO327669 AMK327669 AWG327669 BGC327669 BPY327669 BZU327669 CJQ327669 CTM327669 DDI327669 DNE327669 DXA327669 EGW327669 EQS327669 FAO327669 FKK327669 FUG327669 GEC327669 GNY327669 GXU327669 HHQ327669 HRM327669 IBI327669 ILE327669 IVA327669 JEW327669 JOS327669 JYO327669 KIK327669 KSG327669 LCC327669 LLY327669 LVU327669 MFQ327669 MPM327669 MZI327669 NJE327669 NTA327669 OCW327669 OMS327669 OWO327669 PGK327669 PQG327669 QAC327669 QJY327669 QTU327669 RDQ327669 RNM327669 RXI327669 SHE327669 SRA327669 TAW327669 TKS327669 TUO327669 UEK327669 UOG327669 UYC327669 VHY327669 VRU327669 WBQ327669 WLM327669 WVI327669 B393205 IW393205 SS393205 ACO393205 AMK393205 AWG393205 BGC393205 BPY393205 BZU393205 CJQ393205 CTM393205 DDI393205 DNE393205 DXA393205 EGW393205 EQS393205 FAO393205 FKK393205 FUG393205 GEC393205 GNY393205 GXU393205 HHQ393205 HRM393205 IBI393205 ILE393205 IVA393205 JEW393205 JOS393205 JYO393205 KIK393205 KSG393205 LCC393205 LLY393205 LVU393205 MFQ393205 MPM393205 MZI393205 NJE393205 NTA393205 OCW393205 OMS393205 OWO393205 PGK393205 PQG393205 QAC393205 QJY393205 QTU393205 RDQ393205 RNM393205 RXI393205 SHE393205 SRA393205 TAW393205 TKS393205 TUO393205 UEK393205 UOG393205 UYC393205 VHY393205 VRU393205 WBQ393205 WLM393205 WVI393205 B458741 IW458741 SS458741 ACO458741 AMK458741 AWG458741 BGC458741 BPY458741 BZU458741 CJQ458741 CTM458741 DDI458741 DNE458741 DXA458741 EGW458741 EQS458741 FAO458741 FKK458741 FUG458741 GEC458741 GNY458741 GXU458741 HHQ458741 HRM458741 IBI458741 ILE458741 IVA458741 JEW458741 JOS458741 JYO458741 KIK458741 KSG458741 LCC458741 LLY458741 LVU458741 MFQ458741 MPM458741 MZI458741 NJE458741 NTA458741 OCW458741 OMS458741 OWO458741 PGK458741 PQG458741 QAC458741 QJY458741 QTU458741 RDQ458741 RNM458741 RXI458741 SHE458741 SRA458741 TAW458741 TKS458741 TUO458741 UEK458741 UOG458741 UYC458741 VHY458741 VRU458741 WBQ458741 WLM458741 WVI458741 B524277 IW524277 SS524277 ACO524277 AMK524277 AWG524277 BGC524277 BPY524277 BZU524277 CJQ524277 CTM524277 DDI524277 DNE524277 DXA524277 EGW524277 EQS524277 FAO524277 FKK524277 FUG524277 GEC524277 GNY524277 GXU524277 HHQ524277 HRM524277 IBI524277 ILE524277 IVA524277 JEW524277 JOS524277 JYO524277 KIK524277 KSG524277 LCC524277 LLY524277 LVU524277 MFQ524277 MPM524277 MZI524277 NJE524277 NTA524277 OCW524277 OMS524277 OWO524277 PGK524277 PQG524277 QAC524277 QJY524277 QTU524277 RDQ524277 RNM524277 RXI524277 SHE524277 SRA524277 TAW524277 TKS524277 TUO524277 UEK524277 UOG524277 UYC524277 VHY524277 VRU524277 WBQ524277 WLM524277 WVI524277 B589813 IW589813 SS589813 ACO589813 AMK589813 AWG589813 BGC589813 BPY589813 BZU589813 CJQ589813 CTM589813 DDI589813 DNE589813 DXA589813 EGW589813 EQS589813 FAO589813 FKK589813 FUG589813 GEC589813 GNY589813 GXU589813 HHQ589813 HRM589813 IBI589813 ILE589813 IVA589813 JEW589813 JOS589813 JYO589813 KIK589813 KSG589813 LCC589813 LLY589813 LVU589813 MFQ589813 MPM589813 MZI589813 NJE589813 NTA589813 OCW589813 OMS589813 OWO589813 PGK589813 PQG589813 QAC589813 QJY589813 QTU589813 RDQ589813 RNM589813 RXI589813 SHE589813 SRA589813 TAW589813 TKS589813 TUO589813 UEK589813 UOG589813 UYC589813 VHY589813 VRU589813 WBQ589813 WLM589813 WVI589813 B655349 IW655349 SS655349 ACO655349 AMK655349 AWG655349 BGC655349 BPY655349 BZU655349 CJQ655349 CTM655349 DDI655349 DNE655349 DXA655349 EGW655349 EQS655349 FAO655349 FKK655349 FUG655349 GEC655349 GNY655349 GXU655349 HHQ655349 HRM655349 IBI655349 ILE655349 IVA655349 JEW655349 JOS655349 JYO655349 KIK655349 KSG655349 LCC655349 LLY655349 LVU655349 MFQ655349 MPM655349 MZI655349 NJE655349 NTA655349 OCW655349 OMS655349 OWO655349 PGK655349 PQG655349 QAC655349 QJY655349 QTU655349 RDQ655349 RNM655349 RXI655349 SHE655349 SRA655349 TAW655349 TKS655349 TUO655349 UEK655349 UOG655349 UYC655349 VHY655349 VRU655349 WBQ655349 WLM655349 WVI655349 B720885 IW720885 SS720885 ACO720885 AMK720885 AWG720885 BGC720885 BPY720885 BZU720885 CJQ720885 CTM720885 DDI720885 DNE720885 DXA720885 EGW720885 EQS720885 FAO720885 FKK720885 FUG720885 GEC720885 GNY720885 GXU720885 HHQ720885 HRM720885 IBI720885 ILE720885 IVA720885 JEW720885 JOS720885 JYO720885 KIK720885 KSG720885 LCC720885 LLY720885 LVU720885 MFQ720885 MPM720885 MZI720885 NJE720885 NTA720885 OCW720885 OMS720885 OWO720885 PGK720885 PQG720885 QAC720885 QJY720885 QTU720885 RDQ720885 RNM720885 RXI720885 SHE720885 SRA720885 TAW720885 TKS720885 TUO720885 UEK720885 UOG720885 UYC720885 VHY720885 VRU720885 WBQ720885 WLM720885 WVI720885 B786421 IW786421 SS786421 ACO786421 AMK786421 AWG786421 BGC786421 BPY786421 BZU786421 CJQ786421 CTM786421 DDI786421 DNE786421 DXA786421 EGW786421 EQS786421 FAO786421 FKK786421 FUG786421 GEC786421 GNY786421 GXU786421 HHQ786421 HRM786421 IBI786421 ILE786421 IVA786421 JEW786421 JOS786421 JYO786421 KIK786421 KSG786421 LCC786421 LLY786421 LVU786421 MFQ786421 MPM786421 MZI786421 NJE786421 NTA786421 OCW786421 OMS786421 OWO786421 PGK786421 PQG786421 QAC786421 QJY786421 QTU786421 RDQ786421 RNM786421 RXI786421 SHE786421 SRA786421 TAW786421 TKS786421 TUO786421 UEK786421 UOG786421 UYC786421 VHY786421 VRU786421 WBQ786421 WLM786421 WVI786421 B851957 IW851957 SS851957 ACO851957 AMK851957 AWG851957 BGC851957 BPY851957 BZU851957 CJQ851957 CTM851957 DDI851957 DNE851957 DXA851957 EGW851957 EQS851957 FAO851957 FKK851957 FUG851957 GEC851957 GNY851957 GXU851957 HHQ851957 HRM851957 IBI851957 ILE851957 IVA851957 JEW851957 JOS851957 JYO851957 KIK851957 KSG851957 LCC851957 LLY851957 LVU851957 MFQ851957 MPM851957 MZI851957 NJE851957 NTA851957 OCW851957 OMS851957 OWO851957 PGK851957 PQG851957 QAC851957 QJY851957 QTU851957 RDQ851957 RNM851957 RXI851957 SHE851957 SRA851957 TAW851957 TKS851957 TUO851957 UEK851957 UOG851957 UYC851957 VHY851957 VRU851957 WBQ851957 WLM851957 WVI851957 B917493 IW917493 SS917493 ACO917493 AMK917493 AWG917493 BGC917493 BPY917493 BZU917493 CJQ917493 CTM917493 DDI917493 DNE917493 DXA917493 EGW917493 EQS917493 FAO917493 FKK917493 FUG917493 GEC917493 GNY917493 GXU917493 HHQ917493 HRM917493 IBI917493 ILE917493 IVA917493 JEW917493 JOS917493 JYO917493 KIK917493 KSG917493 LCC917493 LLY917493 LVU917493 MFQ917493 MPM917493 MZI917493 NJE917493 NTA917493 OCW917493 OMS917493 OWO917493 PGK917493 PQG917493 QAC917493 QJY917493 QTU917493 RDQ917493 RNM917493 RXI917493 SHE917493 SRA917493 TAW917493 TKS917493 TUO917493 UEK917493 UOG917493 UYC917493 VHY917493 VRU917493 WBQ917493 WLM917493 WVI917493 B983029 IW983029 SS983029 ACO983029 AMK983029 AWG983029 BGC983029 BPY983029 BZU983029 CJQ983029 CTM983029 DDI983029 DNE983029 DXA983029 EGW983029 EQS983029 FAO983029 FKK983029 FUG983029 GEC983029 GNY983029 GXU983029 HHQ983029 HRM983029 IBI983029 ILE983029 IVA983029 JEW983029 JOS983029 JYO983029 KIK983029 KSG983029 LCC983029 LLY983029 LVU983029 MFQ983029 MPM983029 MZI983029 NJE983029 NTA983029 OCW983029 OMS983029 OWO983029 PGK983029 PQG983029 QAC983029 QJY983029 QTU983029 RDQ983029 RNM983029 RXI983029 SHE983029 SRA983029 TAW983029 TKS983029 TUO983029 UEK983029 UOG983029 UYC983029 VHY983029 VRU983029 WBQ983029 WLM983029">
      <formula1>Demand</formula1>
    </dataValidation>
  </dataValidation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'Data for Bill Impacts'!$A$12:$A$21</xm:f>
          </x14:formula1>
          <xm:sqref>B3</xm:sqref>
        </x14:dataValidation>
        <x14:dataValidation type="list" allowBlank="1" showInputMessage="1" showErrorMessage="1">
          <x14:formula1>
            <xm:f>'Data for Bill Impacts'!$A$3:$A$39</xm:f>
          </x14:formula1>
          <xm:sqref>C3</xm:sqref>
        </x14:dataValidation>
      </x14:dataValidations>
    </ext>
  </extLst>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pageSetUpPr fitToPage="1"/>
  </sheetPr>
  <dimension ref="A1:J40"/>
  <sheetViews>
    <sheetView topLeftCell="A10" workbookViewId="0">
      <selection activeCell="C19" sqref="C19"/>
    </sheetView>
  </sheetViews>
  <sheetFormatPr defaultRowHeight="12.75" x14ac:dyDescent="0.2"/>
  <cols>
    <col min="1" max="1" width="64.710937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48" t="s">
        <v>109</v>
      </c>
      <c r="B1" s="349"/>
      <c r="C1" s="349"/>
      <c r="D1" s="349"/>
      <c r="E1" s="349"/>
      <c r="F1" s="349"/>
      <c r="G1" s="349"/>
      <c r="H1" s="349"/>
      <c r="I1" s="349"/>
      <c r="J1" s="350"/>
    </row>
    <row r="3" spans="1:10" ht="25.5" x14ac:dyDescent="0.2">
      <c r="A3" s="13" t="s">
        <v>13</v>
      </c>
      <c r="B3" s="13" t="s">
        <v>11</v>
      </c>
      <c r="C3" s="204" t="s">
        <v>118</v>
      </c>
    </row>
    <row r="4" spans="1:10" x14ac:dyDescent="0.2">
      <c r="A4" s="15" t="s">
        <v>62</v>
      </c>
      <c r="B4" s="79">
        <v>200000</v>
      </c>
      <c r="C4" s="79">
        <f>B4</f>
        <v>200000</v>
      </c>
    </row>
    <row r="5" spans="1:10" x14ac:dyDescent="0.2">
      <c r="A5" s="15" t="s">
        <v>16</v>
      </c>
      <c r="B5" s="79">
        <v>500</v>
      </c>
      <c r="C5" s="79">
        <v>500</v>
      </c>
    </row>
    <row r="6" spans="1:10" x14ac:dyDescent="0.2">
      <c r="A6" s="15" t="s">
        <v>20</v>
      </c>
      <c r="B6" s="80">
        <f>VLOOKUP($B$3,'Data for Bill Impacts'!$A$3:$Y$15,2,0)</f>
        <v>1.034</v>
      </c>
      <c r="C6" s="80">
        <v>1.0326</v>
      </c>
    </row>
    <row r="7" spans="1:10" x14ac:dyDescent="0.2">
      <c r="A7" s="81" t="s">
        <v>49</v>
      </c>
      <c r="B7" s="82">
        <f>B4/(B5*730)</f>
        <v>0.54794520547945202</v>
      </c>
      <c r="C7" s="82">
        <f>C4/(C5*730)</f>
        <v>0.54794520547945202</v>
      </c>
    </row>
    <row r="8" spans="1:10" x14ac:dyDescent="0.2">
      <c r="A8" s="15" t="s">
        <v>15</v>
      </c>
      <c r="B8" s="79">
        <f>VLOOKUP($B$3,'Data for Bill Impacts'!$A$3:$Y$15,4,0)</f>
        <v>0</v>
      </c>
      <c r="C8" s="79">
        <f>'Data for Bill Impacts'!D25</f>
        <v>0</v>
      </c>
    </row>
    <row r="9" spans="1:10" x14ac:dyDescent="0.2">
      <c r="A9" s="15" t="s">
        <v>82</v>
      </c>
      <c r="B9" s="79">
        <f>B4*B6</f>
        <v>206800</v>
      </c>
      <c r="C9" s="79">
        <f>C4*C6</f>
        <v>206520</v>
      </c>
    </row>
    <row r="10" spans="1:10" x14ac:dyDescent="0.2">
      <c r="A10" s="15" t="s">
        <v>21</v>
      </c>
      <c r="B10" s="16" t="s">
        <v>19</v>
      </c>
      <c r="C10" s="16" t="str">
        <f>B10</f>
        <v>kW</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3" t="s">
        <v>50</v>
      </c>
    </row>
    <row r="13" spans="1:10" x14ac:dyDescent="0.2">
      <c r="A13" s="101" t="s">
        <v>31</v>
      </c>
      <c r="B13" s="102">
        <f>C9</f>
        <v>206520</v>
      </c>
      <c r="C13" s="103">
        <v>0.10299999999999999</v>
      </c>
      <c r="D13" s="104">
        <f>B13*C13</f>
        <v>21271.559999999998</v>
      </c>
      <c r="E13" s="102">
        <f>B9</f>
        <v>206800</v>
      </c>
      <c r="F13" s="103">
        <f>C13</f>
        <v>0.10299999999999999</v>
      </c>
      <c r="G13" s="104">
        <f>E13*F13</f>
        <v>21300.399999999998</v>
      </c>
      <c r="H13" s="104">
        <f>G13-D13</f>
        <v>28.840000000000146</v>
      </c>
      <c r="I13" s="105">
        <f>IF(ISERROR(H13/D13),0,(H13/D13))</f>
        <v>1.3558008909548781E-3</v>
      </c>
      <c r="J13" s="124">
        <f t="shared" ref="J13:J38" si="0">G13/$G$38</f>
        <v>0.63409832713761216</v>
      </c>
    </row>
    <row r="14" spans="1:10" x14ac:dyDescent="0.2">
      <c r="A14" s="107" t="s">
        <v>32</v>
      </c>
      <c r="B14" s="73">
        <v>0</v>
      </c>
      <c r="C14" s="21">
        <v>0.121</v>
      </c>
      <c r="D14" s="22">
        <f>B14*C14</f>
        <v>0</v>
      </c>
      <c r="E14" s="73">
        <f t="shared" ref="E14" si="1">B14</f>
        <v>0</v>
      </c>
      <c r="F14" s="21">
        <f>C14</f>
        <v>0.121</v>
      </c>
      <c r="G14" s="22">
        <f>E14*F14</f>
        <v>0</v>
      </c>
      <c r="H14" s="22">
        <f t="shared" ref="H14:H38" si="2">G14-D14</f>
        <v>0</v>
      </c>
      <c r="I14" s="23">
        <f t="shared" ref="I14:I33" si="3">IF(ISERROR(H14/D14),0,(H14/D14))</f>
        <v>0</v>
      </c>
      <c r="J14" s="125">
        <f t="shared" si="0"/>
        <v>0</v>
      </c>
    </row>
    <row r="15" spans="1:10" s="1" customFormat="1" x14ac:dyDescent="0.2">
      <c r="A15" s="46" t="s">
        <v>33</v>
      </c>
      <c r="B15" s="24"/>
      <c r="C15" s="25"/>
      <c r="D15" s="25">
        <f>SUM(D13:D14)</f>
        <v>21271.559999999998</v>
      </c>
      <c r="E15" s="76"/>
      <c r="F15" s="25"/>
      <c r="G15" s="25">
        <f>SUM(G13:G14)</f>
        <v>21300.399999999998</v>
      </c>
      <c r="H15" s="25">
        <f t="shared" si="2"/>
        <v>28.840000000000146</v>
      </c>
      <c r="I15" s="27">
        <f t="shared" si="3"/>
        <v>1.3558008909548781E-3</v>
      </c>
      <c r="J15" s="47">
        <f t="shared" si="0"/>
        <v>0.63409832713761216</v>
      </c>
    </row>
    <row r="16" spans="1:10" s="1" customFormat="1" x14ac:dyDescent="0.2">
      <c r="A16" s="107" t="s">
        <v>38</v>
      </c>
      <c r="B16" s="73">
        <v>1</v>
      </c>
      <c r="C16" s="122">
        <f>'Data for Bill Impacts'!G25</f>
        <v>518.85</v>
      </c>
      <c r="D16" s="22">
        <f>B16*C16</f>
        <v>518.85</v>
      </c>
      <c r="E16" s="73">
        <f t="shared" ref="E16:E33" si="4">B16</f>
        <v>1</v>
      </c>
      <c r="F16" s="78">
        <f>VLOOKUP($B$3,'Data for Bill Impacts'!$A$3:$Y$15,17,0)</f>
        <v>1269.2</v>
      </c>
      <c r="G16" s="22">
        <f>E16*F16</f>
        <v>1269.2</v>
      </c>
      <c r="H16" s="22">
        <f t="shared" si="2"/>
        <v>750.35</v>
      </c>
      <c r="I16" s="23">
        <f t="shared" si="3"/>
        <v>1.4461790498217211</v>
      </c>
      <c r="J16" s="125">
        <f t="shared" si="0"/>
        <v>3.7783215188590701E-2</v>
      </c>
    </row>
    <row r="17" spans="1:10" x14ac:dyDescent="0.2">
      <c r="A17" s="107" t="s">
        <v>192</v>
      </c>
      <c r="B17" s="73">
        <v>1</v>
      </c>
      <c r="C17" s="122">
        <f>'Data for Bill Impacts'!K25</f>
        <v>-5.19</v>
      </c>
      <c r="D17" s="22">
        <f>B17*C17</f>
        <v>-5.19</v>
      </c>
      <c r="E17" s="73">
        <f t="shared" si="4"/>
        <v>1</v>
      </c>
      <c r="F17" s="122">
        <v>0</v>
      </c>
      <c r="G17" s="22">
        <f t="shared" ref="G17:G18" si="5">E17*F17</f>
        <v>0</v>
      </c>
      <c r="H17" s="22">
        <f t="shared" si="2"/>
        <v>5.19</v>
      </c>
      <c r="I17" s="23">
        <f t="shared" si="3"/>
        <v>-1</v>
      </c>
      <c r="J17" s="125">
        <f t="shared" si="0"/>
        <v>0</v>
      </c>
    </row>
    <row r="18" spans="1:10" x14ac:dyDescent="0.2">
      <c r="A18" s="107" t="s">
        <v>85</v>
      </c>
      <c r="B18" s="73">
        <v>1</v>
      </c>
      <c r="C18" s="122">
        <v>0</v>
      </c>
      <c r="D18" s="22">
        <f t="shared" ref="D18" si="6">B18*C18</f>
        <v>0</v>
      </c>
      <c r="E18" s="73">
        <f t="shared" si="4"/>
        <v>1</v>
      </c>
      <c r="F18" s="78">
        <f>VLOOKUP($B$3,'Data for Bill Impacts'!$A$3:$Y$15,22,0)</f>
        <v>3.83</v>
      </c>
      <c r="G18" s="22">
        <f t="shared" si="5"/>
        <v>3.83</v>
      </c>
      <c r="H18" s="22">
        <f t="shared" si="2"/>
        <v>3.83</v>
      </c>
      <c r="I18" s="23">
        <f t="shared" si="3"/>
        <v>0</v>
      </c>
      <c r="J18" s="125">
        <f t="shared" si="0"/>
        <v>1.140164782321954E-4</v>
      </c>
    </row>
    <row r="19" spans="1:10" x14ac:dyDescent="0.2">
      <c r="A19" s="107" t="s">
        <v>39</v>
      </c>
      <c r="B19" s="73">
        <f>IF($C$10="kWh",$C$4,$C$5)</f>
        <v>500</v>
      </c>
      <c r="C19" s="126">
        <f>'Data for Bill Impacts'!J25</f>
        <v>2.7397999999999998</v>
      </c>
      <c r="D19" s="22">
        <f>B19*C19</f>
        <v>1369.8999999999999</v>
      </c>
      <c r="E19" s="73">
        <f>IF($B$10="kWh",$B$4,$B$5)</f>
        <v>500</v>
      </c>
      <c r="F19" s="78">
        <f>VLOOKUP($B$3,'Data for Bill Impacts'!$A$3:$Y$15,19,0)</f>
        <v>1.4475424689830076</v>
      </c>
      <c r="G19" s="22">
        <f>E19*F19</f>
        <v>723.77123449150383</v>
      </c>
      <c r="H19" s="22">
        <f t="shared" si="2"/>
        <v>-646.12876550849603</v>
      </c>
      <c r="I19" s="23">
        <f t="shared" si="3"/>
        <v>-0.47166126396707503</v>
      </c>
      <c r="J19" s="125">
        <f t="shared" si="0"/>
        <v>2.1546174204305414E-2</v>
      </c>
    </row>
    <row r="20" spans="1:10" x14ac:dyDescent="0.2">
      <c r="A20" s="107" t="s">
        <v>193</v>
      </c>
      <c r="B20" s="73">
        <f>IF($C$10="kWh",$C$4,$C$5)</f>
        <v>500</v>
      </c>
      <c r="C20" s="78">
        <f>'Data for Bill Impacts'!L25</f>
        <v>-2.7400000000000001E-2</v>
      </c>
      <c r="D20" s="22">
        <f>B20*C20</f>
        <v>-13.700000000000001</v>
      </c>
      <c r="E20" s="73">
        <f>B20</f>
        <v>500</v>
      </c>
      <c r="F20" s="126">
        <v>0</v>
      </c>
      <c r="G20" s="22">
        <f>E20*F20</f>
        <v>0</v>
      </c>
      <c r="H20" s="22">
        <f>G20-D20</f>
        <v>13.700000000000001</v>
      </c>
      <c r="I20" s="23">
        <f>IF(ISERROR(H20/D20),0,(H20/D20))</f>
        <v>-1</v>
      </c>
      <c r="J20" s="125">
        <f t="shared" si="0"/>
        <v>0</v>
      </c>
    </row>
    <row r="21" spans="1:10" s="1" customFormat="1" x14ac:dyDescent="0.2">
      <c r="A21" s="107" t="s">
        <v>194</v>
      </c>
      <c r="B21" s="73">
        <f>IF($C$10="kWh",$C$4,$C$5)</f>
        <v>500</v>
      </c>
      <c r="C21" s="126">
        <f>VLOOKUP($C$3,'Data for Bill Impacts'!$A$3:$Y$39,14,0)</f>
        <v>0</v>
      </c>
      <c r="D21" s="22">
        <f>B21*C21</f>
        <v>0</v>
      </c>
      <c r="E21" s="73">
        <f>IF($B$10="kWh",$B$4,$B$5)</f>
        <v>500</v>
      </c>
      <c r="F21" s="126">
        <f>VLOOKUP($B$3,'Data for Bill Impacts'!$A$3:$Y$15,23,0)</f>
        <v>0.27289999999999998</v>
      </c>
      <c r="G21" s="22">
        <f>E21*F21</f>
        <v>136.44999999999999</v>
      </c>
      <c r="H21" s="22">
        <f>G21-D21</f>
        <v>136.44999999999999</v>
      </c>
      <c r="I21" s="23">
        <f>IF(ISERROR(H21/D21),0,(H21/D21))</f>
        <v>0</v>
      </c>
      <c r="J21" s="125">
        <f t="shared" si="0"/>
        <v>4.0620230952436191E-3</v>
      </c>
    </row>
    <row r="22" spans="1:10" s="1" customFormat="1" x14ac:dyDescent="0.2">
      <c r="A22" s="107" t="s">
        <v>148</v>
      </c>
      <c r="B22" s="73">
        <f>C9</f>
        <v>206520</v>
      </c>
      <c r="C22" s="126">
        <f>VLOOKUP($C$3,'Data for Bill Impacts'!$A$3:$Y$39,20,0)</f>
        <v>0</v>
      </c>
      <c r="D22" s="22">
        <f>B22*C22</f>
        <v>0</v>
      </c>
      <c r="E22" s="73">
        <f>B9</f>
        <v>206800</v>
      </c>
      <c r="F22" s="78">
        <f>VLOOKUP($B$3,'Data for Bill Impacts'!$A$3:$Y$39,21,0)</f>
        <v>1.9E-3</v>
      </c>
      <c r="G22" s="22">
        <f>E22*F22</f>
        <v>392.92</v>
      </c>
      <c r="H22" s="22">
        <f t="shared" si="2"/>
        <v>392.92</v>
      </c>
      <c r="I22" s="23">
        <f>IF(ISERROR(H22/D22),0,(H22/D22))</f>
        <v>0</v>
      </c>
      <c r="J22" s="125">
        <f t="shared" si="0"/>
        <v>1.1696959432635564E-2</v>
      </c>
    </row>
    <row r="23" spans="1:10" x14ac:dyDescent="0.2">
      <c r="A23" s="110" t="s">
        <v>97</v>
      </c>
      <c r="B23" s="74"/>
      <c r="C23" s="35"/>
      <c r="D23" s="35">
        <f>SUM(D16:D22)</f>
        <v>1869.86</v>
      </c>
      <c r="E23" s="73"/>
      <c r="F23" s="35"/>
      <c r="G23" s="35">
        <f>SUM(G16:G22)</f>
        <v>2526.1712344915036</v>
      </c>
      <c r="H23" s="35">
        <f t="shared" si="2"/>
        <v>656.31123449150368</v>
      </c>
      <c r="I23" s="36">
        <f t="shared" si="3"/>
        <v>0.35099485228386279</v>
      </c>
      <c r="J23" s="111">
        <f t="shared" si="0"/>
        <v>7.5202388399007489E-2</v>
      </c>
    </row>
    <row r="24" spans="1:10" x14ac:dyDescent="0.2">
      <c r="A24" s="107" t="s">
        <v>40</v>
      </c>
      <c r="B24" s="73">
        <f>C5</f>
        <v>500</v>
      </c>
      <c r="C24" s="126">
        <f>VLOOKUP($C$3,'Data for Bill Impacts'!$A$3:$Y$39,15,0)</f>
        <v>2.7930999999999999</v>
      </c>
      <c r="D24" s="22">
        <f>B24*C24</f>
        <v>1396.55</v>
      </c>
      <c r="E24" s="73">
        <f>B5</f>
        <v>500</v>
      </c>
      <c r="F24" s="78">
        <f>VLOOKUP($B$3,'Data for Bill Impacts'!$A$3:$Y$15,24,0)</f>
        <v>3.5367000000000002</v>
      </c>
      <c r="G24" s="22">
        <f>E24*F24</f>
        <v>1768.3500000000001</v>
      </c>
      <c r="H24" s="22">
        <f t="shared" si="2"/>
        <v>371.80000000000018</v>
      </c>
      <c r="I24" s="23">
        <f t="shared" si="3"/>
        <v>0.26622748916973987</v>
      </c>
      <c r="J24" s="125">
        <f t="shared" si="0"/>
        <v>5.2642569003107764E-2</v>
      </c>
    </row>
    <row r="25" spans="1:10" s="1" customFormat="1" x14ac:dyDescent="0.2">
      <c r="A25" s="107" t="s">
        <v>41</v>
      </c>
      <c r="B25" s="73">
        <f>C5</f>
        <v>500</v>
      </c>
      <c r="C25" s="126">
        <f>VLOOKUP($C$3,'Data for Bill Impacts'!$A$3:$Y$39,16,0)</f>
        <v>2.2465318991985725</v>
      </c>
      <c r="D25" s="22">
        <f>B25*C25</f>
        <v>1123.2659495992862</v>
      </c>
      <c r="E25" s="73">
        <f>B5</f>
        <v>500</v>
      </c>
      <c r="F25" s="78">
        <f>VLOOKUP($B$3,'Data for Bill Impacts'!$A$3:$Y$15,25,0)</f>
        <v>2.6514000000000002</v>
      </c>
      <c r="G25" s="22">
        <f>E25*F25</f>
        <v>1325.7</v>
      </c>
      <c r="H25" s="22">
        <f t="shared" si="2"/>
        <v>202.43405040071389</v>
      </c>
      <c r="I25" s="23">
        <f t="shared" si="3"/>
        <v>0.18021916401269905</v>
      </c>
      <c r="J25" s="125">
        <f t="shared" si="0"/>
        <v>3.9465181512381577E-2</v>
      </c>
    </row>
    <row r="26" spans="1:10" x14ac:dyDescent="0.2">
      <c r="A26" s="110" t="s">
        <v>76</v>
      </c>
      <c r="B26" s="74"/>
      <c r="C26" s="35"/>
      <c r="D26" s="35">
        <f>SUM(D24:D25)</f>
        <v>2519.8159495992859</v>
      </c>
      <c r="E26" s="73"/>
      <c r="F26" s="35"/>
      <c r="G26" s="35">
        <f>SUM(G24:G25)</f>
        <v>3094.05</v>
      </c>
      <c r="H26" s="35">
        <f t="shared" si="2"/>
        <v>574.2340504007143</v>
      </c>
      <c r="I26" s="36">
        <f t="shared" si="3"/>
        <v>0.22788729886880507</v>
      </c>
      <c r="J26" s="111">
        <f t="shared" si="0"/>
        <v>9.2107750515489334E-2</v>
      </c>
    </row>
    <row r="27" spans="1:10" s="1" customFormat="1" x14ac:dyDescent="0.2">
      <c r="A27" s="110" t="s">
        <v>80</v>
      </c>
      <c r="B27" s="74"/>
      <c r="C27" s="35"/>
      <c r="D27" s="35">
        <f>D23+D26</f>
        <v>4389.6759495992856</v>
      </c>
      <c r="E27" s="73"/>
      <c r="F27" s="35"/>
      <c r="G27" s="35">
        <f>G23+G26</f>
        <v>5620.2212344915042</v>
      </c>
      <c r="H27" s="35">
        <f t="shared" si="2"/>
        <v>1230.5452848922187</v>
      </c>
      <c r="I27" s="36">
        <f t="shared" si="3"/>
        <v>0.28032713553822802</v>
      </c>
      <c r="J27" s="111">
        <f t="shared" si="0"/>
        <v>0.16731013891449684</v>
      </c>
    </row>
    <row r="28" spans="1:10" x14ac:dyDescent="0.2">
      <c r="A28" s="107" t="s">
        <v>42</v>
      </c>
      <c r="B28" s="73">
        <f>C9</f>
        <v>206520</v>
      </c>
      <c r="C28" s="34">
        <v>3.5999999999999999E-3</v>
      </c>
      <c r="D28" s="22">
        <f>B28*C28</f>
        <v>743.47199999999998</v>
      </c>
      <c r="E28" s="73">
        <f>B9</f>
        <v>206800</v>
      </c>
      <c r="F28" s="34">
        <v>3.5999999999999999E-3</v>
      </c>
      <c r="G28" s="22">
        <f>E28*F28</f>
        <v>744.48</v>
      </c>
      <c r="H28" s="22">
        <f t="shared" si="2"/>
        <v>1.0080000000000382</v>
      </c>
      <c r="I28" s="23">
        <f t="shared" si="3"/>
        <v>1.3558008909549226E-3</v>
      </c>
      <c r="J28" s="125">
        <f t="shared" si="0"/>
        <v>2.2162659977625281E-2</v>
      </c>
    </row>
    <row r="29" spans="1:10" x14ac:dyDescent="0.2">
      <c r="A29" s="107" t="s">
        <v>43</v>
      </c>
      <c r="B29" s="73">
        <f>C9</f>
        <v>206520</v>
      </c>
      <c r="C29" s="34">
        <v>2.0999999999999999E-3</v>
      </c>
      <c r="D29" s="22">
        <f>B29*C29</f>
        <v>433.69199999999995</v>
      </c>
      <c r="E29" s="73">
        <f>B9</f>
        <v>206800</v>
      </c>
      <c r="F29" s="34">
        <v>2.0999999999999999E-3</v>
      </c>
      <c r="G29" s="22">
        <f>E29*F29</f>
        <v>434.28</v>
      </c>
      <c r="H29" s="22">
        <f>G29-D29</f>
        <v>0.58800000000002228</v>
      </c>
      <c r="I29" s="23">
        <f t="shared" si="3"/>
        <v>1.3558008909549228E-3</v>
      </c>
      <c r="J29" s="125">
        <f t="shared" si="0"/>
        <v>1.2928218320281413E-2</v>
      </c>
    </row>
    <row r="30" spans="1:10" x14ac:dyDescent="0.2">
      <c r="A30" s="107" t="s">
        <v>100</v>
      </c>
      <c r="B30" s="73">
        <f>C9</f>
        <v>206520</v>
      </c>
      <c r="C30" s="34">
        <v>1.1000000000000001E-3</v>
      </c>
      <c r="D30" s="22">
        <f>B30*C30</f>
        <v>227.17200000000003</v>
      </c>
      <c r="E30" s="73">
        <f>B9</f>
        <v>206800</v>
      </c>
      <c r="F30" s="34">
        <v>1.1000000000000001E-3</v>
      </c>
      <c r="G30" s="22">
        <f>E30*F30</f>
        <v>227.48000000000002</v>
      </c>
      <c r="H30" s="22">
        <f>G30-D30</f>
        <v>0.30799999999999272</v>
      </c>
      <c r="I30" s="23">
        <f t="shared" si="3"/>
        <v>1.3558008909548391E-3</v>
      </c>
      <c r="J30" s="125">
        <f t="shared" si="0"/>
        <v>6.7719238820521692E-3</v>
      </c>
    </row>
    <row r="31" spans="1:10" x14ac:dyDescent="0.2">
      <c r="A31" s="107" t="s">
        <v>44</v>
      </c>
      <c r="B31" s="73">
        <v>1</v>
      </c>
      <c r="C31" s="22">
        <v>0.25</v>
      </c>
      <c r="D31" s="22">
        <f>B31*C31</f>
        <v>0.25</v>
      </c>
      <c r="E31" s="73">
        <f t="shared" si="4"/>
        <v>1</v>
      </c>
      <c r="F31" s="22">
        <f>C31</f>
        <v>0.25</v>
      </c>
      <c r="G31" s="22">
        <f>E31*F31</f>
        <v>0.25</v>
      </c>
      <c r="H31" s="22">
        <f t="shared" si="2"/>
        <v>0</v>
      </c>
      <c r="I31" s="23">
        <f t="shared" si="3"/>
        <v>0</v>
      </c>
      <c r="J31" s="125">
        <f t="shared" si="0"/>
        <v>7.4423288663312917E-6</v>
      </c>
    </row>
    <row r="32" spans="1:10" x14ac:dyDescent="0.2">
      <c r="A32" s="110" t="s">
        <v>45</v>
      </c>
      <c r="B32" s="74"/>
      <c r="C32" s="35"/>
      <c r="D32" s="35">
        <f>SUM(D28:D31)</f>
        <v>1404.586</v>
      </c>
      <c r="E32" s="73"/>
      <c r="F32" s="35"/>
      <c r="G32" s="35">
        <f>SUM(G28:G31)</f>
        <v>1406.49</v>
      </c>
      <c r="H32" s="35">
        <f t="shared" si="2"/>
        <v>1.9039999999999964</v>
      </c>
      <c r="I32" s="36">
        <f t="shared" si="3"/>
        <v>1.3555595741378572E-3</v>
      </c>
      <c r="J32" s="111">
        <f t="shared" si="0"/>
        <v>4.1870244508825191E-2</v>
      </c>
    </row>
    <row r="33" spans="1:10" ht="13.5" thickBot="1" x14ac:dyDescent="0.25">
      <c r="A33" s="112" t="s">
        <v>46</v>
      </c>
      <c r="B33" s="113">
        <f>B4</f>
        <v>200000</v>
      </c>
      <c r="C33" s="114">
        <v>7.0000000000000001E-3</v>
      </c>
      <c r="D33" s="115">
        <f>B33*C33</f>
        <v>1400</v>
      </c>
      <c r="E33" s="116">
        <f t="shared" si="4"/>
        <v>200000</v>
      </c>
      <c r="F33" s="114">
        <f>C33</f>
        <v>7.0000000000000001E-3</v>
      </c>
      <c r="G33" s="115">
        <f>E33*F33</f>
        <v>1400</v>
      </c>
      <c r="H33" s="115">
        <f t="shared" si="2"/>
        <v>0</v>
      </c>
      <c r="I33" s="117">
        <f t="shared" si="3"/>
        <v>0</v>
      </c>
      <c r="J33" s="118">
        <f t="shared" si="0"/>
        <v>4.1677041651455235E-2</v>
      </c>
    </row>
    <row r="34" spans="1:10" x14ac:dyDescent="0.2">
      <c r="A34" s="37" t="s">
        <v>146</v>
      </c>
      <c r="B34" s="38"/>
      <c r="C34" s="39"/>
      <c r="D34" s="39">
        <f>SUM(D15,D23,D26,D32,D33)</f>
        <v>28465.821949599285</v>
      </c>
      <c r="E34" s="38"/>
      <c r="F34" s="39"/>
      <c r="G34" s="39">
        <f>SUM(G15,G23,G26,G32,G33)</f>
        <v>29727.111234491502</v>
      </c>
      <c r="H34" s="39">
        <f t="shared" si="2"/>
        <v>1261.2892848922165</v>
      </c>
      <c r="I34" s="40">
        <f>IF(ISERROR(H34/D34),0,(H34/D34))</f>
        <v>4.4308900938304779E-2</v>
      </c>
      <c r="J34" s="41">
        <f t="shared" si="0"/>
        <v>0.88495575221238942</v>
      </c>
    </row>
    <row r="35" spans="1:10" x14ac:dyDescent="0.2">
      <c r="A35" s="46" t="s">
        <v>138</v>
      </c>
      <c r="B35" s="43"/>
      <c r="C35" s="26">
        <v>0.13</v>
      </c>
      <c r="D35" s="26">
        <f>D34*C35</f>
        <v>3700.5568534479071</v>
      </c>
      <c r="E35" s="26"/>
      <c r="F35" s="26">
        <f>C35</f>
        <v>0.13</v>
      </c>
      <c r="G35" s="26">
        <f>G34*F35</f>
        <v>3864.5244604838954</v>
      </c>
      <c r="H35" s="26">
        <f t="shared" si="2"/>
        <v>163.96760703598829</v>
      </c>
      <c r="I35" s="44">
        <f t="shared" ref="I35:I38" si="7">IF(ISERROR(H35/D35),0,(H35/D35))</f>
        <v>4.4308900938304821E-2</v>
      </c>
      <c r="J35" s="45">
        <f t="shared" si="0"/>
        <v>0.11504424778761062</v>
      </c>
    </row>
    <row r="36" spans="1:10" x14ac:dyDescent="0.2">
      <c r="A36" s="46" t="s">
        <v>139</v>
      </c>
      <c r="B36" s="24"/>
      <c r="C36" s="25"/>
      <c r="D36" s="25">
        <f>SUM(D34:D35)</f>
        <v>32166.378803047191</v>
      </c>
      <c r="E36" s="25"/>
      <c r="F36" s="25"/>
      <c r="G36" s="25">
        <f>SUM(G34:G35)</f>
        <v>33591.635694975397</v>
      </c>
      <c r="H36" s="25">
        <f t="shared" si="2"/>
        <v>1425.2568919282057</v>
      </c>
      <c r="I36" s="27">
        <f t="shared" si="7"/>
        <v>4.4308900938304814E-2</v>
      </c>
      <c r="J36" s="47">
        <f t="shared" si="0"/>
        <v>1</v>
      </c>
    </row>
    <row r="37" spans="1:10" x14ac:dyDescent="0.2">
      <c r="A37" s="46" t="s">
        <v>140</v>
      </c>
      <c r="B37" s="43"/>
      <c r="C37" s="26">
        <v>0</v>
      </c>
      <c r="D37" s="26">
        <f>D34*C37</f>
        <v>0</v>
      </c>
      <c r="E37" s="26"/>
      <c r="F37" s="26">
        <f>C37</f>
        <v>0</v>
      </c>
      <c r="G37" s="26">
        <f>G34*F37</f>
        <v>0</v>
      </c>
      <c r="H37" s="26">
        <f t="shared" si="2"/>
        <v>0</v>
      </c>
      <c r="I37" s="44">
        <f t="shared" si="7"/>
        <v>0</v>
      </c>
      <c r="J37" s="45">
        <f t="shared" si="0"/>
        <v>0</v>
      </c>
    </row>
    <row r="38" spans="1:10" ht="13.5" thickBot="1" x14ac:dyDescent="0.25">
      <c r="A38" s="46" t="s">
        <v>141</v>
      </c>
      <c r="B38" s="49"/>
      <c r="C38" s="50"/>
      <c r="D38" s="50">
        <f>SUM(D36:D37)</f>
        <v>32166.378803047191</v>
      </c>
      <c r="E38" s="50"/>
      <c r="F38" s="50"/>
      <c r="G38" s="50">
        <f>SUM(G36:G37)</f>
        <v>33591.635694975397</v>
      </c>
      <c r="H38" s="50">
        <f t="shared" si="2"/>
        <v>1425.2568919282057</v>
      </c>
      <c r="I38" s="51">
        <f t="shared" si="7"/>
        <v>4.4308900938304814E-2</v>
      </c>
      <c r="J38" s="52">
        <f t="shared" si="0"/>
        <v>1</v>
      </c>
    </row>
    <row r="39" spans="1:10" x14ac:dyDescent="0.2">
      <c r="F39" s="69"/>
    </row>
    <row r="40" spans="1:10" x14ac:dyDescent="0.2">
      <c r="F40" s="69"/>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Impacts'!$A$12:$A$21</xm:f>
          </x14:formula1>
          <xm:sqref>B3</xm:sqref>
        </x14:dataValidation>
      </x14:dataValidations>
    </ext>
  </extLst>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8">
    <pageSetUpPr fitToPage="1"/>
  </sheetPr>
  <dimension ref="A1:J40"/>
  <sheetViews>
    <sheetView topLeftCell="A10" workbookViewId="0">
      <selection activeCell="C19" sqref="C19"/>
    </sheetView>
  </sheetViews>
  <sheetFormatPr defaultRowHeight="12.75" x14ac:dyDescent="0.2"/>
  <cols>
    <col min="1" max="1" width="64.710937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48" t="s">
        <v>112</v>
      </c>
      <c r="B1" s="349"/>
      <c r="C1" s="349"/>
      <c r="D1" s="349"/>
      <c r="E1" s="349"/>
      <c r="F1" s="349"/>
      <c r="G1" s="349"/>
      <c r="H1" s="349"/>
      <c r="I1" s="349"/>
      <c r="J1" s="350"/>
    </row>
    <row r="3" spans="1:10" ht="25.5" x14ac:dyDescent="0.2">
      <c r="A3" s="13" t="s">
        <v>13</v>
      </c>
      <c r="B3" s="13" t="s">
        <v>11</v>
      </c>
      <c r="C3" s="204" t="s">
        <v>118</v>
      </c>
    </row>
    <row r="4" spans="1:10" x14ac:dyDescent="0.2">
      <c r="A4" s="15" t="s">
        <v>62</v>
      </c>
      <c r="B4" s="79">
        <f>C4</f>
        <v>1037333.9285714286</v>
      </c>
      <c r="C4" s="79">
        <f>'Data for Bill Impacts_HONI Avg '!E34</f>
        <v>1037333.9285714286</v>
      </c>
    </row>
    <row r="5" spans="1:10" x14ac:dyDescent="0.2">
      <c r="A5" s="15" t="s">
        <v>16</v>
      </c>
      <c r="B5" s="79">
        <f>C5</f>
        <v>50794.297619047626</v>
      </c>
      <c r="C5" s="79">
        <f>'Data for Bill Impacts_HONI Avg '!F34</f>
        <v>50794.297619047626</v>
      </c>
    </row>
    <row r="6" spans="1:10" x14ac:dyDescent="0.2">
      <c r="A6" s="15" t="s">
        <v>20</v>
      </c>
      <c r="B6" s="80">
        <f>VLOOKUP($B$3,'Data for Bill Impacts'!$A$3:$Y$15,2,0)</f>
        <v>1.034</v>
      </c>
      <c r="C6" s="80">
        <v>1.0044</v>
      </c>
    </row>
    <row r="7" spans="1:10" x14ac:dyDescent="0.2">
      <c r="A7" s="81" t="s">
        <v>49</v>
      </c>
      <c r="B7" s="82">
        <f>B4/(B5*730)</f>
        <v>2.7975687197450808E-2</v>
      </c>
      <c r="C7" s="82">
        <f>C4/(C5*730)</f>
        <v>2.7975687197450808E-2</v>
      </c>
    </row>
    <row r="8" spans="1:10" x14ac:dyDescent="0.2">
      <c r="A8" s="15" t="s">
        <v>15</v>
      </c>
      <c r="B8" s="79">
        <f>VLOOKUP($B$3,'Data for Bill Impacts'!$A$3:$Y$15,4,0)</f>
        <v>0</v>
      </c>
      <c r="C8" s="79">
        <f>'Data for Bill Impacts'!D25</f>
        <v>0</v>
      </c>
    </row>
    <row r="9" spans="1:10" x14ac:dyDescent="0.2">
      <c r="A9" s="15" t="s">
        <v>82</v>
      </c>
      <c r="B9" s="79">
        <f>B4*B6</f>
        <v>1072603.2821428573</v>
      </c>
      <c r="C9" s="79">
        <f>C4*C6</f>
        <v>1041898.1978571429</v>
      </c>
    </row>
    <row r="10" spans="1:10" x14ac:dyDescent="0.2">
      <c r="A10" s="15" t="s">
        <v>21</v>
      </c>
      <c r="B10" s="16" t="s">
        <v>19</v>
      </c>
      <c r="C10" s="16" t="str">
        <f>B10</f>
        <v>kW</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3" t="s">
        <v>50</v>
      </c>
    </row>
    <row r="13" spans="1:10" x14ac:dyDescent="0.2">
      <c r="A13" s="101" t="s">
        <v>31</v>
      </c>
      <c r="B13" s="102">
        <f>C9</f>
        <v>1041898.1978571429</v>
      </c>
      <c r="C13" s="103">
        <v>0.10299999999999999</v>
      </c>
      <c r="D13" s="104">
        <f>B13*C13</f>
        <v>107315.51437928571</v>
      </c>
      <c r="E13" s="102">
        <f>B9</f>
        <v>1072603.2821428573</v>
      </c>
      <c r="F13" s="103">
        <f>C13</f>
        <v>0.10299999999999999</v>
      </c>
      <c r="G13" s="104">
        <f>E13*F13</f>
        <v>110478.13806071429</v>
      </c>
      <c r="H13" s="104">
        <f>G13-D13</f>
        <v>3162.6236814285803</v>
      </c>
      <c r="I13" s="105">
        <f>IF(ISERROR(H13/D13),0,(H13/D13))</f>
        <v>2.9470330545599447E-2</v>
      </c>
      <c r="J13" s="124">
        <f t="shared" ref="J13:J38" si="0">G13/$G$38</f>
        <v>0.1844498853369351</v>
      </c>
    </row>
    <row r="14" spans="1:10" x14ac:dyDescent="0.2">
      <c r="A14" s="107" t="s">
        <v>32</v>
      </c>
      <c r="B14" s="73">
        <v>0</v>
      </c>
      <c r="C14" s="21">
        <v>0.121</v>
      </c>
      <c r="D14" s="22">
        <f>B14*C14</f>
        <v>0</v>
      </c>
      <c r="E14" s="73">
        <f t="shared" ref="E14" si="1">B14</f>
        <v>0</v>
      </c>
      <c r="F14" s="21">
        <f>C14</f>
        <v>0.121</v>
      </c>
      <c r="G14" s="22">
        <f>E14*F14</f>
        <v>0</v>
      </c>
      <c r="H14" s="22">
        <f t="shared" ref="H14:H38" si="2">G14-D14</f>
        <v>0</v>
      </c>
      <c r="I14" s="23">
        <f t="shared" ref="I14:I33" si="3">IF(ISERROR(H14/D14),0,(H14/D14))</f>
        <v>0</v>
      </c>
      <c r="J14" s="125">
        <f t="shared" si="0"/>
        <v>0</v>
      </c>
    </row>
    <row r="15" spans="1:10" s="1" customFormat="1" x14ac:dyDescent="0.2">
      <c r="A15" s="46" t="s">
        <v>33</v>
      </c>
      <c r="B15" s="24"/>
      <c r="C15" s="25"/>
      <c r="D15" s="25">
        <f>SUM(D13:D14)</f>
        <v>107315.51437928571</v>
      </c>
      <c r="E15" s="76"/>
      <c r="F15" s="25"/>
      <c r="G15" s="25">
        <f>SUM(G13:G14)</f>
        <v>110478.13806071429</v>
      </c>
      <c r="H15" s="25">
        <f t="shared" si="2"/>
        <v>3162.6236814285803</v>
      </c>
      <c r="I15" s="27">
        <f t="shared" si="3"/>
        <v>2.9470330545599447E-2</v>
      </c>
      <c r="J15" s="47">
        <f t="shared" si="0"/>
        <v>0.1844498853369351</v>
      </c>
    </row>
    <row r="16" spans="1:10" s="1" customFormat="1" x14ac:dyDescent="0.2">
      <c r="A16" s="107" t="s">
        <v>38</v>
      </c>
      <c r="B16" s="73">
        <v>1</v>
      </c>
      <c r="C16" s="122">
        <f>'Data for Bill Impacts'!G25</f>
        <v>518.85</v>
      </c>
      <c r="D16" s="22">
        <f>B16*C16</f>
        <v>518.85</v>
      </c>
      <c r="E16" s="73">
        <f t="shared" ref="E16:E33" si="4">B16</f>
        <v>1</v>
      </c>
      <c r="F16" s="78">
        <f>VLOOKUP($B$3,'Data for Bill Impacts'!$A$3:$Y$15,17,0)</f>
        <v>1269.2</v>
      </c>
      <c r="G16" s="22">
        <f>E16*F16</f>
        <v>1269.2</v>
      </c>
      <c r="H16" s="22">
        <f t="shared" si="2"/>
        <v>750.35</v>
      </c>
      <c r="I16" s="23">
        <f t="shared" si="3"/>
        <v>1.4461790498217211</v>
      </c>
      <c r="J16" s="125">
        <f t="shared" si="0"/>
        <v>2.1190056112367146E-3</v>
      </c>
    </row>
    <row r="17" spans="1:10" x14ac:dyDescent="0.2">
      <c r="A17" s="107" t="s">
        <v>192</v>
      </c>
      <c r="B17" s="73">
        <v>1</v>
      </c>
      <c r="C17" s="122">
        <f>'Data for Bill Impacts'!K25</f>
        <v>-5.19</v>
      </c>
      <c r="D17" s="22">
        <f>B17*C17</f>
        <v>-5.19</v>
      </c>
      <c r="E17" s="73">
        <f t="shared" si="4"/>
        <v>1</v>
      </c>
      <c r="F17" s="122">
        <v>0</v>
      </c>
      <c r="G17" s="22">
        <f t="shared" ref="G17:G18" si="5">E17*F17</f>
        <v>0</v>
      </c>
      <c r="H17" s="22">
        <f t="shared" si="2"/>
        <v>5.19</v>
      </c>
      <c r="I17" s="23">
        <f t="shared" si="3"/>
        <v>-1</v>
      </c>
      <c r="J17" s="125">
        <f t="shared" si="0"/>
        <v>0</v>
      </c>
    </row>
    <row r="18" spans="1:10" x14ac:dyDescent="0.2">
      <c r="A18" s="107" t="s">
        <v>85</v>
      </c>
      <c r="B18" s="73">
        <v>1</v>
      </c>
      <c r="C18" s="122">
        <f>'Data for Bill Impacts'!M25</f>
        <v>0</v>
      </c>
      <c r="D18" s="22">
        <f t="shared" ref="D18" si="6">B18*C18</f>
        <v>0</v>
      </c>
      <c r="E18" s="73">
        <f t="shared" si="4"/>
        <v>1</v>
      </c>
      <c r="F18" s="78">
        <f>VLOOKUP($B$3,'Data for Bill Impacts'!$A$3:$Y$15,22,0)</f>
        <v>3.83</v>
      </c>
      <c r="G18" s="22">
        <f t="shared" si="5"/>
        <v>3.83</v>
      </c>
      <c r="H18" s="22">
        <f t="shared" si="2"/>
        <v>3.83</v>
      </c>
      <c r="I18" s="23">
        <f t="shared" si="3"/>
        <v>0</v>
      </c>
      <c r="J18" s="125">
        <f t="shared" si="0"/>
        <v>6.3944149787556076E-6</v>
      </c>
    </row>
    <row r="19" spans="1:10" x14ac:dyDescent="0.2">
      <c r="A19" s="107" t="s">
        <v>39</v>
      </c>
      <c r="B19" s="73">
        <f>IF($C$10="kWh",$C$4,$C$5)</f>
        <v>50794.297619047626</v>
      </c>
      <c r="C19" s="126">
        <f>'Data for Bill Impacts'!J25</f>
        <v>2.7397999999999998</v>
      </c>
      <c r="D19" s="22">
        <f>B19*C19</f>
        <v>139166.21661666667</v>
      </c>
      <c r="E19" s="73">
        <f>IF($B$10="kWh",$B$4,$B$5)</f>
        <v>50794.297619047626</v>
      </c>
      <c r="F19" s="78">
        <f>VLOOKUP($B$3,'Data for Bill Impacts'!$A$3:$Y$15,19,0)</f>
        <v>1.4475424689830076</v>
      </c>
      <c r="G19" s="22">
        <f>E19*F19</f>
        <v>73526.902985733905</v>
      </c>
      <c r="H19" s="22">
        <f t="shared" si="2"/>
        <v>-65639.313630932767</v>
      </c>
      <c r="I19" s="23">
        <f t="shared" si="3"/>
        <v>-0.47166126396707508</v>
      </c>
      <c r="J19" s="125">
        <f t="shared" si="0"/>
        <v>0.12275757958054498</v>
      </c>
    </row>
    <row r="20" spans="1:10" x14ac:dyDescent="0.2">
      <c r="A20" s="107" t="s">
        <v>193</v>
      </c>
      <c r="B20" s="73">
        <f>IF($C$10="kWh",$C$4,$C$5)</f>
        <v>50794.297619047626</v>
      </c>
      <c r="C20" s="78">
        <f>'Data for Bill Impacts'!L25</f>
        <v>-2.7400000000000001E-2</v>
      </c>
      <c r="D20" s="22">
        <f>B20*C20</f>
        <v>-1391.7637547619049</v>
      </c>
      <c r="E20" s="73">
        <f>B20</f>
        <v>50794.297619047626</v>
      </c>
      <c r="F20" s="126">
        <v>0</v>
      </c>
      <c r="G20" s="22">
        <f>E20*F20</f>
        <v>0</v>
      </c>
      <c r="H20" s="22">
        <f>G20-D20</f>
        <v>1391.7637547619049</v>
      </c>
      <c r="I20" s="23">
        <f>IF(ISERROR(H20/D20),0,(H20/D20))</f>
        <v>-1</v>
      </c>
      <c r="J20" s="125">
        <f t="shared" si="0"/>
        <v>0</v>
      </c>
    </row>
    <row r="21" spans="1:10" s="1" customFormat="1" x14ac:dyDescent="0.2">
      <c r="A21" s="107" t="s">
        <v>194</v>
      </c>
      <c r="B21" s="73">
        <f>IF($C$10="kWh",$C$4,$C$5)</f>
        <v>50794.297619047626</v>
      </c>
      <c r="C21" s="126">
        <f>VLOOKUP($C$3,'Data for Bill Impacts'!$A$3:$Y$39,14,0)</f>
        <v>0</v>
      </c>
      <c r="D21" s="22">
        <f>B21*C21</f>
        <v>0</v>
      </c>
      <c r="E21" s="73">
        <f>IF($B$10="kWh",$B$4,$B$5)</f>
        <v>50794.297619047626</v>
      </c>
      <c r="F21" s="126">
        <f>VLOOKUP($B$3,'Data for Bill Impacts'!$A$3:$Y$15,23,0)</f>
        <v>0.27289999999999998</v>
      </c>
      <c r="G21" s="22">
        <f>E21*F21</f>
        <v>13861.763820238095</v>
      </c>
      <c r="H21" s="22">
        <f>G21-D21</f>
        <v>13861.763820238095</v>
      </c>
      <c r="I21" s="23">
        <f>IF(ISERROR(H21/D21),0,(H21/D21))</f>
        <v>0</v>
      </c>
      <c r="J21" s="125">
        <f t="shared" si="0"/>
        <v>2.3143047050679641E-2</v>
      </c>
    </row>
    <row r="22" spans="1:10" s="1" customFormat="1" x14ac:dyDescent="0.2">
      <c r="A22" s="107" t="s">
        <v>148</v>
      </c>
      <c r="B22" s="73">
        <f>C9</f>
        <v>1041898.1978571429</v>
      </c>
      <c r="C22" s="126">
        <f>VLOOKUP($C$3,'Data for Bill Impacts'!$A$3:$Y$39,20,0)</f>
        <v>0</v>
      </c>
      <c r="D22" s="22">
        <f>B22*C22</f>
        <v>0</v>
      </c>
      <c r="E22" s="73">
        <f>B9</f>
        <v>1072603.2821428573</v>
      </c>
      <c r="F22" s="78">
        <f>VLOOKUP($B$3,'Data for Bill Impacts'!$A$3:$Y$39,21,0)</f>
        <v>1.9E-3</v>
      </c>
      <c r="G22" s="22">
        <f>E22*F22</f>
        <v>2037.946236071429</v>
      </c>
      <c r="H22" s="22">
        <f t="shared" si="2"/>
        <v>2037.946236071429</v>
      </c>
      <c r="I22" s="23">
        <f>IF(ISERROR(H22/D22),0,(H22/D22))</f>
        <v>0</v>
      </c>
      <c r="J22" s="125">
        <f t="shared" si="0"/>
        <v>3.4024736130114247E-3</v>
      </c>
    </row>
    <row r="23" spans="1:10" x14ac:dyDescent="0.2">
      <c r="A23" s="110" t="s">
        <v>97</v>
      </c>
      <c r="B23" s="74"/>
      <c r="C23" s="35"/>
      <c r="D23" s="35">
        <f>SUM(D16:D22)</f>
        <v>138288.11286190478</v>
      </c>
      <c r="E23" s="73"/>
      <c r="F23" s="35"/>
      <c r="G23" s="35">
        <f>SUM(G16:G22)</f>
        <v>90699.643042043419</v>
      </c>
      <c r="H23" s="35">
        <f t="shared" si="2"/>
        <v>-47588.469819861362</v>
      </c>
      <c r="I23" s="36">
        <f t="shared" si="3"/>
        <v>-0.34412552774787991</v>
      </c>
      <c r="J23" s="111">
        <f t="shared" si="0"/>
        <v>0.15142850027045149</v>
      </c>
    </row>
    <row r="24" spans="1:10" x14ac:dyDescent="0.2">
      <c r="A24" s="107" t="s">
        <v>40</v>
      </c>
      <c r="B24" s="73">
        <f>C5</f>
        <v>50794.297619047626</v>
      </c>
      <c r="C24" s="126">
        <f>VLOOKUP($C$3,'Data for Bill Impacts'!$A$3:$Y$39,15,0)</f>
        <v>2.7930999999999999</v>
      </c>
      <c r="D24" s="22">
        <f>B24*C24</f>
        <v>141873.55267976192</v>
      </c>
      <c r="E24" s="73">
        <f>B5</f>
        <v>50794.297619047626</v>
      </c>
      <c r="F24" s="78">
        <f>VLOOKUP($B$3,'Data for Bill Impacts'!$A$3:$Y$15,24,0)</f>
        <v>3.5367000000000002</v>
      </c>
      <c r="G24" s="22">
        <f>E24*F24</f>
        <v>179644.19238928574</v>
      </c>
      <c r="H24" s="22">
        <f t="shared" si="2"/>
        <v>37770.639709523821</v>
      </c>
      <c r="I24" s="23">
        <f t="shared" si="3"/>
        <v>0.26622748916973976</v>
      </c>
      <c r="J24" s="125">
        <f t="shared" si="0"/>
        <v>0.29992676622989634</v>
      </c>
    </row>
    <row r="25" spans="1:10" s="1" customFormat="1" x14ac:dyDescent="0.2">
      <c r="A25" s="107" t="s">
        <v>41</v>
      </c>
      <c r="B25" s="73">
        <f>C5</f>
        <v>50794.297619047626</v>
      </c>
      <c r="C25" s="126">
        <f>VLOOKUP($C$3,'Data for Bill Impacts'!$A$3:$Y$39,16,0)</f>
        <v>2.2465318991985725</v>
      </c>
      <c r="D25" s="22">
        <f>B25*C25</f>
        <v>114111.00989857659</v>
      </c>
      <c r="E25" s="73">
        <f>B5</f>
        <v>50794.297619047626</v>
      </c>
      <c r="F25" s="78">
        <f>VLOOKUP($B$3,'Data for Bill Impacts'!$A$3:$Y$15,25,0)</f>
        <v>2.6514000000000002</v>
      </c>
      <c r="G25" s="22">
        <f>E25*F25</f>
        <v>134676.0007071429</v>
      </c>
      <c r="H25" s="22">
        <f t="shared" si="2"/>
        <v>20564.990808566305</v>
      </c>
      <c r="I25" s="23">
        <f t="shared" si="3"/>
        <v>0.18021916401269908</v>
      </c>
      <c r="J25" s="125">
        <f t="shared" si="0"/>
        <v>0.22484967002628076</v>
      </c>
    </row>
    <row r="26" spans="1:10" x14ac:dyDescent="0.2">
      <c r="A26" s="110" t="s">
        <v>76</v>
      </c>
      <c r="B26" s="74"/>
      <c r="C26" s="35"/>
      <c r="D26" s="35">
        <f>SUM(D24:D25)</f>
        <v>255984.56257833852</v>
      </c>
      <c r="E26" s="73"/>
      <c r="F26" s="35"/>
      <c r="G26" s="35">
        <f>SUM(G24:G25)</f>
        <v>314320.19309642864</v>
      </c>
      <c r="H26" s="35">
        <f t="shared" si="2"/>
        <v>58335.630518090125</v>
      </c>
      <c r="I26" s="36">
        <f t="shared" si="3"/>
        <v>0.22788729886880491</v>
      </c>
      <c r="J26" s="111">
        <f t="shared" si="0"/>
        <v>0.52477643625617709</v>
      </c>
    </row>
    <row r="27" spans="1:10" s="1" customFormat="1" x14ac:dyDescent="0.2">
      <c r="A27" s="110" t="s">
        <v>80</v>
      </c>
      <c r="B27" s="74"/>
      <c r="C27" s="35"/>
      <c r="D27" s="35">
        <f>D23+D26</f>
        <v>394272.67544024333</v>
      </c>
      <c r="E27" s="73"/>
      <c r="F27" s="35"/>
      <c r="G27" s="35">
        <f>G23+G26</f>
        <v>405019.83613847208</v>
      </c>
      <c r="H27" s="35">
        <f t="shared" si="2"/>
        <v>10747.160698228749</v>
      </c>
      <c r="I27" s="36">
        <f t="shared" si="3"/>
        <v>2.7258193041728065E-2</v>
      </c>
      <c r="J27" s="111">
        <f t="shared" si="0"/>
        <v>0.67620493652662861</v>
      </c>
    </row>
    <row r="28" spans="1:10" x14ac:dyDescent="0.2">
      <c r="A28" s="107" t="s">
        <v>42</v>
      </c>
      <c r="B28" s="73">
        <f>C9</f>
        <v>1041898.1978571429</v>
      </c>
      <c r="C28" s="34">
        <v>3.5999999999999999E-3</v>
      </c>
      <c r="D28" s="22">
        <f>B28*C28</f>
        <v>3750.8335122857143</v>
      </c>
      <c r="E28" s="73">
        <f>B9</f>
        <v>1072603.2821428573</v>
      </c>
      <c r="F28" s="34">
        <v>3.5999999999999999E-3</v>
      </c>
      <c r="G28" s="22">
        <f>E28*F28</f>
        <v>3861.3718157142862</v>
      </c>
      <c r="H28" s="22">
        <f t="shared" si="2"/>
        <v>110.53830342857191</v>
      </c>
      <c r="I28" s="23">
        <f t="shared" si="3"/>
        <v>2.9470330545599492E-2</v>
      </c>
      <c r="J28" s="125">
        <f t="shared" si="0"/>
        <v>6.446792108863752E-3</v>
      </c>
    </row>
    <row r="29" spans="1:10" x14ac:dyDescent="0.2">
      <c r="A29" s="107" t="s">
        <v>43</v>
      </c>
      <c r="B29" s="73">
        <f>C9</f>
        <v>1041898.1978571429</v>
      </c>
      <c r="C29" s="34">
        <v>2.0999999999999999E-3</v>
      </c>
      <c r="D29" s="22">
        <f>B29*C29</f>
        <v>2187.9862155000001</v>
      </c>
      <c r="E29" s="73">
        <f>B9</f>
        <v>1072603.2821428573</v>
      </c>
      <c r="F29" s="34">
        <v>2.0999999999999999E-3</v>
      </c>
      <c r="G29" s="22">
        <f>E29*F29</f>
        <v>2252.4668925000001</v>
      </c>
      <c r="H29" s="22">
        <f>G29-D29</f>
        <v>64.480677000000014</v>
      </c>
      <c r="I29" s="23">
        <f t="shared" si="3"/>
        <v>2.9470330545599367E-2</v>
      </c>
      <c r="J29" s="125">
        <f t="shared" si="0"/>
        <v>3.7606287301705215E-3</v>
      </c>
    </row>
    <row r="30" spans="1:10" x14ac:dyDescent="0.2">
      <c r="A30" s="107" t="s">
        <v>100</v>
      </c>
      <c r="B30" s="73">
        <f>C9</f>
        <v>1041898.1978571429</v>
      </c>
      <c r="C30" s="34">
        <v>1.1000000000000001E-3</v>
      </c>
      <c r="D30" s="22">
        <f>B30*C30</f>
        <v>1146.0880176428573</v>
      </c>
      <c r="E30" s="73">
        <f>B9</f>
        <v>1072603.2821428573</v>
      </c>
      <c r="F30" s="34">
        <v>1.1000000000000001E-3</v>
      </c>
      <c r="G30" s="22">
        <f>E30*F30</f>
        <v>1179.8636103571432</v>
      </c>
      <c r="H30" s="22">
        <f>G30-D30</f>
        <v>33.775592714285949</v>
      </c>
      <c r="I30" s="23">
        <f t="shared" si="3"/>
        <v>2.9470330545599565E-2</v>
      </c>
      <c r="J30" s="125">
        <f t="shared" si="0"/>
        <v>1.9698531443750355E-3</v>
      </c>
    </row>
    <row r="31" spans="1:10" x14ac:dyDescent="0.2">
      <c r="A31" s="107" t="s">
        <v>44</v>
      </c>
      <c r="B31" s="73">
        <v>1</v>
      </c>
      <c r="C31" s="22">
        <v>0.25</v>
      </c>
      <c r="D31" s="22">
        <f>B31*C31</f>
        <v>0.25</v>
      </c>
      <c r="E31" s="73">
        <f t="shared" si="4"/>
        <v>1</v>
      </c>
      <c r="F31" s="22">
        <f>C31</f>
        <v>0.25</v>
      </c>
      <c r="G31" s="22">
        <f>E31*F31</f>
        <v>0.25</v>
      </c>
      <c r="H31" s="22">
        <f t="shared" si="2"/>
        <v>0</v>
      </c>
      <c r="I31" s="23">
        <f t="shared" si="3"/>
        <v>0</v>
      </c>
      <c r="J31" s="125">
        <f t="shared" si="0"/>
        <v>4.1739001166812058E-7</v>
      </c>
    </row>
    <row r="32" spans="1:10" x14ac:dyDescent="0.2">
      <c r="A32" s="110" t="s">
        <v>45</v>
      </c>
      <c r="B32" s="74"/>
      <c r="C32" s="35"/>
      <c r="D32" s="35">
        <f>SUM(D28:D31)</f>
        <v>7085.1577454285716</v>
      </c>
      <c r="E32" s="73"/>
      <c r="F32" s="35"/>
      <c r="G32" s="35">
        <f>SUM(G28:G31)</f>
        <v>7293.9523185714297</v>
      </c>
      <c r="H32" s="35">
        <f t="shared" si="2"/>
        <v>208.7945731428581</v>
      </c>
      <c r="I32" s="36">
        <f t="shared" si="3"/>
        <v>2.9469290684117067E-2</v>
      </c>
      <c r="J32" s="111">
        <f t="shared" si="0"/>
        <v>1.2177691373420977E-2</v>
      </c>
    </row>
    <row r="33" spans="1:10" ht="13.5" thickBot="1" x14ac:dyDescent="0.25">
      <c r="A33" s="112" t="s">
        <v>46</v>
      </c>
      <c r="B33" s="113">
        <f>B4</f>
        <v>1037333.9285714286</v>
      </c>
      <c r="C33" s="114">
        <v>7.0000000000000001E-3</v>
      </c>
      <c r="D33" s="115">
        <f>B33*C33</f>
        <v>7261.3375000000005</v>
      </c>
      <c r="E33" s="116">
        <f t="shared" si="4"/>
        <v>1037333.9285714286</v>
      </c>
      <c r="F33" s="114">
        <f>C33</f>
        <v>7.0000000000000001E-3</v>
      </c>
      <c r="G33" s="115">
        <f>E33*F33</f>
        <v>7261.3375000000005</v>
      </c>
      <c r="H33" s="115">
        <f t="shared" si="2"/>
        <v>0</v>
      </c>
      <c r="I33" s="117">
        <f t="shared" si="3"/>
        <v>0</v>
      </c>
      <c r="J33" s="118">
        <f t="shared" si="0"/>
        <v>1.2123238975404647E-2</v>
      </c>
    </row>
    <row r="34" spans="1:10" x14ac:dyDescent="0.2">
      <c r="A34" s="37" t="s">
        <v>146</v>
      </c>
      <c r="B34" s="38"/>
      <c r="C34" s="39"/>
      <c r="D34" s="39">
        <f>SUM(D15,D23,D26,D32,D33)</f>
        <v>515934.68506495759</v>
      </c>
      <c r="E34" s="38"/>
      <c r="F34" s="39"/>
      <c r="G34" s="39">
        <f>SUM(G15,G23,G26,G32,G33)</f>
        <v>530053.26401775784</v>
      </c>
      <c r="H34" s="39">
        <f t="shared" si="2"/>
        <v>14118.57895280025</v>
      </c>
      <c r="I34" s="40">
        <f>IF(ISERROR(H34/D34),0,(H34/D34))</f>
        <v>2.7365050967687279E-2</v>
      </c>
      <c r="J34" s="41">
        <f t="shared" si="0"/>
        <v>0.88495575221238942</v>
      </c>
    </row>
    <row r="35" spans="1:10" x14ac:dyDescent="0.2">
      <c r="A35" s="46" t="s">
        <v>138</v>
      </c>
      <c r="B35" s="43"/>
      <c r="C35" s="26">
        <v>0.13</v>
      </c>
      <c r="D35" s="26">
        <f>D34*C35</f>
        <v>67071.509058444484</v>
      </c>
      <c r="E35" s="26"/>
      <c r="F35" s="26">
        <f>C35</f>
        <v>0.13</v>
      </c>
      <c r="G35" s="26">
        <f>G34*F35</f>
        <v>68906.924322308521</v>
      </c>
      <c r="H35" s="26">
        <f t="shared" si="2"/>
        <v>1835.4152638640371</v>
      </c>
      <c r="I35" s="44">
        <f t="shared" ref="I35:I38" si="7">IF(ISERROR(H35/D35),0,(H35/D35))</f>
        <v>2.7365050967687349E-2</v>
      </c>
      <c r="J35" s="45">
        <f t="shared" si="0"/>
        <v>0.11504424778761063</v>
      </c>
    </row>
    <row r="36" spans="1:10" x14ac:dyDescent="0.2">
      <c r="A36" s="46" t="s">
        <v>139</v>
      </c>
      <c r="B36" s="24"/>
      <c r="C36" s="25"/>
      <c r="D36" s="25">
        <f>SUM(D34:D35)</f>
        <v>583006.19412340212</v>
      </c>
      <c r="E36" s="25"/>
      <c r="F36" s="25"/>
      <c r="G36" s="25">
        <f>SUM(G34:G35)</f>
        <v>598960.18834006635</v>
      </c>
      <c r="H36" s="25">
        <f t="shared" si="2"/>
        <v>15953.994216664229</v>
      </c>
      <c r="I36" s="27">
        <f t="shared" si="7"/>
        <v>2.7365050967687186E-2</v>
      </c>
      <c r="J36" s="47">
        <f t="shared" si="0"/>
        <v>1</v>
      </c>
    </row>
    <row r="37" spans="1:10" x14ac:dyDescent="0.2">
      <c r="A37" s="46" t="s">
        <v>140</v>
      </c>
      <c r="B37" s="43"/>
      <c r="C37" s="26">
        <v>0</v>
      </c>
      <c r="D37" s="26">
        <f>D34*C37</f>
        <v>0</v>
      </c>
      <c r="E37" s="26"/>
      <c r="F37" s="26">
        <f>C37</f>
        <v>0</v>
      </c>
      <c r="G37" s="26">
        <f>G34*F37</f>
        <v>0</v>
      </c>
      <c r="H37" s="26">
        <f t="shared" si="2"/>
        <v>0</v>
      </c>
      <c r="I37" s="44">
        <f t="shared" si="7"/>
        <v>0</v>
      </c>
      <c r="J37" s="45">
        <f t="shared" si="0"/>
        <v>0</v>
      </c>
    </row>
    <row r="38" spans="1:10" ht="13.5" thickBot="1" x14ac:dyDescent="0.25">
      <c r="A38" s="46" t="s">
        <v>141</v>
      </c>
      <c r="B38" s="49"/>
      <c r="C38" s="50"/>
      <c r="D38" s="50">
        <f>SUM(D36:D37)</f>
        <v>583006.19412340212</v>
      </c>
      <c r="E38" s="50"/>
      <c r="F38" s="50"/>
      <c r="G38" s="50">
        <f>SUM(G36:G37)</f>
        <v>598960.18834006635</v>
      </c>
      <c r="H38" s="50">
        <f t="shared" si="2"/>
        <v>15953.994216664229</v>
      </c>
      <c r="I38" s="51">
        <f t="shared" si="7"/>
        <v>2.7365050967687186E-2</v>
      </c>
      <c r="J38" s="52">
        <f t="shared" si="0"/>
        <v>1</v>
      </c>
    </row>
    <row r="39" spans="1:10" x14ac:dyDescent="0.2">
      <c r="F39" s="69"/>
    </row>
    <row r="40" spans="1:10" x14ac:dyDescent="0.2">
      <c r="F40" s="69"/>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Impacts'!$A$12:$A$21</xm:f>
          </x14:formula1>
          <xm:sqref>B3</xm:sqref>
        </x14:dataValidation>
      </x14:dataValidations>
    </ext>
  </extLst>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8">
    <pageSetUpPr fitToPage="1"/>
  </sheetPr>
  <dimension ref="A1:J40"/>
  <sheetViews>
    <sheetView topLeftCell="A10" workbookViewId="0">
      <selection activeCell="C19" sqref="C19"/>
    </sheetView>
  </sheetViews>
  <sheetFormatPr defaultRowHeight="12.75" x14ac:dyDescent="0.2"/>
  <cols>
    <col min="1" max="1" width="64.710937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48" t="s">
        <v>111</v>
      </c>
      <c r="B1" s="349"/>
      <c r="C1" s="349"/>
      <c r="D1" s="349"/>
      <c r="E1" s="349"/>
      <c r="F1" s="349"/>
      <c r="G1" s="349"/>
      <c r="H1" s="349"/>
      <c r="I1" s="349"/>
      <c r="J1" s="350"/>
    </row>
    <row r="3" spans="1:10" ht="25.5" x14ac:dyDescent="0.2">
      <c r="A3" s="13" t="s">
        <v>13</v>
      </c>
      <c r="B3" s="13" t="s">
        <v>11</v>
      </c>
      <c r="C3" s="204" t="s">
        <v>118</v>
      </c>
    </row>
    <row r="4" spans="1:10" x14ac:dyDescent="0.2">
      <c r="A4" s="15" t="s">
        <v>62</v>
      </c>
      <c r="B4" s="79">
        <v>4000000</v>
      </c>
      <c r="C4" s="79">
        <f>B4</f>
        <v>4000000</v>
      </c>
    </row>
    <row r="5" spans="1:10" x14ac:dyDescent="0.2">
      <c r="A5" s="15" t="s">
        <v>16</v>
      </c>
      <c r="B5" s="79">
        <v>10000</v>
      </c>
      <c r="C5" s="79">
        <f>B5</f>
        <v>10000</v>
      </c>
    </row>
    <row r="6" spans="1:10" x14ac:dyDescent="0.2">
      <c r="A6" s="15" t="s">
        <v>20</v>
      </c>
      <c r="B6" s="80">
        <f>VLOOKUP($B$3,'Data for Bill Impacts'!$A$3:$Y$15,2,0)</f>
        <v>1.034</v>
      </c>
      <c r="C6" s="224">
        <v>1.0044</v>
      </c>
    </row>
    <row r="7" spans="1:10" x14ac:dyDescent="0.2">
      <c r="A7" s="81" t="s">
        <v>49</v>
      </c>
      <c r="B7" s="82">
        <f>B4/(B5*730)</f>
        <v>0.54794520547945202</v>
      </c>
      <c r="C7" s="82">
        <f>C4/(C5*730)</f>
        <v>0.54794520547945202</v>
      </c>
    </row>
    <row r="8" spans="1:10" x14ac:dyDescent="0.2">
      <c r="A8" s="15" t="s">
        <v>15</v>
      </c>
      <c r="B8" s="79">
        <f>VLOOKUP($B$3,'Data for Bill Impacts'!$A$3:$Y$15,4,0)</f>
        <v>0</v>
      </c>
      <c r="C8" s="79">
        <f>'Data for Bill Impacts'!D25</f>
        <v>0</v>
      </c>
    </row>
    <row r="9" spans="1:10" x14ac:dyDescent="0.2">
      <c r="A9" s="15" t="s">
        <v>82</v>
      </c>
      <c r="B9" s="79">
        <f>B4*B6</f>
        <v>4136000</v>
      </c>
      <c r="C9" s="79">
        <f>C4*C6</f>
        <v>4017600</v>
      </c>
    </row>
    <row r="10" spans="1:10" x14ac:dyDescent="0.2">
      <c r="A10" s="15" t="s">
        <v>21</v>
      </c>
      <c r="B10" s="16" t="s">
        <v>19</v>
      </c>
      <c r="C10" s="16" t="str">
        <f>B10</f>
        <v>kW</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3" t="s">
        <v>50</v>
      </c>
    </row>
    <row r="13" spans="1:10" x14ac:dyDescent="0.2">
      <c r="A13" s="101" t="s">
        <v>31</v>
      </c>
      <c r="B13" s="102">
        <f>C9</f>
        <v>4017600</v>
      </c>
      <c r="C13" s="103">
        <v>0.10299999999999999</v>
      </c>
      <c r="D13" s="104">
        <f>B13*C13</f>
        <v>413812.8</v>
      </c>
      <c r="E13" s="102">
        <f>B9</f>
        <v>4136000</v>
      </c>
      <c r="F13" s="103">
        <f>C13</f>
        <v>0.10299999999999999</v>
      </c>
      <c r="G13" s="104">
        <f>E13*F13</f>
        <v>426008</v>
      </c>
      <c r="H13" s="104">
        <f>G13-D13</f>
        <v>12195.200000000012</v>
      </c>
      <c r="I13" s="105">
        <f>IF(ISERROR(H13/D13),0,(H13/D13))</f>
        <v>2.9470330545599391E-2</v>
      </c>
      <c r="J13" s="124">
        <f t="shared" ref="J13:J38" si="0">G13/$G$38</f>
        <v>0.66099464028755506</v>
      </c>
    </row>
    <row r="14" spans="1:10" x14ac:dyDescent="0.2">
      <c r="A14" s="107" t="s">
        <v>32</v>
      </c>
      <c r="B14" s="73">
        <v>0</v>
      </c>
      <c r="C14" s="21">
        <v>0.121</v>
      </c>
      <c r="D14" s="22">
        <f>B14*C14</f>
        <v>0</v>
      </c>
      <c r="E14" s="73">
        <f t="shared" ref="E14" si="1">B14</f>
        <v>0</v>
      </c>
      <c r="F14" s="21">
        <f>C14</f>
        <v>0.121</v>
      </c>
      <c r="G14" s="22">
        <f>E14*F14</f>
        <v>0</v>
      </c>
      <c r="H14" s="22">
        <f t="shared" ref="H14:H38" si="2">G14-D14</f>
        <v>0</v>
      </c>
      <c r="I14" s="23">
        <f t="shared" ref="I14:I33" si="3">IF(ISERROR(H14/D14),0,(H14/D14))</f>
        <v>0</v>
      </c>
      <c r="J14" s="125">
        <f t="shared" si="0"/>
        <v>0</v>
      </c>
    </row>
    <row r="15" spans="1:10" s="1" customFormat="1" x14ac:dyDescent="0.2">
      <c r="A15" s="46" t="s">
        <v>33</v>
      </c>
      <c r="B15" s="24"/>
      <c r="C15" s="25"/>
      <c r="D15" s="25">
        <f>SUM(D13:D14)</f>
        <v>413812.8</v>
      </c>
      <c r="E15" s="76"/>
      <c r="F15" s="25"/>
      <c r="G15" s="25">
        <f>SUM(G13:G14)</f>
        <v>426008</v>
      </c>
      <c r="H15" s="25">
        <f t="shared" si="2"/>
        <v>12195.200000000012</v>
      </c>
      <c r="I15" s="27">
        <f t="shared" si="3"/>
        <v>2.9470330545599391E-2</v>
      </c>
      <c r="J15" s="47">
        <f t="shared" si="0"/>
        <v>0.66099464028755506</v>
      </c>
    </row>
    <row r="16" spans="1:10" s="1" customFormat="1" x14ac:dyDescent="0.2">
      <c r="A16" s="107" t="s">
        <v>38</v>
      </c>
      <c r="B16" s="73">
        <v>1</v>
      </c>
      <c r="C16" s="122">
        <f>'Data for Bill Impacts'!G25</f>
        <v>518.85</v>
      </c>
      <c r="D16" s="22">
        <f>B16*C16</f>
        <v>518.85</v>
      </c>
      <c r="E16" s="73">
        <f t="shared" ref="E16:E33" si="4">B16</f>
        <v>1</v>
      </c>
      <c r="F16" s="78">
        <f>VLOOKUP($B$3,'Data for Bill Impacts'!$A$3:$Y$15,17,0)</f>
        <v>1269.2</v>
      </c>
      <c r="G16" s="22">
        <f>E16*F16</f>
        <v>1269.2</v>
      </c>
      <c r="H16" s="22">
        <f t="shared" si="2"/>
        <v>750.35</v>
      </c>
      <c r="I16" s="23">
        <f t="shared" si="3"/>
        <v>1.4461790498217211</v>
      </c>
      <c r="J16" s="125">
        <f t="shared" si="0"/>
        <v>1.9692925894653733E-3</v>
      </c>
    </row>
    <row r="17" spans="1:10" x14ac:dyDescent="0.2">
      <c r="A17" s="107" t="s">
        <v>192</v>
      </c>
      <c r="B17" s="73">
        <v>1</v>
      </c>
      <c r="C17" s="122">
        <f>'Data for Bill Impacts'!K25</f>
        <v>-5.19</v>
      </c>
      <c r="D17" s="22">
        <f>B17*C17</f>
        <v>-5.19</v>
      </c>
      <c r="E17" s="73">
        <f t="shared" si="4"/>
        <v>1</v>
      </c>
      <c r="F17" s="122">
        <v>0</v>
      </c>
      <c r="G17" s="22">
        <f t="shared" ref="G17:G18" si="5">E17*F17</f>
        <v>0</v>
      </c>
      <c r="H17" s="22">
        <f t="shared" si="2"/>
        <v>5.19</v>
      </c>
      <c r="I17" s="23">
        <f t="shared" si="3"/>
        <v>-1</v>
      </c>
      <c r="J17" s="125">
        <f t="shared" si="0"/>
        <v>0</v>
      </c>
    </row>
    <row r="18" spans="1:10" x14ac:dyDescent="0.2">
      <c r="A18" s="107" t="s">
        <v>85</v>
      </c>
      <c r="B18" s="73">
        <v>1</v>
      </c>
      <c r="C18" s="122">
        <f>'Data for Bill Impacts'!M25</f>
        <v>0</v>
      </c>
      <c r="D18" s="22">
        <f t="shared" ref="D18" si="6">B18*C18</f>
        <v>0</v>
      </c>
      <c r="E18" s="73">
        <f t="shared" si="4"/>
        <v>1</v>
      </c>
      <c r="F18" s="78">
        <f>VLOOKUP($B$3,'Data for Bill Impacts'!$A$3:$Y$15,22,0)</f>
        <v>3.83</v>
      </c>
      <c r="G18" s="22">
        <f t="shared" si="5"/>
        <v>3.83</v>
      </c>
      <c r="H18" s="22">
        <f t="shared" si="2"/>
        <v>3.83</v>
      </c>
      <c r="I18" s="23">
        <f t="shared" si="3"/>
        <v>0</v>
      </c>
      <c r="J18" s="125">
        <f t="shared" si="0"/>
        <v>5.9426336413901519E-6</v>
      </c>
    </row>
    <row r="19" spans="1:10" x14ac:dyDescent="0.2">
      <c r="A19" s="107" t="s">
        <v>39</v>
      </c>
      <c r="B19" s="73">
        <f>IF($C$10="kWh",$C$4,$C$5)</f>
        <v>10000</v>
      </c>
      <c r="C19" s="126">
        <f>'Data for Bill Impacts'!J25</f>
        <v>2.7397999999999998</v>
      </c>
      <c r="D19" s="22">
        <f>B19*C19</f>
        <v>27397.999999999996</v>
      </c>
      <c r="E19" s="73">
        <f>IF($B$10="kWh",$B$4,$B$5)</f>
        <v>10000</v>
      </c>
      <c r="F19" s="78">
        <f>VLOOKUP($B$3,'Data for Bill Impacts'!$A$3:$Y$15,19,0)</f>
        <v>1.4475424689830076</v>
      </c>
      <c r="G19" s="22">
        <f>E19*F19</f>
        <v>14475.424689830077</v>
      </c>
      <c r="H19" s="22">
        <f t="shared" si="2"/>
        <v>-12922.575310169919</v>
      </c>
      <c r="I19" s="23">
        <f t="shared" si="3"/>
        <v>-0.47166126396707503</v>
      </c>
      <c r="J19" s="125">
        <f t="shared" si="0"/>
        <v>2.2460090270285591E-2</v>
      </c>
    </row>
    <row r="20" spans="1:10" x14ac:dyDescent="0.2">
      <c r="A20" s="107" t="s">
        <v>193</v>
      </c>
      <c r="B20" s="73">
        <f>IF($C$10="kWh",$C$4,$C$5)</f>
        <v>10000</v>
      </c>
      <c r="C20" s="78">
        <f>'Data for Bill Impacts'!L25</f>
        <v>-2.7400000000000001E-2</v>
      </c>
      <c r="D20" s="22">
        <f>B20*C20</f>
        <v>-274</v>
      </c>
      <c r="E20" s="73">
        <f>B20</f>
        <v>10000</v>
      </c>
      <c r="F20" s="126">
        <v>0</v>
      </c>
      <c r="G20" s="22">
        <f>E20*F20</f>
        <v>0</v>
      </c>
      <c r="H20" s="22">
        <f>G20-D20</f>
        <v>274</v>
      </c>
      <c r="I20" s="23">
        <f>IF(ISERROR(H20/D20),0,(H20/D20))</f>
        <v>-1</v>
      </c>
      <c r="J20" s="125">
        <f t="shared" si="0"/>
        <v>0</v>
      </c>
    </row>
    <row r="21" spans="1:10" s="1" customFormat="1" x14ac:dyDescent="0.2">
      <c r="A21" s="107" t="s">
        <v>194</v>
      </c>
      <c r="B21" s="73">
        <f>IF($C$10="kWh",$C$4,$C$5)</f>
        <v>10000</v>
      </c>
      <c r="C21" s="126">
        <f>VLOOKUP($C$3,'Data for Bill Impacts'!$A$3:$Y$39,14,0)</f>
        <v>0</v>
      </c>
      <c r="D21" s="22">
        <f>B21*C21</f>
        <v>0</v>
      </c>
      <c r="E21" s="73">
        <f>IF($B$10="kWh",$B$4,$B$5)</f>
        <v>10000</v>
      </c>
      <c r="F21" s="126">
        <f>VLOOKUP($B$3,'Data for Bill Impacts'!$A$3:$Y$15,23,0)</f>
        <v>0.27289999999999998</v>
      </c>
      <c r="G21" s="22">
        <f>E21*F21</f>
        <v>2728.9999999999995</v>
      </c>
      <c r="H21" s="22">
        <f>G21-D21</f>
        <v>2728.9999999999995</v>
      </c>
      <c r="I21" s="23">
        <f>IF(ISERROR(H21/D21),0,(H21/D21))</f>
        <v>0</v>
      </c>
      <c r="J21" s="125">
        <f t="shared" si="0"/>
        <v>4.2343204196746004E-3</v>
      </c>
    </row>
    <row r="22" spans="1:10" s="1" customFormat="1" x14ac:dyDescent="0.2">
      <c r="A22" s="107" t="s">
        <v>148</v>
      </c>
      <c r="B22" s="73">
        <f>C9</f>
        <v>4017600</v>
      </c>
      <c r="C22" s="126">
        <f>VLOOKUP($C$3,'Data for Bill Impacts'!$A$3:$Y$39,20,0)</f>
        <v>0</v>
      </c>
      <c r="D22" s="22">
        <f>B22*C22</f>
        <v>0</v>
      </c>
      <c r="E22" s="73">
        <f>B9</f>
        <v>4136000</v>
      </c>
      <c r="F22" s="78">
        <f>VLOOKUP($B$3,'Data for Bill Impacts'!$A$3:$Y$39,21,0)</f>
        <v>1.9E-3</v>
      </c>
      <c r="G22" s="22">
        <f>E22*F22</f>
        <v>7858.4</v>
      </c>
      <c r="H22" s="22">
        <f t="shared" si="2"/>
        <v>7858.4</v>
      </c>
      <c r="I22" s="23">
        <f>IF(ISERROR(H22/D22),0,(H22/D22))</f>
        <v>0</v>
      </c>
      <c r="J22" s="125">
        <f t="shared" si="0"/>
        <v>1.219310501501315E-2</v>
      </c>
    </row>
    <row r="23" spans="1:10" x14ac:dyDescent="0.2">
      <c r="A23" s="110" t="s">
        <v>97</v>
      </c>
      <c r="B23" s="74"/>
      <c r="C23" s="35"/>
      <c r="D23" s="35">
        <f>SUM(D16:D22)</f>
        <v>27637.659999999996</v>
      </c>
      <c r="E23" s="73"/>
      <c r="F23" s="35"/>
      <c r="G23" s="35">
        <f>SUM(G16:G22)</f>
        <v>26335.854689830077</v>
      </c>
      <c r="H23" s="35">
        <f t="shared" si="2"/>
        <v>-1301.8053101699188</v>
      </c>
      <c r="I23" s="36">
        <f t="shared" si="3"/>
        <v>-4.7102587924227994E-2</v>
      </c>
      <c r="J23" s="111">
        <f t="shared" si="0"/>
        <v>4.0862750928080109E-2</v>
      </c>
    </row>
    <row r="24" spans="1:10" x14ac:dyDescent="0.2">
      <c r="A24" s="107" t="s">
        <v>40</v>
      </c>
      <c r="B24" s="73">
        <f>C5</f>
        <v>10000</v>
      </c>
      <c r="C24" s="126">
        <f>VLOOKUP($C$3,'Data for Bill Impacts'!$A$3:$Y$39,15,0)</f>
        <v>2.7930999999999999</v>
      </c>
      <c r="D24" s="22">
        <f>B24*C24</f>
        <v>27931</v>
      </c>
      <c r="E24" s="73">
        <f>B5</f>
        <v>10000</v>
      </c>
      <c r="F24" s="78">
        <f>VLOOKUP($B$3,'Data for Bill Impacts'!$A$3:$Y$15,24,0)</f>
        <v>3.5367000000000002</v>
      </c>
      <c r="G24" s="22">
        <f>E24*F24</f>
        <v>35367</v>
      </c>
      <c r="H24" s="22">
        <f t="shared" si="2"/>
        <v>7436</v>
      </c>
      <c r="I24" s="23">
        <f t="shared" si="3"/>
        <v>0.26622748916973971</v>
      </c>
      <c r="J24" s="125">
        <f t="shared" si="0"/>
        <v>5.4875489293745555E-2</v>
      </c>
    </row>
    <row r="25" spans="1:10" s="1" customFormat="1" x14ac:dyDescent="0.2">
      <c r="A25" s="107" t="s">
        <v>41</v>
      </c>
      <c r="B25" s="73">
        <f>C5</f>
        <v>10000</v>
      </c>
      <c r="C25" s="126">
        <f>VLOOKUP($C$3,'Data for Bill Impacts'!$A$3:$Y$39,16,0)</f>
        <v>2.2465318991985725</v>
      </c>
      <c r="D25" s="22">
        <f>B25*C25</f>
        <v>22465.318991985725</v>
      </c>
      <c r="E25" s="73">
        <f>B5</f>
        <v>10000</v>
      </c>
      <c r="F25" s="78">
        <f>VLOOKUP($B$3,'Data for Bill Impacts'!$A$3:$Y$15,25,0)</f>
        <v>2.6514000000000002</v>
      </c>
      <c r="G25" s="22">
        <f>E25*F25</f>
        <v>26514.000000000004</v>
      </c>
      <c r="H25" s="22">
        <f t="shared" si="2"/>
        <v>4048.6810080142786</v>
      </c>
      <c r="I25" s="23">
        <f t="shared" si="3"/>
        <v>0.18021916401269908</v>
      </c>
      <c r="J25" s="125">
        <f t="shared" si="0"/>
        <v>4.1139161453738513E-2</v>
      </c>
    </row>
    <row r="26" spans="1:10" x14ac:dyDescent="0.2">
      <c r="A26" s="110" t="s">
        <v>76</v>
      </c>
      <c r="B26" s="74"/>
      <c r="C26" s="35"/>
      <c r="D26" s="35">
        <f>SUM(D24:D25)</f>
        <v>50396.318991985725</v>
      </c>
      <c r="E26" s="73"/>
      <c r="F26" s="35"/>
      <c r="G26" s="35">
        <f>SUM(G24:G25)</f>
        <v>61881</v>
      </c>
      <c r="H26" s="35">
        <f t="shared" si="2"/>
        <v>11484.681008014275</v>
      </c>
      <c r="I26" s="36">
        <f t="shared" si="3"/>
        <v>0.22788729886880482</v>
      </c>
      <c r="J26" s="111">
        <f t="shared" si="0"/>
        <v>9.6014650747484068E-2</v>
      </c>
    </row>
    <row r="27" spans="1:10" s="1" customFormat="1" x14ac:dyDescent="0.2">
      <c r="A27" s="110" t="s">
        <v>80</v>
      </c>
      <c r="B27" s="74"/>
      <c r="C27" s="35"/>
      <c r="D27" s="35">
        <f>D23+D26</f>
        <v>78033.978991985728</v>
      </c>
      <c r="E27" s="73"/>
      <c r="F27" s="35"/>
      <c r="G27" s="35">
        <f>G23+G26</f>
        <v>88216.85468983007</v>
      </c>
      <c r="H27" s="35">
        <f t="shared" si="2"/>
        <v>10182.875697844342</v>
      </c>
      <c r="I27" s="36">
        <f t="shared" si="3"/>
        <v>0.13049284208473014</v>
      </c>
      <c r="J27" s="111">
        <f t="shared" si="0"/>
        <v>0.13687740167556417</v>
      </c>
    </row>
    <row r="28" spans="1:10" x14ac:dyDescent="0.2">
      <c r="A28" s="107" t="s">
        <v>42</v>
      </c>
      <c r="B28" s="73">
        <f>C9</f>
        <v>4017600</v>
      </c>
      <c r="C28" s="34">
        <v>3.5999999999999999E-3</v>
      </c>
      <c r="D28" s="22">
        <f>B28*C28</f>
        <v>14463.359999999999</v>
      </c>
      <c r="E28" s="73">
        <f>B9</f>
        <v>4136000</v>
      </c>
      <c r="F28" s="34">
        <v>3.5999999999999999E-3</v>
      </c>
      <c r="G28" s="22">
        <f>E28*F28</f>
        <v>14889.6</v>
      </c>
      <c r="H28" s="22">
        <f t="shared" si="2"/>
        <v>426.2400000000016</v>
      </c>
      <c r="I28" s="23">
        <f t="shared" si="3"/>
        <v>2.9470330545599475E-2</v>
      </c>
      <c r="J28" s="125">
        <f t="shared" si="0"/>
        <v>2.3102725291603864E-2</v>
      </c>
    </row>
    <row r="29" spans="1:10" x14ac:dyDescent="0.2">
      <c r="A29" s="107" t="s">
        <v>43</v>
      </c>
      <c r="B29" s="73">
        <f>C9</f>
        <v>4017600</v>
      </c>
      <c r="C29" s="34">
        <v>2.0999999999999999E-3</v>
      </c>
      <c r="D29" s="22">
        <f>B29*C29</f>
        <v>8436.9599999999991</v>
      </c>
      <c r="E29" s="73">
        <f>B9</f>
        <v>4136000</v>
      </c>
      <c r="F29" s="34">
        <v>2.0999999999999999E-3</v>
      </c>
      <c r="G29" s="22">
        <f>E29*F29</f>
        <v>8685.6</v>
      </c>
      <c r="H29" s="22">
        <f>G29-D29</f>
        <v>248.64000000000124</v>
      </c>
      <c r="I29" s="23">
        <f t="shared" si="3"/>
        <v>2.9470330545599513E-2</v>
      </c>
      <c r="J29" s="125">
        <f t="shared" si="0"/>
        <v>1.3476589753435589E-2</v>
      </c>
    </row>
    <row r="30" spans="1:10" x14ac:dyDescent="0.2">
      <c r="A30" s="107" t="s">
        <v>100</v>
      </c>
      <c r="B30" s="73">
        <f>C9</f>
        <v>4017600</v>
      </c>
      <c r="C30" s="34">
        <v>1.1000000000000001E-3</v>
      </c>
      <c r="D30" s="22">
        <f>B30*C30</f>
        <v>4419.3600000000006</v>
      </c>
      <c r="E30" s="73">
        <f>B9</f>
        <v>4136000</v>
      </c>
      <c r="F30" s="34">
        <v>1.1000000000000001E-3</v>
      </c>
      <c r="G30" s="22">
        <f>E30*F30</f>
        <v>4549.6000000000004</v>
      </c>
      <c r="H30" s="22">
        <f>G30-D30</f>
        <v>130.23999999999978</v>
      </c>
      <c r="I30" s="23">
        <f t="shared" si="3"/>
        <v>2.9470330545599308E-2</v>
      </c>
      <c r="J30" s="125">
        <f t="shared" si="0"/>
        <v>7.0591660613234034E-3</v>
      </c>
    </row>
    <row r="31" spans="1:10" x14ac:dyDescent="0.2">
      <c r="A31" s="107" t="s">
        <v>44</v>
      </c>
      <c r="B31" s="73">
        <v>1</v>
      </c>
      <c r="C31" s="22">
        <v>0.25</v>
      </c>
      <c r="D31" s="22">
        <f>B31*C31</f>
        <v>0.25</v>
      </c>
      <c r="E31" s="73">
        <f t="shared" si="4"/>
        <v>1</v>
      </c>
      <c r="F31" s="22">
        <f>C31</f>
        <v>0.25</v>
      </c>
      <c r="G31" s="22">
        <f>E31*F31</f>
        <v>0.25</v>
      </c>
      <c r="H31" s="22">
        <f t="shared" si="2"/>
        <v>0</v>
      </c>
      <c r="I31" s="23">
        <f t="shared" si="3"/>
        <v>0</v>
      </c>
      <c r="J31" s="125">
        <f t="shared" si="0"/>
        <v>3.8790036823695507E-7</v>
      </c>
    </row>
    <row r="32" spans="1:10" x14ac:dyDescent="0.2">
      <c r="A32" s="110" t="s">
        <v>45</v>
      </c>
      <c r="B32" s="74"/>
      <c r="C32" s="35"/>
      <c r="D32" s="35">
        <f>SUM(D28:D31)</f>
        <v>27319.93</v>
      </c>
      <c r="E32" s="73"/>
      <c r="F32" s="35"/>
      <c r="G32" s="35">
        <f>SUM(G28:G31)</f>
        <v>28125.050000000003</v>
      </c>
      <c r="H32" s="35">
        <f t="shared" si="2"/>
        <v>805.12000000000262</v>
      </c>
      <c r="I32" s="36">
        <f t="shared" si="3"/>
        <v>2.947006086765239E-2</v>
      </c>
      <c r="J32" s="111">
        <f t="shared" si="0"/>
        <v>4.3638869006731099E-2</v>
      </c>
    </row>
    <row r="33" spans="1:10" ht="13.5" thickBot="1" x14ac:dyDescent="0.25">
      <c r="A33" s="112" t="s">
        <v>46</v>
      </c>
      <c r="B33" s="113">
        <f>B4</f>
        <v>4000000</v>
      </c>
      <c r="C33" s="114">
        <v>7.0000000000000001E-3</v>
      </c>
      <c r="D33" s="115">
        <f>B33*C33</f>
        <v>28000</v>
      </c>
      <c r="E33" s="116">
        <f t="shared" si="4"/>
        <v>4000000</v>
      </c>
      <c r="F33" s="114">
        <f>C33</f>
        <v>7.0000000000000001E-3</v>
      </c>
      <c r="G33" s="115">
        <f>E33*F33</f>
        <v>28000</v>
      </c>
      <c r="H33" s="115">
        <f t="shared" si="2"/>
        <v>0</v>
      </c>
      <c r="I33" s="117">
        <f t="shared" si="3"/>
        <v>0</v>
      </c>
      <c r="J33" s="118">
        <f t="shared" si="0"/>
        <v>4.3444841242538966E-2</v>
      </c>
    </row>
    <row r="34" spans="1:10" x14ac:dyDescent="0.2">
      <c r="A34" s="37" t="s">
        <v>146</v>
      </c>
      <c r="B34" s="38"/>
      <c r="C34" s="39"/>
      <c r="D34" s="39">
        <f>SUM(D15,D23,D26,D32,D33)</f>
        <v>547166.70899198577</v>
      </c>
      <c r="E34" s="38"/>
      <c r="F34" s="39"/>
      <c r="G34" s="39">
        <f>SUM(G15,G23,G26,G32,G33)</f>
        <v>570349.90468983015</v>
      </c>
      <c r="H34" s="39">
        <f t="shared" si="2"/>
        <v>23183.195697844378</v>
      </c>
      <c r="I34" s="40">
        <f>IF(ISERROR(H34/D34),0,(H34/D34))</f>
        <v>4.2369528914786257E-2</v>
      </c>
      <c r="J34" s="41">
        <f t="shared" si="0"/>
        <v>0.88495575221238931</v>
      </c>
    </row>
    <row r="35" spans="1:10" x14ac:dyDescent="0.2">
      <c r="A35" s="46" t="s">
        <v>138</v>
      </c>
      <c r="B35" s="43"/>
      <c r="C35" s="26">
        <v>0.13</v>
      </c>
      <c r="D35" s="26">
        <f>D34*C35</f>
        <v>71131.672168958146</v>
      </c>
      <c r="E35" s="26"/>
      <c r="F35" s="26">
        <f>C35</f>
        <v>0.13</v>
      </c>
      <c r="G35" s="26">
        <f>G34*F35</f>
        <v>74145.487609677919</v>
      </c>
      <c r="H35" s="26">
        <f t="shared" si="2"/>
        <v>3013.8154407197726</v>
      </c>
      <c r="I35" s="44">
        <f t="shared" ref="I35:I38" si="7">IF(ISERROR(H35/D35),0,(H35/D35))</f>
        <v>4.2369528914786306E-2</v>
      </c>
      <c r="J35" s="45">
        <f t="shared" si="0"/>
        <v>0.11504424778761062</v>
      </c>
    </row>
    <row r="36" spans="1:10" x14ac:dyDescent="0.2">
      <c r="A36" s="46" t="s">
        <v>139</v>
      </c>
      <c r="B36" s="24"/>
      <c r="C36" s="25"/>
      <c r="D36" s="25">
        <f>SUM(D34:D35)</f>
        <v>618298.38116094389</v>
      </c>
      <c r="E36" s="25"/>
      <c r="F36" s="25"/>
      <c r="G36" s="25">
        <f>SUM(G34:G35)</f>
        <v>644495.39229950809</v>
      </c>
      <c r="H36" s="25">
        <f t="shared" si="2"/>
        <v>26197.011138564209</v>
      </c>
      <c r="I36" s="27">
        <f t="shared" si="7"/>
        <v>4.2369528914786354E-2</v>
      </c>
      <c r="J36" s="47">
        <f t="shared" si="0"/>
        <v>1</v>
      </c>
    </row>
    <row r="37" spans="1:10" x14ac:dyDescent="0.2">
      <c r="A37" s="46" t="s">
        <v>140</v>
      </c>
      <c r="B37" s="43"/>
      <c r="C37" s="26">
        <v>0</v>
      </c>
      <c r="D37" s="26">
        <f>D34*C37</f>
        <v>0</v>
      </c>
      <c r="E37" s="26"/>
      <c r="F37" s="26">
        <f>C37</f>
        <v>0</v>
      </c>
      <c r="G37" s="26">
        <f>G34*F37</f>
        <v>0</v>
      </c>
      <c r="H37" s="26">
        <f t="shared" si="2"/>
        <v>0</v>
      </c>
      <c r="I37" s="44">
        <f t="shared" si="7"/>
        <v>0</v>
      </c>
      <c r="J37" s="45">
        <f t="shared" si="0"/>
        <v>0</v>
      </c>
    </row>
    <row r="38" spans="1:10" ht="13.5" thickBot="1" x14ac:dyDescent="0.25">
      <c r="A38" s="46" t="s">
        <v>141</v>
      </c>
      <c r="B38" s="49"/>
      <c r="C38" s="50"/>
      <c r="D38" s="50">
        <f>SUM(D36:D37)</f>
        <v>618298.38116094389</v>
      </c>
      <c r="E38" s="50"/>
      <c r="F38" s="50"/>
      <c r="G38" s="50">
        <f>SUM(G36:G37)</f>
        <v>644495.39229950809</v>
      </c>
      <c r="H38" s="50">
        <f t="shared" si="2"/>
        <v>26197.011138564209</v>
      </c>
      <c r="I38" s="51">
        <f t="shared" si="7"/>
        <v>4.2369528914786354E-2</v>
      </c>
      <c r="J38" s="52">
        <f t="shared" si="0"/>
        <v>1</v>
      </c>
    </row>
    <row r="39" spans="1:10" x14ac:dyDescent="0.2">
      <c r="F39" s="69"/>
    </row>
    <row r="40" spans="1:10" x14ac:dyDescent="0.2">
      <c r="F40" s="69"/>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Impacts'!$A$12:$A$21</xm:f>
          </x14:formula1>
          <xm:sqref>B3</xm:sqref>
        </x14:dataValidation>
      </x14:dataValidations>
    </ext>
  </extLst>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9">
    <pageSetUpPr fitToPage="1"/>
  </sheetPr>
  <dimension ref="A1:K67"/>
  <sheetViews>
    <sheetView topLeftCell="A22" workbookViewId="0">
      <selection activeCell="C19" sqref="C19"/>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48" t="s">
        <v>109</v>
      </c>
      <c r="B1" s="349"/>
      <c r="C1" s="349"/>
      <c r="D1" s="349"/>
      <c r="E1" s="349"/>
      <c r="F1" s="349"/>
      <c r="G1" s="349"/>
      <c r="H1" s="349"/>
      <c r="I1" s="349"/>
      <c r="J1" s="349"/>
      <c r="K1" s="350"/>
    </row>
    <row r="3" spans="1:11" x14ac:dyDescent="0.2">
      <c r="A3" s="13" t="s">
        <v>13</v>
      </c>
      <c r="B3" s="13" t="s">
        <v>180</v>
      </c>
      <c r="C3" s="13" t="s">
        <v>125</v>
      </c>
    </row>
    <row r="4" spans="1:11" x14ac:dyDescent="0.2">
      <c r="A4" s="15" t="s">
        <v>62</v>
      </c>
      <c r="B4" s="15">
        <v>400</v>
      </c>
      <c r="C4" s="15">
        <f>B4</f>
        <v>400</v>
      </c>
    </row>
    <row r="5" spans="1:11" x14ac:dyDescent="0.2">
      <c r="A5" s="15" t="s">
        <v>16</v>
      </c>
      <c r="B5" s="15">
        <f>VLOOKUP($B$3,'Data for Bill Impacts'!$A$3:$Y$39,5,0)</f>
        <v>0</v>
      </c>
      <c r="C5" s="15">
        <f>B5</f>
        <v>0</v>
      </c>
    </row>
    <row r="6" spans="1:11" x14ac:dyDescent="0.2">
      <c r="A6" s="15" t="s">
        <v>20</v>
      </c>
      <c r="B6" s="15">
        <f>VLOOKUP($B$3,'Data for Bill Impacts'!$A$3:$Y$39,2,0)</f>
        <v>1.0667</v>
      </c>
      <c r="C6" s="15">
        <f>VLOOKUP($C$3,'Data for Bill Impacts'!$A$3:$Y$39,2,0)</f>
        <v>1.0564</v>
      </c>
    </row>
    <row r="7" spans="1:11" x14ac:dyDescent="0.2">
      <c r="A7" s="15" t="s">
        <v>15</v>
      </c>
      <c r="B7" s="15">
        <f>VLOOKUP($B$3,'Data for Bill Impacts'!$A$3:$Y$39,4,0)</f>
        <v>600</v>
      </c>
      <c r="C7" s="15">
        <f>B7</f>
        <v>600</v>
      </c>
    </row>
    <row r="8" spans="1:11" x14ac:dyDescent="0.2">
      <c r="A8" s="15" t="s">
        <v>82</v>
      </c>
      <c r="B8" s="193">
        <f>B4*B6</f>
        <v>426.68</v>
      </c>
      <c r="C8" s="193">
        <f>C4*C6</f>
        <v>422.56</v>
      </c>
    </row>
    <row r="9" spans="1:11" x14ac:dyDescent="0.2">
      <c r="A9" s="15" t="s">
        <v>21</v>
      </c>
      <c r="B9" s="16" t="str">
        <f>VLOOKUP($B$3,'Data for Bill Impacts'!$A$3:$Y$39,6,0)</f>
        <v>kWh</v>
      </c>
      <c r="C9" s="16" t="str">
        <f>VLOOKUP($C$3,'Data for Bill Impacts'!$A$3:$Y$39,6,0)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400</v>
      </c>
      <c r="C12" s="103">
        <v>0.10299999999999999</v>
      </c>
      <c r="D12" s="104">
        <f>B12*C12</f>
        <v>41.199999999999996</v>
      </c>
      <c r="E12" s="102">
        <f>B12</f>
        <v>400</v>
      </c>
      <c r="F12" s="103">
        <f>C12</f>
        <v>0.10299999999999999</v>
      </c>
      <c r="G12" s="104">
        <f>E12*F12</f>
        <v>41.199999999999996</v>
      </c>
      <c r="H12" s="104">
        <f>G12-D12</f>
        <v>0</v>
      </c>
      <c r="I12" s="105">
        <f>IF(ISERROR(H12/D12),0,(H12/D12))</f>
        <v>0</v>
      </c>
      <c r="J12" s="105">
        <f>G12/$G$45</f>
        <v>0.41939425369162059</v>
      </c>
      <c r="K12" s="106"/>
    </row>
    <row r="13" spans="1:11" x14ac:dyDescent="0.2">
      <c r="A13" s="107" t="s">
        <v>32</v>
      </c>
      <c r="B13" s="73">
        <f>IF(B4&gt;B7,(B4)-B7,0)</f>
        <v>0</v>
      </c>
      <c r="C13" s="21">
        <v>0.121</v>
      </c>
      <c r="D13" s="22">
        <f>B13*C13</f>
        <v>0</v>
      </c>
      <c r="E13" s="73">
        <f t="shared" ref="E13:E38" si="0">B13</f>
        <v>0</v>
      </c>
      <c r="F13" s="21">
        <f>C13</f>
        <v>0.121</v>
      </c>
      <c r="G13" s="22">
        <f>E13*F13</f>
        <v>0</v>
      </c>
      <c r="H13" s="22">
        <f t="shared" ref="H13:H45" si="1">G13-D13</f>
        <v>0</v>
      </c>
      <c r="I13" s="23">
        <f t="shared" ref="I13:I45" si="2">IF(ISERROR(H13/D13),0,(H13/D13))</f>
        <v>0</v>
      </c>
      <c r="J13" s="23">
        <f>G13/$G$45</f>
        <v>0</v>
      </c>
      <c r="K13" s="108"/>
    </row>
    <row r="14" spans="1:11" s="1" customFormat="1" x14ac:dyDescent="0.2">
      <c r="A14" s="46" t="s">
        <v>33</v>
      </c>
      <c r="B14" s="24"/>
      <c r="C14" s="25"/>
      <c r="D14" s="25">
        <f>SUM(D12:D13)</f>
        <v>41.199999999999996</v>
      </c>
      <c r="E14" s="76"/>
      <c r="F14" s="25"/>
      <c r="G14" s="25">
        <f>SUM(G12:G13)</f>
        <v>41.199999999999996</v>
      </c>
      <c r="H14" s="25">
        <f t="shared" si="1"/>
        <v>0</v>
      </c>
      <c r="I14" s="27">
        <f t="shared" si="2"/>
        <v>0</v>
      </c>
      <c r="J14" s="27">
        <f>G14/$G$45</f>
        <v>0.41939425369162059</v>
      </c>
      <c r="K14" s="108"/>
    </row>
    <row r="15" spans="1:11" s="1" customFormat="1" x14ac:dyDescent="0.2">
      <c r="A15" s="109" t="s">
        <v>34</v>
      </c>
      <c r="B15" s="75">
        <f>B4*0.65</f>
        <v>260</v>
      </c>
      <c r="C15" s="28">
        <v>8.6999999999999994E-2</v>
      </c>
      <c r="D15" s="22">
        <f>B15*C15</f>
        <v>22.619999999999997</v>
      </c>
      <c r="E15" s="73">
        <f t="shared" ref="E15:F17" si="3">B15</f>
        <v>260</v>
      </c>
      <c r="F15" s="28">
        <f t="shared" si="3"/>
        <v>8.6999999999999994E-2</v>
      </c>
      <c r="G15" s="22">
        <f>E15*F15</f>
        <v>22.619999999999997</v>
      </c>
      <c r="H15" s="22">
        <f t="shared" si="1"/>
        <v>0</v>
      </c>
      <c r="I15" s="23">
        <f t="shared" si="2"/>
        <v>0</v>
      </c>
      <c r="J15" s="23"/>
      <c r="K15" s="108">
        <f t="shared" ref="K15:K25" si="4">G15/$G$50</f>
        <v>0.22177392893823641</v>
      </c>
    </row>
    <row r="16" spans="1:11" s="1" customFormat="1" x14ac:dyDescent="0.2">
      <c r="A16" s="109" t="s">
        <v>35</v>
      </c>
      <c r="B16" s="75">
        <f>B4*0.17</f>
        <v>68</v>
      </c>
      <c r="C16" s="28">
        <v>0.13200000000000001</v>
      </c>
      <c r="D16" s="22">
        <f>B16*C16</f>
        <v>8.9760000000000009</v>
      </c>
      <c r="E16" s="73">
        <f t="shared" si="3"/>
        <v>68</v>
      </c>
      <c r="F16" s="28">
        <f t="shared" si="3"/>
        <v>0.13200000000000001</v>
      </c>
      <c r="G16" s="22">
        <f>E16*F16</f>
        <v>8.9760000000000009</v>
      </c>
      <c r="H16" s="22">
        <f t="shared" si="1"/>
        <v>0</v>
      </c>
      <c r="I16" s="23">
        <f t="shared" si="2"/>
        <v>0</v>
      </c>
      <c r="J16" s="23"/>
      <c r="K16" s="108">
        <f t="shared" si="4"/>
        <v>8.8003659865146355E-2</v>
      </c>
    </row>
    <row r="17" spans="1:11" s="1" customFormat="1" x14ac:dyDescent="0.2">
      <c r="A17" s="109" t="s">
        <v>36</v>
      </c>
      <c r="B17" s="75">
        <f>B4*0.18</f>
        <v>72</v>
      </c>
      <c r="C17" s="28">
        <v>0.18</v>
      </c>
      <c r="D17" s="22">
        <f>B17*C17</f>
        <v>12.959999999999999</v>
      </c>
      <c r="E17" s="73">
        <f t="shared" si="3"/>
        <v>72</v>
      </c>
      <c r="F17" s="28">
        <f t="shared" si="3"/>
        <v>0.18</v>
      </c>
      <c r="G17" s="22">
        <f>E17*F17</f>
        <v>12.959999999999999</v>
      </c>
      <c r="H17" s="22">
        <f t="shared" si="1"/>
        <v>0</v>
      </c>
      <c r="I17" s="23">
        <f t="shared" si="2"/>
        <v>0</v>
      </c>
      <c r="J17" s="23"/>
      <c r="K17" s="108">
        <f t="shared" si="4"/>
        <v>0.12706410782668187</v>
      </c>
    </row>
    <row r="18" spans="1:11" s="1" customFormat="1" x14ac:dyDescent="0.2">
      <c r="A18" s="61" t="s">
        <v>37</v>
      </c>
      <c r="B18" s="29"/>
      <c r="C18" s="30"/>
      <c r="D18" s="30">
        <f>SUM(D15:D17)</f>
        <v>44.555999999999997</v>
      </c>
      <c r="E18" s="77"/>
      <c r="F18" s="30"/>
      <c r="G18" s="30">
        <f>SUM(G15:G17)</f>
        <v>44.555999999999997</v>
      </c>
      <c r="H18" s="31">
        <f t="shared" si="1"/>
        <v>0</v>
      </c>
      <c r="I18" s="32">
        <f t="shared" si="2"/>
        <v>0</v>
      </c>
      <c r="J18" s="33">
        <f>G18/$G$45</f>
        <v>0.45355656231756913</v>
      </c>
      <c r="K18" s="62">
        <f t="shared" si="4"/>
        <v>0.43684169663006467</v>
      </c>
    </row>
    <row r="19" spans="1:11" x14ac:dyDescent="0.2">
      <c r="A19" s="107" t="s">
        <v>38</v>
      </c>
      <c r="B19" s="73">
        <v>1</v>
      </c>
      <c r="C19" s="122">
        <f>VLOOKUP($C$3,'Data for Bill Impacts'!$A$3:$Y$39,7,0)</f>
        <v>36.78</v>
      </c>
      <c r="D19" s="22">
        <f>B19*C19</f>
        <v>36.78</v>
      </c>
      <c r="E19" s="73">
        <f t="shared" si="0"/>
        <v>1</v>
      </c>
      <c r="F19" s="122">
        <f>VLOOKUP($B$3,'Data for Bill Impacts'!$A$3:$Y$39,17,0)</f>
        <v>40.08</v>
      </c>
      <c r="G19" s="22">
        <f>E19*F19</f>
        <v>40.08</v>
      </c>
      <c r="H19" s="22">
        <f t="shared" si="1"/>
        <v>3.2999999999999972</v>
      </c>
      <c r="I19" s="23">
        <f t="shared" si="2"/>
        <v>8.9722675367047228E-2</v>
      </c>
      <c r="J19" s="23">
        <f>G19/$G$45</f>
        <v>0.40799324485340177</v>
      </c>
      <c r="K19" s="108">
        <f t="shared" si="4"/>
        <v>0.39295751864918288</v>
      </c>
    </row>
    <row r="20" spans="1:11" x14ac:dyDescent="0.2">
      <c r="A20" s="107" t="s">
        <v>188</v>
      </c>
      <c r="B20" s="73">
        <v>1</v>
      </c>
      <c r="C20" s="78">
        <f>'Data for Bill Impacts'!K34</f>
        <v>-0.55000000000000004</v>
      </c>
      <c r="D20" s="22">
        <f>B20*C20</f>
        <v>-0.55000000000000004</v>
      </c>
      <c r="E20" s="73">
        <f t="shared" si="0"/>
        <v>1</v>
      </c>
      <c r="F20" s="122">
        <v>0</v>
      </c>
      <c r="G20" s="22">
        <f t="shared" ref="G20" si="5">E20*F20</f>
        <v>0</v>
      </c>
      <c r="H20" s="22">
        <f t="shared" si="1"/>
        <v>0.55000000000000004</v>
      </c>
      <c r="I20" s="23">
        <f t="shared" si="2"/>
        <v>-1</v>
      </c>
      <c r="J20" s="23">
        <f>G20/$G$45</f>
        <v>0</v>
      </c>
      <c r="K20" s="108">
        <f t="shared" si="4"/>
        <v>0</v>
      </c>
    </row>
    <row r="21" spans="1:11" x14ac:dyDescent="0.2">
      <c r="A21" s="107" t="s">
        <v>39</v>
      </c>
      <c r="B21" s="73">
        <f>IF($C$9="kWh",$C$4,$C$5)</f>
        <v>400</v>
      </c>
      <c r="C21" s="126">
        <f>VLOOKUP($C$3,'Data for Bill Impacts'!$A$3:$Y$39,10,0)</f>
        <v>0</v>
      </c>
      <c r="D21" s="22">
        <f>B21*C21</f>
        <v>0</v>
      </c>
      <c r="E21" s="73">
        <f t="shared" si="0"/>
        <v>400</v>
      </c>
      <c r="F21" s="126">
        <f>VLOOKUP($B$3,'Data for Bill Impacts'!$A$3:$Y$39,19,0)</f>
        <v>0</v>
      </c>
      <c r="G21" s="22">
        <f>E21*F21</f>
        <v>0</v>
      </c>
      <c r="H21" s="22">
        <f t="shared" si="1"/>
        <v>0</v>
      </c>
      <c r="I21" s="23">
        <f t="shared" si="2"/>
        <v>0</v>
      </c>
      <c r="J21" s="23">
        <f>G21/$G$45</f>
        <v>0</v>
      </c>
      <c r="K21" s="108">
        <f t="shared" si="4"/>
        <v>0</v>
      </c>
    </row>
    <row r="22" spans="1:11" x14ac:dyDescent="0.2">
      <c r="A22" s="107" t="s">
        <v>189</v>
      </c>
      <c r="B22" s="73">
        <f>IF($C$9="kWh",$C$4,$C$5)</f>
        <v>400</v>
      </c>
      <c r="C22" s="78">
        <f>'Data for Bill Impacts'!H34</f>
        <v>8.9999999999999998E-4</v>
      </c>
      <c r="D22" s="22">
        <f>B22*C22</f>
        <v>0.36</v>
      </c>
      <c r="E22" s="73">
        <f>B22</f>
        <v>400</v>
      </c>
      <c r="F22" s="126">
        <v>0</v>
      </c>
      <c r="G22" s="22">
        <f>E22*F22</f>
        <v>0</v>
      </c>
      <c r="H22" s="22">
        <f>G22-D22</f>
        <v>-0.36</v>
      </c>
      <c r="I22" s="23">
        <f>IF(ISERROR(H22/D22),0,(H22/D22))</f>
        <v>-1</v>
      </c>
      <c r="J22" s="23">
        <f t="shared" ref="J22" si="6">G22/$G$45</f>
        <v>0</v>
      </c>
      <c r="K22" s="108">
        <f t="shared" si="4"/>
        <v>0</v>
      </c>
    </row>
    <row r="23" spans="1:11" x14ac:dyDescent="0.2">
      <c r="A23" s="107" t="s">
        <v>190</v>
      </c>
      <c r="B23" s="73">
        <f>IF($B$9="kWh",$B$4,$B$5)</f>
        <v>400</v>
      </c>
      <c r="C23" s="126">
        <f>'Data for Bill Impacts'!L34</f>
        <v>0</v>
      </c>
      <c r="D23" s="22">
        <f>B23*C23</f>
        <v>0</v>
      </c>
      <c r="E23" s="73">
        <f t="shared" si="0"/>
        <v>400</v>
      </c>
      <c r="F23" s="126">
        <v>0</v>
      </c>
      <c r="G23" s="22">
        <f>E23*F23</f>
        <v>0</v>
      </c>
      <c r="H23" s="22">
        <f t="shared" si="1"/>
        <v>0</v>
      </c>
      <c r="I23" s="23">
        <f>IF(ISERROR(H23/D23),0,(H23/D23))</f>
        <v>0</v>
      </c>
      <c r="J23" s="23">
        <f>G23/$G$45</f>
        <v>0</v>
      </c>
      <c r="K23" s="108">
        <f t="shared" si="4"/>
        <v>0</v>
      </c>
    </row>
    <row r="24" spans="1:11" s="1" customFormat="1" x14ac:dyDescent="0.2">
      <c r="A24" s="110" t="s">
        <v>72</v>
      </c>
      <c r="B24" s="74"/>
      <c r="C24" s="35"/>
      <c r="D24" s="35">
        <f>SUM(D19:D23)</f>
        <v>36.590000000000003</v>
      </c>
      <c r="E24" s="73"/>
      <c r="F24" s="35"/>
      <c r="G24" s="35">
        <f>SUM(G19:G23)</f>
        <v>40.08</v>
      </c>
      <c r="H24" s="35">
        <f t="shared" si="1"/>
        <v>3.4899999999999949</v>
      </c>
      <c r="I24" s="36">
        <f t="shared" si="2"/>
        <v>9.5381251708116829E-2</v>
      </c>
      <c r="J24" s="36">
        <f>G24/$G$45</f>
        <v>0.40799324485340177</v>
      </c>
      <c r="K24" s="111">
        <f t="shared" si="4"/>
        <v>0.39295751864918288</v>
      </c>
    </row>
    <row r="25" spans="1:11" s="1" customFormat="1" x14ac:dyDescent="0.2">
      <c r="A25" s="119" t="s">
        <v>73</v>
      </c>
      <c r="B25" s="120">
        <v>1</v>
      </c>
      <c r="C25" s="78">
        <f>VLOOKUP($C$3,'Data for Bill Impacts'!$A$3:$Y$39,9,0)</f>
        <v>0.79</v>
      </c>
      <c r="D25" s="22">
        <f>B25*C25</f>
        <v>0.79</v>
      </c>
      <c r="E25" s="73">
        <v>1</v>
      </c>
      <c r="F25" s="78">
        <f>VLOOKUP($B$3,'Data for Bill Impacts'!$A$3:$Y$39,18,0)</f>
        <v>0.79</v>
      </c>
      <c r="G25" s="22">
        <f>E25*F25</f>
        <v>0.79</v>
      </c>
      <c r="H25" s="22">
        <f t="shared" si="1"/>
        <v>0</v>
      </c>
      <c r="I25" s="23">
        <f>IF(ISERROR(H25/D25),0,(H25/D25))</f>
        <v>0</v>
      </c>
      <c r="J25" s="23">
        <f>G25/$G$45</f>
        <v>8.0417830198150561E-3</v>
      </c>
      <c r="K25" s="108">
        <f t="shared" si="4"/>
        <v>7.7454201530153316E-3</v>
      </c>
    </row>
    <row r="26" spans="1:11" s="1" customFormat="1" x14ac:dyDescent="0.2">
      <c r="A26" s="119" t="s">
        <v>75</v>
      </c>
      <c r="B26" s="120">
        <f>C8-C4</f>
        <v>22.560000000000002</v>
      </c>
      <c r="C26" s="121">
        <f>IF(B4&gt;B7,C13,C12)</f>
        <v>0.10299999999999999</v>
      </c>
      <c r="D26" s="22">
        <f>B26*C26</f>
        <v>2.32368</v>
      </c>
      <c r="E26" s="73">
        <f>B8-B4</f>
        <v>26.680000000000007</v>
      </c>
      <c r="F26" s="121">
        <f>C26</f>
        <v>0.10299999999999999</v>
      </c>
      <c r="G26" s="22">
        <f>E26*F26</f>
        <v>2.7480400000000005</v>
      </c>
      <c r="H26" s="22">
        <f t="shared" si="1"/>
        <v>0.42436000000000051</v>
      </c>
      <c r="I26" s="23">
        <f>IF(ISERROR(H26/D26),0,(H26/D26))</f>
        <v>0.18262411347517754</v>
      </c>
      <c r="J26" s="23">
        <f t="shared" ref="J26:J45" si="7">G26/$G$45</f>
        <v>2.7973596721231099E-2</v>
      </c>
      <c r="K26" s="108">
        <f t="shared" ref="K26:K40" si="8">G26/$G$50</f>
        <v>2.6942689110496524E-2</v>
      </c>
    </row>
    <row r="27" spans="1:11" s="1" customFormat="1" x14ac:dyDescent="0.2">
      <c r="A27" s="119" t="s">
        <v>74</v>
      </c>
      <c r="B27" s="120">
        <f>C8-C4</f>
        <v>22.560000000000002</v>
      </c>
      <c r="C27" s="121">
        <f>0.65*C15+0.17*C16+0.18*C17</f>
        <v>0.11139</v>
      </c>
      <c r="D27" s="22">
        <f>B27*C27</f>
        <v>2.5129584000000005</v>
      </c>
      <c r="E27" s="73">
        <f>B8-B4</f>
        <v>26.680000000000007</v>
      </c>
      <c r="F27" s="121">
        <f>C27</f>
        <v>0.11139</v>
      </c>
      <c r="G27" s="22">
        <f>E27*F27</f>
        <v>2.9718852000000009</v>
      </c>
      <c r="H27" s="22">
        <f t="shared" si="1"/>
        <v>0.45892680000000041</v>
      </c>
      <c r="I27" s="23">
        <f>IF(ISERROR(H27/D27),0,(H27/D27))</f>
        <v>0.18262411347517743</v>
      </c>
      <c r="J27" s="23">
        <f t="shared" si="7"/>
        <v>3.0252222706581872E-2</v>
      </c>
      <c r="K27" s="108">
        <f t="shared" si="8"/>
        <v>2.9137341165225324E-2</v>
      </c>
    </row>
    <row r="28" spans="1:11" s="1" customFormat="1" x14ac:dyDescent="0.2">
      <c r="A28" s="110" t="s">
        <v>78</v>
      </c>
      <c r="B28" s="74"/>
      <c r="C28" s="35"/>
      <c r="D28" s="35">
        <f>SUM(D24,D25:D26)</f>
        <v>39.703680000000006</v>
      </c>
      <c r="E28" s="73"/>
      <c r="F28" s="35"/>
      <c r="G28" s="35">
        <f>SUM(G24,G25:G26)</f>
        <v>43.618040000000001</v>
      </c>
      <c r="H28" s="35">
        <f t="shared" si="1"/>
        <v>3.914359999999995</v>
      </c>
      <c r="I28" s="36">
        <f>IF(ISERROR(H28/D28),0,(H28/D28))</f>
        <v>9.8589349904089352E-2</v>
      </c>
      <c r="J28" s="36">
        <f t="shared" si="7"/>
        <v>0.44400862459444795</v>
      </c>
      <c r="K28" s="111">
        <f t="shared" si="8"/>
        <v>0.42764562791269473</v>
      </c>
    </row>
    <row r="29" spans="1:11" s="1" customFormat="1" x14ac:dyDescent="0.2">
      <c r="A29" s="110" t="s">
        <v>77</v>
      </c>
      <c r="B29" s="74"/>
      <c r="C29" s="35"/>
      <c r="D29" s="35">
        <f>SUM(D24,D25,D27)</f>
        <v>39.892958400000005</v>
      </c>
      <c r="E29" s="73"/>
      <c r="F29" s="35"/>
      <c r="G29" s="35">
        <f>SUM(G24,G25,G27)</f>
        <v>43.8418852</v>
      </c>
      <c r="H29" s="35">
        <f t="shared" si="1"/>
        <v>3.9489267999999953</v>
      </c>
      <c r="I29" s="36">
        <f>IF(ISERROR(H29/D29),0,(H29/D29))</f>
        <v>9.8988066024203278E-2</v>
      </c>
      <c r="J29" s="36">
        <f t="shared" si="7"/>
        <v>0.44628725057979873</v>
      </c>
      <c r="K29" s="111">
        <f t="shared" si="8"/>
        <v>0.42984027996742352</v>
      </c>
    </row>
    <row r="30" spans="1:11" x14ac:dyDescent="0.2">
      <c r="A30" s="107" t="s">
        <v>40</v>
      </c>
      <c r="B30" s="73">
        <f>C8</f>
        <v>422.56</v>
      </c>
      <c r="C30" s="126">
        <f>VLOOKUP($C$3,'Data for Bill Impacts'!$A$3:$Y$39,15,0)</f>
        <v>6.7999999999999996E-3</v>
      </c>
      <c r="D30" s="22">
        <f>B30*C30</f>
        <v>2.873408</v>
      </c>
      <c r="E30" s="73">
        <f>B8</f>
        <v>426.68</v>
      </c>
      <c r="F30" s="78">
        <f>VLOOKUP($B$3,'Data for Bill Impacts'!$A$3:$Y$39,24,0)</f>
        <v>7.1000000000000004E-3</v>
      </c>
      <c r="G30" s="22">
        <f>E30*F30</f>
        <v>3.0294280000000002</v>
      </c>
      <c r="H30" s="22">
        <f t="shared" si="1"/>
        <v>0.15602000000000027</v>
      </c>
      <c r="I30" s="23">
        <f t="shared" si="2"/>
        <v>5.4297892954985952E-2</v>
      </c>
      <c r="J30" s="23">
        <f t="shared" si="7"/>
        <v>3.083797803816745E-2</v>
      </c>
      <c r="K30" s="108">
        <f t="shared" si="8"/>
        <v>2.9701509725707505E-2</v>
      </c>
    </row>
    <row r="31" spans="1:11" x14ac:dyDescent="0.2">
      <c r="A31" s="107" t="s">
        <v>41</v>
      </c>
      <c r="B31" s="73">
        <f>C8</f>
        <v>422.56</v>
      </c>
      <c r="C31" s="126">
        <f>VLOOKUP($C$3,'Data for Bill Impacts'!$A$3:$Y$39,16,0)</f>
        <v>3.5999999999999999E-3</v>
      </c>
      <c r="D31" s="22">
        <f>B31*C31</f>
        <v>1.5212159999999999</v>
      </c>
      <c r="E31" s="73">
        <f>B8</f>
        <v>426.68</v>
      </c>
      <c r="F31" s="78">
        <f>VLOOKUP($B$3,'Data for Bill Impacts'!$A$3:$Y$39,25,0)</f>
        <v>6.0000000000000001E-3</v>
      </c>
      <c r="G31" s="22">
        <f>E31*F31</f>
        <v>2.5600800000000001</v>
      </c>
      <c r="H31" s="22">
        <f t="shared" si="1"/>
        <v>1.0388640000000002</v>
      </c>
      <c r="I31" s="23">
        <f t="shared" si="2"/>
        <v>0.68291682443518886</v>
      </c>
      <c r="J31" s="23">
        <f t="shared" si="7"/>
        <v>2.6060263130845734E-2</v>
      </c>
      <c r="K31" s="108">
        <f t="shared" si="8"/>
        <v>2.5099867373837331E-2</v>
      </c>
    </row>
    <row r="32" spans="1:11" s="1" customFormat="1" x14ac:dyDescent="0.2">
      <c r="A32" s="110" t="s">
        <v>76</v>
      </c>
      <c r="B32" s="74"/>
      <c r="C32" s="35"/>
      <c r="D32" s="35">
        <f>SUM(D30:D31)</f>
        <v>4.3946240000000003</v>
      </c>
      <c r="E32" s="73"/>
      <c r="F32" s="35"/>
      <c r="G32" s="35">
        <f>SUM(G30:G31)</f>
        <v>5.5895080000000004</v>
      </c>
      <c r="H32" s="35">
        <f t="shared" si="1"/>
        <v>1.1948840000000001</v>
      </c>
      <c r="I32" s="36">
        <f t="shared" si="2"/>
        <v>0.27189675385197914</v>
      </c>
      <c r="J32" s="36">
        <f t="shared" si="7"/>
        <v>5.6898241169013181E-2</v>
      </c>
      <c r="K32" s="111">
        <f t="shared" si="8"/>
        <v>5.4801377099544836E-2</v>
      </c>
    </row>
    <row r="33" spans="1:11" s="1" customFormat="1" x14ac:dyDescent="0.2">
      <c r="A33" s="110" t="s">
        <v>95</v>
      </c>
      <c r="B33" s="74"/>
      <c r="C33" s="35"/>
      <c r="D33" s="35">
        <f>D28+D32</f>
        <v>44.098304000000006</v>
      </c>
      <c r="E33" s="73"/>
      <c r="F33" s="35"/>
      <c r="G33" s="35">
        <f>G28+G32</f>
        <v>49.207548000000003</v>
      </c>
      <c r="H33" s="35">
        <f t="shared" si="1"/>
        <v>5.1092439999999968</v>
      </c>
      <c r="I33" s="36">
        <f t="shared" si="2"/>
        <v>0.11586032877817695</v>
      </c>
      <c r="J33" s="36">
        <f t="shared" si="7"/>
        <v>0.50090686576346122</v>
      </c>
      <c r="K33" s="111">
        <f t="shared" si="8"/>
        <v>0.48244700501223958</v>
      </c>
    </row>
    <row r="34" spans="1:11" s="1" customFormat="1" x14ac:dyDescent="0.2">
      <c r="A34" s="110" t="s">
        <v>96</v>
      </c>
      <c r="B34" s="74"/>
      <c r="C34" s="35"/>
      <c r="D34" s="35">
        <f>D29+D32</f>
        <v>44.287582400000005</v>
      </c>
      <c r="E34" s="73"/>
      <c r="F34" s="35"/>
      <c r="G34" s="35">
        <f>G29+G32</f>
        <v>49.431393200000002</v>
      </c>
      <c r="H34" s="35">
        <f t="shared" si="1"/>
        <v>5.1438107999999971</v>
      </c>
      <c r="I34" s="36">
        <f t="shared" si="2"/>
        <v>0.11614566705271311</v>
      </c>
      <c r="J34" s="36">
        <f t="shared" si="7"/>
        <v>0.50318549174881189</v>
      </c>
      <c r="K34" s="111">
        <f t="shared" si="8"/>
        <v>0.48464165706696838</v>
      </c>
    </row>
    <row r="35" spans="1:11" x14ac:dyDescent="0.2">
      <c r="A35" s="107" t="s">
        <v>42</v>
      </c>
      <c r="B35" s="73">
        <f>C8</f>
        <v>422.56</v>
      </c>
      <c r="C35" s="34">
        <v>3.5999999999999999E-3</v>
      </c>
      <c r="D35" s="22">
        <f>B35*C35</f>
        <v>1.5212159999999999</v>
      </c>
      <c r="E35" s="73">
        <f>B8</f>
        <v>426.68</v>
      </c>
      <c r="F35" s="34">
        <v>3.5999999999999999E-3</v>
      </c>
      <c r="G35" s="22">
        <f>E35*F35</f>
        <v>1.5360480000000001</v>
      </c>
      <c r="H35" s="22">
        <f t="shared" si="1"/>
        <v>1.4832000000000178E-2</v>
      </c>
      <c r="I35" s="23">
        <f t="shared" si="2"/>
        <v>9.7500946611133333E-3</v>
      </c>
      <c r="J35" s="23">
        <f t="shared" si="7"/>
        <v>1.5636157878507438E-2</v>
      </c>
      <c r="K35" s="108">
        <f t="shared" si="8"/>
        <v>1.5059920424302398E-2</v>
      </c>
    </row>
    <row r="36" spans="1:11" x14ac:dyDescent="0.2">
      <c r="A36" s="107" t="s">
        <v>43</v>
      </c>
      <c r="B36" s="73">
        <f>C8</f>
        <v>422.56</v>
      </c>
      <c r="C36" s="34">
        <v>2.0999999999999999E-3</v>
      </c>
      <c r="D36" s="22">
        <f>B36*C36</f>
        <v>0.88737599999999994</v>
      </c>
      <c r="E36" s="73">
        <f>B8</f>
        <v>426.68</v>
      </c>
      <c r="F36" s="34">
        <v>2.0999999999999999E-3</v>
      </c>
      <c r="G36" s="22">
        <f>E36*F36</f>
        <v>0.89602799999999994</v>
      </c>
      <c r="H36" s="22">
        <f>G36-D36</f>
        <v>8.651999999999993E-3</v>
      </c>
      <c r="I36" s="23">
        <f t="shared" si="2"/>
        <v>9.7500946611132067E-3</v>
      </c>
      <c r="J36" s="23">
        <f t="shared" si="7"/>
        <v>9.1210920957960056E-3</v>
      </c>
      <c r="K36" s="108">
        <f t="shared" si="8"/>
        <v>8.7849535808430645E-3</v>
      </c>
    </row>
    <row r="37" spans="1:11" x14ac:dyDescent="0.2">
      <c r="A37" s="107" t="s">
        <v>100</v>
      </c>
      <c r="B37" s="73">
        <f>C8</f>
        <v>422.56</v>
      </c>
      <c r="C37" s="34">
        <v>1.1000000000000001E-3</v>
      </c>
      <c r="D37" s="22">
        <f>B37*C37</f>
        <v>0.46481600000000001</v>
      </c>
      <c r="E37" s="73">
        <f>B8</f>
        <v>426.68</v>
      </c>
      <c r="F37" s="34">
        <v>1.1000000000000001E-3</v>
      </c>
      <c r="G37" s="22">
        <f>E37*F37</f>
        <v>0.46934800000000004</v>
      </c>
      <c r="H37" s="22">
        <f>G37-D37</f>
        <v>4.532000000000036E-3</v>
      </c>
      <c r="I37" s="23">
        <f t="shared" si="2"/>
        <v>9.7500946611132917E-3</v>
      </c>
      <c r="J37" s="23">
        <f t="shared" si="7"/>
        <v>4.7777149073217175E-3</v>
      </c>
      <c r="K37" s="108">
        <f t="shared" si="8"/>
        <v>4.6016423518701775E-3</v>
      </c>
    </row>
    <row r="38" spans="1:11" x14ac:dyDescent="0.2">
      <c r="A38" s="107" t="s">
        <v>44</v>
      </c>
      <c r="B38" s="73">
        <v>1</v>
      </c>
      <c r="C38" s="22">
        <v>0.25</v>
      </c>
      <c r="D38" s="22">
        <f>B38*C38</f>
        <v>0.25</v>
      </c>
      <c r="E38" s="73">
        <f t="shared" si="0"/>
        <v>1</v>
      </c>
      <c r="F38" s="22">
        <f>C38</f>
        <v>0.25</v>
      </c>
      <c r="G38" s="22">
        <f>E38*F38</f>
        <v>0.25</v>
      </c>
      <c r="H38" s="22">
        <f t="shared" si="1"/>
        <v>0</v>
      </c>
      <c r="I38" s="23">
        <f t="shared" si="2"/>
        <v>0</v>
      </c>
      <c r="J38" s="23">
        <f t="shared" si="7"/>
        <v>2.5448680442452707E-3</v>
      </c>
      <c r="K38" s="108">
        <f t="shared" si="8"/>
        <v>2.4510823269035856E-3</v>
      </c>
    </row>
    <row r="39" spans="1:11" s="1" customFormat="1" x14ac:dyDescent="0.2">
      <c r="A39" s="110" t="s">
        <v>45</v>
      </c>
      <c r="B39" s="74"/>
      <c r="C39" s="35"/>
      <c r="D39" s="35">
        <f>SUM(D35:D38)</f>
        <v>3.1234079999999995</v>
      </c>
      <c r="E39" s="73"/>
      <c r="F39" s="35"/>
      <c r="G39" s="35">
        <f>SUM(G35:G38)</f>
        <v>3.151424</v>
      </c>
      <c r="H39" s="35">
        <f t="shared" si="1"/>
        <v>2.8016000000000485E-2</v>
      </c>
      <c r="I39" s="36">
        <f t="shared" si="2"/>
        <v>8.9696895186285267E-3</v>
      </c>
      <c r="J39" s="36">
        <f t="shared" si="7"/>
        <v>3.2079832925870432E-2</v>
      </c>
      <c r="K39" s="111">
        <f t="shared" si="8"/>
        <v>3.0897598683919225E-2</v>
      </c>
    </row>
    <row r="40" spans="1:11" s="1" customFormat="1" ht="13.5" thickBot="1" x14ac:dyDescent="0.25">
      <c r="A40" s="112" t="s">
        <v>46</v>
      </c>
      <c r="B40" s="113">
        <f>C4</f>
        <v>400</v>
      </c>
      <c r="C40" s="114">
        <v>0</v>
      </c>
      <c r="D40" s="115">
        <f>B40*C40</f>
        <v>0</v>
      </c>
      <c r="E40" s="116">
        <f>B4</f>
        <v>400</v>
      </c>
      <c r="F40" s="114">
        <f>C40</f>
        <v>0</v>
      </c>
      <c r="G40" s="115">
        <f>E40*F40</f>
        <v>0</v>
      </c>
      <c r="H40" s="115">
        <f t="shared" si="1"/>
        <v>0</v>
      </c>
      <c r="I40" s="117">
        <f t="shared" si="2"/>
        <v>0</v>
      </c>
      <c r="J40" s="117">
        <f t="shared" si="7"/>
        <v>0</v>
      </c>
      <c r="K40" s="118">
        <f t="shared" si="8"/>
        <v>0</v>
      </c>
    </row>
    <row r="41" spans="1:11" s="1" customFormat="1" x14ac:dyDescent="0.2">
      <c r="A41" s="37" t="s">
        <v>137</v>
      </c>
      <c r="B41" s="38"/>
      <c r="C41" s="39"/>
      <c r="D41" s="39">
        <f>SUM(D14,D24,D25,D26,D32,D39,D40)</f>
        <v>88.421711999999999</v>
      </c>
      <c r="E41" s="38"/>
      <c r="F41" s="39"/>
      <c r="G41" s="39">
        <f>SUM(G14,G24,G25,G26,G32,G39,G40)</f>
        <v>93.558972000000011</v>
      </c>
      <c r="H41" s="39">
        <f t="shared" si="1"/>
        <v>5.1372600000000119</v>
      </c>
      <c r="I41" s="40">
        <f>IF(ISERROR(H41/D41),0,(H41/D41))</f>
        <v>5.8099531029211601E-2</v>
      </c>
      <c r="J41" s="40">
        <f t="shared" si="7"/>
        <v>0.95238095238095233</v>
      </c>
      <c r="K41" s="41"/>
    </row>
    <row r="42" spans="1:11" x14ac:dyDescent="0.2">
      <c r="A42" s="150" t="s">
        <v>138</v>
      </c>
      <c r="B42" s="43"/>
      <c r="C42" s="26">
        <v>0.13</v>
      </c>
      <c r="D42" s="26">
        <f>D41*C42</f>
        <v>11.494822560000001</v>
      </c>
      <c r="E42" s="26"/>
      <c r="F42" s="26">
        <f>C42</f>
        <v>0.13</v>
      </c>
      <c r="G42" s="26">
        <f>G41*F42</f>
        <v>12.162666360000001</v>
      </c>
      <c r="H42" s="26">
        <f t="shared" si="1"/>
        <v>0.66784379999999999</v>
      </c>
      <c r="I42" s="44">
        <f t="shared" si="2"/>
        <v>5.8099531029211463E-2</v>
      </c>
      <c r="J42" s="44">
        <f t="shared" si="7"/>
        <v>0.1238095238095238</v>
      </c>
      <c r="K42" s="45"/>
    </row>
    <row r="43" spans="1:11" s="1" customFormat="1" x14ac:dyDescent="0.2">
      <c r="A43" s="46" t="s">
        <v>139</v>
      </c>
      <c r="B43" s="24"/>
      <c r="C43" s="25"/>
      <c r="D43" s="25">
        <f>SUM(D41:D42)</f>
        <v>99.916534560000002</v>
      </c>
      <c r="E43" s="25"/>
      <c r="F43" s="25"/>
      <c r="G43" s="25">
        <f>SUM(G41:G42)</f>
        <v>105.72163836000001</v>
      </c>
      <c r="H43" s="25">
        <f t="shared" si="1"/>
        <v>5.8051038000000119</v>
      </c>
      <c r="I43" s="27">
        <f t="shared" si="2"/>
        <v>5.8099531029211587E-2</v>
      </c>
      <c r="J43" s="27">
        <f t="shared" si="7"/>
        <v>1.0761904761904761</v>
      </c>
      <c r="K43" s="47"/>
    </row>
    <row r="44" spans="1:11" x14ac:dyDescent="0.2">
      <c r="A44" s="42" t="s">
        <v>140</v>
      </c>
      <c r="B44" s="43"/>
      <c r="C44" s="26">
        <v>-0.08</v>
      </c>
      <c r="D44" s="26">
        <f>D41*C44</f>
        <v>-7.0737369599999997</v>
      </c>
      <c r="E44" s="26"/>
      <c r="F44" s="26">
        <f>C44</f>
        <v>-0.08</v>
      </c>
      <c r="G44" s="26">
        <f>G41*F44</f>
        <v>-7.4847177600000014</v>
      </c>
      <c r="H44" s="26">
        <f t="shared" si="1"/>
        <v>-0.4109808000000017</v>
      </c>
      <c r="I44" s="44">
        <f t="shared" si="2"/>
        <v>5.8099531029211712E-2</v>
      </c>
      <c r="J44" s="44">
        <f t="shared" si="7"/>
        <v>-7.6190476190476183E-2</v>
      </c>
      <c r="K44" s="45"/>
    </row>
    <row r="45" spans="1:11" s="1" customFormat="1" ht="13.5" thickBot="1" x14ac:dyDescent="0.25">
      <c r="A45" s="48" t="s">
        <v>141</v>
      </c>
      <c r="B45" s="49"/>
      <c r="C45" s="50"/>
      <c r="D45" s="50">
        <f>SUM(D43:D44)</f>
        <v>92.842797599999997</v>
      </c>
      <c r="E45" s="50"/>
      <c r="F45" s="50"/>
      <c r="G45" s="50">
        <f>SUM(G43:G44)</f>
        <v>98.236920600000019</v>
      </c>
      <c r="H45" s="50">
        <f t="shared" si="1"/>
        <v>5.3941230000000218</v>
      </c>
      <c r="I45" s="51">
        <f t="shared" si="2"/>
        <v>5.8099531029211705E-2</v>
      </c>
      <c r="J45" s="51">
        <f t="shared" si="7"/>
        <v>1</v>
      </c>
      <c r="K45" s="52"/>
    </row>
    <row r="46" spans="1:11" x14ac:dyDescent="0.2">
      <c r="A46" s="53" t="s">
        <v>142</v>
      </c>
      <c r="B46" s="54"/>
      <c r="C46" s="55"/>
      <c r="D46" s="55">
        <f>SUM(D18,D24,D25,D27,D32,D39,D40)</f>
        <v>91.9669904</v>
      </c>
      <c r="E46" s="55"/>
      <c r="F46" s="55"/>
      <c r="G46" s="55">
        <f>SUM(G18,G24,G25,G27,G32,G39,G40)</f>
        <v>97.138817200000005</v>
      </c>
      <c r="H46" s="55">
        <f>G46-D46</f>
        <v>5.1718268000000052</v>
      </c>
      <c r="I46" s="56">
        <f>IF(ISERROR(H46/D46),0,(H46/D46))</f>
        <v>5.623568605981049E-2</v>
      </c>
      <c r="J46" s="56"/>
      <c r="K46" s="57">
        <f>G46/$G$50</f>
        <v>0.95238095238095233</v>
      </c>
    </row>
    <row r="47" spans="1:11" x14ac:dyDescent="0.2">
      <c r="A47" s="58" t="s">
        <v>138</v>
      </c>
      <c r="B47" s="59"/>
      <c r="C47" s="31">
        <v>0.13</v>
      </c>
      <c r="D47" s="31">
        <f>D46*C47</f>
        <v>11.955708752</v>
      </c>
      <c r="E47" s="31"/>
      <c r="F47" s="31">
        <f>C47</f>
        <v>0.13</v>
      </c>
      <c r="G47" s="31">
        <f>G46*F47</f>
        <v>12.628046236000001</v>
      </c>
      <c r="H47" s="31">
        <f>G47-D47</f>
        <v>0.6723374840000016</v>
      </c>
      <c r="I47" s="32">
        <f>IF(ISERROR(H47/D47),0,(H47/D47))</f>
        <v>5.6235686059810566E-2</v>
      </c>
      <c r="J47" s="32"/>
      <c r="K47" s="60">
        <f>G47/$G$50</f>
        <v>0.1238095238095238</v>
      </c>
    </row>
    <row r="48" spans="1:11" x14ac:dyDescent="0.2">
      <c r="A48" s="61" t="s">
        <v>143</v>
      </c>
      <c r="B48" s="29"/>
      <c r="C48" s="30"/>
      <c r="D48" s="30">
        <f>SUM(D46:D47)</f>
        <v>103.92269915200001</v>
      </c>
      <c r="E48" s="30"/>
      <c r="F48" s="30"/>
      <c r="G48" s="30">
        <f>SUM(G46:G47)</f>
        <v>109.76686343600001</v>
      </c>
      <c r="H48" s="30">
        <f>G48-D48</f>
        <v>5.8441642840000014</v>
      </c>
      <c r="I48" s="33">
        <f>IF(ISERROR(H48/D48),0,(H48/D48))</f>
        <v>5.6235686059810441E-2</v>
      </c>
      <c r="J48" s="33"/>
      <c r="K48" s="62">
        <f>G48/$G$50</f>
        <v>1.0761904761904761</v>
      </c>
    </row>
    <row r="49" spans="1:11" x14ac:dyDescent="0.2">
      <c r="A49" s="58" t="s">
        <v>140</v>
      </c>
      <c r="B49" s="59"/>
      <c r="C49" s="31">
        <v>-0.08</v>
      </c>
      <c r="D49" s="31">
        <f>D46*C49</f>
        <v>-7.3573592320000003</v>
      </c>
      <c r="E49" s="31"/>
      <c r="F49" s="31">
        <f>C49</f>
        <v>-0.08</v>
      </c>
      <c r="G49" s="31">
        <f>G46*F49</f>
        <v>-7.7711053760000004</v>
      </c>
      <c r="H49" s="31">
        <f>G49-D49</f>
        <v>-0.41374614400000009</v>
      </c>
      <c r="I49" s="32">
        <f>IF(ISERROR(H49/D49),0,(H49/D49))</f>
        <v>5.6235686059810441E-2</v>
      </c>
      <c r="J49" s="32"/>
      <c r="K49" s="60">
        <f>G49/$G$50</f>
        <v>-7.6190476190476183E-2</v>
      </c>
    </row>
    <row r="50" spans="1:11" ht="13.5" thickBot="1" x14ac:dyDescent="0.25">
      <c r="A50" s="63" t="s">
        <v>144</v>
      </c>
      <c r="B50" s="64"/>
      <c r="C50" s="65"/>
      <c r="D50" s="65">
        <f>SUM(D48:D49)</f>
        <v>96.565339920000014</v>
      </c>
      <c r="E50" s="65"/>
      <c r="F50" s="65"/>
      <c r="G50" s="65">
        <f>SUM(G48:G49)</f>
        <v>101.99575806000001</v>
      </c>
      <c r="H50" s="65">
        <f>G50-D50</f>
        <v>5.4304181400000004</v>
      </c>
      <c r="I50" s="66">
        <f>IF(ISERROR(H50/D50),0,(H50/D50))</f>
        <v>5.6235686059810427E-2</v>
      </c>
      <c r="J50" s="66"/>
      <c r="K50" s="67">
        <f>G50/$G$50</f>
        <v>1</v>
      </c>
    </row>
    <row r="51" spans="1:11" x14ac:dyDescent="0.2">
      <c r="C51" s="68"/>
      <c r="F51" s="69"/>
    </row>
    <row r="52" spans="1:11" x14ac:dyDescent="0.2">
      <c r="F52" s="69"/>
    </row>
    <row r="53" spans="1:11" x14ac:dyDescent="0.2">
      <c r="F53" s="69"/>
    </row>
    <row r="54" spans="1:11" x14ac:dyDescent="0.2">
      <c r="A54" s="70"/>
      <c r="B54" s="71"/>
      <c r="F54" s="69"/>
    </row>
    <row r="55" spans="1:11" x14ac:dyDescent="0.2">
      <c r="B55" s="71"/>
      <c r="F55" s="69"/>
    </row>
    <row r="56" spans="1:11" x14ac:dyDescent="0.2">
      <c r="F56" s="69"/>
    </row>
    <row r="57" spans="1:11" x14ac:dyDescent="0.2">
      <c r="D57" s="72"/>
      <c r="F57" s="69"/>
    </row>
    <row r="58" spans="1:11" x14ac:dyDescent="0.2">
      <c r="F58" s="69"/>
    </row>
    <row r="59" spans="1:11" x14ac:dyDescent="0.2">
      <c r="A59" s="70"/>
      <c r="B59" s="71"/>
      <c r="F59" s="69"/>
    </row>
    <row r="60" spans="1:11" x14ac:dyDescent="0.2">
      <c r="B60" s="72"/>
      <c r="D60" s="72"/>
      <c r="F60" s="69"/>
    </row>
    <row r="61" spans="1:11" x14ac:dyDescent="0.2">
      <c r="F61" s="69"/>
    </row>
    <row r="62" spans="1:11" x14ac:dyDescent="0.2">
      <c r="F62" s="69"/>
    </row>
    <row r="63" spans="1:11" x14ac:dyDescent="0.2">
      <c r="F63" s="69"/>
      <c r="K63"/>
    </row>
    <row r="64" spans="1:11" x14ac:dyDescent="0.2">
      <c r="F64" s="69"/>
      <c r="K64"/>
    </row>
    <row r="65" spans="6:11" x14ac:dyDescent="0.2">
      <c r="F65" s="69"/>
      <c r="K65"/>
    </row>
    <row r="66" spans="6:11" x14ac:dyDescent="0.2">
      <c r="F66" s="69"/>
      <c r="K66"/>
    </row>
    <row r="67" spans="6:11" x14ac:dyDescent="0.2">
      <c r="F67" s="69"/>
      <c r="K67"/>
    </row>
  </sheetData>
  <dataConsolidate/>
  <mergeCells count="1">
    <mergeCell ref="A1:K1"/>
  </mergeCell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Impacts'!$A$3:$A$21</xm:f>
          </x14:formula1>
          <xm:sqref>B3</xm:sqref>
        </x14:dataValidation>
      </x14:dataValidations>
    </ext>
  </extLst>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0">
    <pageSetUpPr fitToPage="1"/>
  </sheetPr>
  <dimension ref="A1:K67"/>
  <sheetViews>
    <sheetView topLeftCell="A19" workbookViewId="0">
      <selection activeCell="C19" sqref="C19"/>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48" t="s">
        <v>112</v>
      </c>
      <c r="B1" s="349"/>
      <c r="C1" s="349"/>
      <c r="D1" s="349"/>
      <c r="E1" s="349"/>
      <c r="F1" s="349"/>
      <c r="G1" s="349"/>
      <c r="H1" s="349"/>
      <c r="I1" s="349"/>
      <c r="J1" s="349"/>
      <c r="K1" s="350"/>
    </row>
    <row r="3" spans="1:11" x14ac:dyDescent="0.2">
      <c r="A3" s="13" t="s">
        <v>13</v>
      </c>
      <c r="B3" s="13" t="s">
        <v>180</v>
      </c>
      <c r="C3" s="13" t="s">
        <v>125</v>
      </c>
    </row>
    <row r="4" spans="1:11" x14ac:dyDescent="0.2">
      <c r="A4" s="15" t="s">
        <v>62</v>
      </c>
      <c r="B4" s="79">
        <f>C4</f>
        <v>569.97605296090956</v>
      </c>
      <c r="C4" s="79">
        <f>'Data for Bill Impacts_HONI Avg '!E28</f>
        <v>569.97605296090956</v>
      </c>
    </row>
    <row r="5" spans="1:11" x14ac:dyDescent="0.2">
      <c r="A5" s="15" t="s">
        <v>16</v>
      </c>
      <c r="B5" s="15">
        <f>VLOOKUP($B$3,'Data for Bill Impacts'!$A$3:$Y$39,5,0)</f>
        <v>0</v>
      </c>
      <c r="C5" s="15">
        <f>B5</f>
        <v>0</v>
      </c>
    </row>
    <row r="6" spans="1:11" x14ac:dyDescent="0.2">
      <c r="A6" s="15" t="s">
        <v>20</v>
      </c>
      <c r="B6" s="15">
        <f>VLOOKUP($B$3,'Data for Bill Impacts'!$A$3:$Y$39,2,0)</f>
        <v>1.0667</v>
      </c>
      <c r="C6" s="15">
        <f>VLOOKUP($C$3,'Data for Bill Impacts'!$A$3:$Y$39,2,0)</f>
        <v>1.0564</v>
      </c>
    </row>
    <row r="7" spans="1:11" x14ac:dyDescent="0.2">
      <c r="A7" s="15" t="s">
        <v>15</v>
      </c>
      <c r="B7" s="15">
        <f>VLOOKUP($B$3,'Data for Bill Impacts'!$A$3:$Y$39,4,0)</f>
        <v>600</v>
      </c>
      <c r="C7" s="15">
        <f>B7</f>
        <v>600</v>
      </c>
    </row>
    <row r="8" spans="1:11" x14ac:dyDescent="0.2">
      <c r="A8" s="15" t="s">
        <v>82</v>
      </c>
      <c r="B8" s="193">
        <f>B4*B6</f>
        <v>607.99345569340221</v>
      </c>
      <c r="C8" s="193">
        <f>C4*C6</f>
        <v>602.12270234790481</v>
      </c>
    </row>
    <row r="9" spans="1:11" x14ac:dyDescent="0.2">
      <c r="A9" s="15" t="s">
        <v>21</v>
      </c>
      <c r="B9" s="16" t="str">
        <f>VLOOKUP($B$3,'Data for Bill Impacts'!$A$3:$Y$39,6,0)</f>
        <v>kWh</v>
      </c>
      <c r="C9" s="16" t="str">
        <f>VLOOKUP($C$3,'Data for Bill Impacts'!$A$3:$Y$39,6,0)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569.97605296090956</v>
      </c>
      <c r="C12" s="103">
        <v>0.10299999999999999</v>
      </c>
      <c r="D12" s="104">
        <f>B12*C12</f>
        <v>58.707533454973678</v>
      </c>
      <c r="E12" s="102">
        <f>B12</f>
        <v>569.97605296090956</v>
      </c>
      <c r="F12" s="103">
        <f>C12</f>
        <v>0.10299999999999999</v>
      </c>
      <c r="G12" s="104">
        <f>E12*F12</f>
        <v>58.707533454973678</v>
      </c>
      <c r="H12" s="104">
        <f>G12-D12</f>
        <v>0</v>
      </c>
      <c r="I12" s="105">
        <f>IF(ISERROR(H12/D12),0,(H12/D12))</f>
        <v>0</v>
      </c>
      <c r="J12" s="105">
        <f>G12/$G$45</f>
        <v>0.48265521688884361</v>
      </c>
      <c r="K12" s="106"/>
    </row>
    <row r="13" spans="1:11" x14ac:dyDescent="0.2">
      <c r="A13" s="107" t="s">
        <v>32</v>
      </c>
      <c r="B13" s="73">
        <f>IF(B4&gt;B7,(B4)-B7,0)</f>
        <v>0</v>
      </c>
      <c r="C13" s="21">
        <v>0.121</v>
      </c>
      <c r="D13" s="22">
        <f>B13*C13</f>
        <v>0</v>
      </c>
      <c r="E13" s="73">
        <f t="shared" ref="E13:E38" si="0">B13</f>
        <v>0</v>
      </c>
      <c r="F13" s="21">
        <f>C13</f>
        <v>0.121</v>
      </c>
      <c r="G13" s="22">
        <f>E13*F13</f>
        <v>0</v>
      </c>
      <c r="H13" s="22">
        <f t="shared" ref="H13:H45" si="1">G13-D13</f>
        <v>0</v>
      </c>
      <c r="I13" s="23">
        <f t="shared" ref="I13:I45" si="2">IF(ISERROR(H13/D13),0,(H13/D13))</f>
        <v>0</v>
      </c>
      <c r="J13" s="23">
        <f>G13/$G$45</f>
        <v>0</v>
      </c>
      <c r="K13" s="108"/>
    </row>
    <row r="14" spans="1:11" s="1" customFormat="1" x14ac:dyDescent="0.2">
      <c r="A14" s="46" t="s">
        <v>33</v>
      </c>
      <c r="B14" s="24"/>
      <c r="C14" s="25"/>
      <c r="D14" s="25">
        <f>SUM(D12:D13)</f>
        <v>58.707533454973678</v>
      </c>
      <c r="E14" s="76"/>
      <c r="F14" s="25"/>
      <c r="G14" s="25">
        <f>SUM(G12:G13)</f>
        <v>58.707533454973678</v>
      </c>
      <c r="H14" s="25">
        <f t="shared" si="1"/>
        <v>0</v>
      </c>
      <c r="I14" s="27">
        <f t="shared" si="2"/>
        <v>0</v>
      </c>
      <c r="J14" s="27">
        <f>G14/$G$45</f>
        <v>0.48265521688884361</v>
      </c>
      <c r="K14" s="108"/>
    </row>
    <row r="15" spans="1:11" s="1" customFormat="1" x14ac:dyDescent="0.2">
      <c r="A15" s="109" t="s">
        <v>34</v>
      </c>
      <c r="B15" s="75">
        <f>B4*0.65</f>
        <v>370.4844344245912</v>
      </c>
      <c r="C15" s="28">
        <v>8.6999999999999994E-2</v>
      </c>
      <c r="D15" s="22">
        <f>B15*C15</f>
        <v>32.232145794939434</v>
      </c>
      <c r="E15" s="73">
        <f t="shared" ref="E15:F17" si="3">B15</f>
        <v>370.4844344245912</v>
      </c>
      <c r="F15" s="28">
        <f t="shared" si="3"/>
        <v>8.6999999999999994E-2</v>
      </c>
      <c r="G15" s="22">
        <f>E15*F15</f>
        <v>32.232145794939434</v>
      </c>
      <c r="H15" s="22">
        <f t="shared" si="1"/>
        <v>0</v>
      </c>
      <c r="I15" s="23">
        <f t="shared" si="2"/>
        <v>0</v>
      </c>
      <c r="J15" s="23"/>
      <c r="K15" s="108">
        <f t="shared" ref="K15:K25" si="4">G15/$G$50</f>
        <v>0.25381514227329866</v>
      </c>
    </row>
    <row r="16" spans="1:11" s="1" customFormat="1" x14ac:dyDescent="0.2">
      <c r="A16" s="109" t="s">
        <v>35</v>
      </c>
      <c r="B16" s="75">
        <f>B4*0.17</f>
        <v>96.895929003354638</v>
      </c>
      <c r="C16" s="28">
        <v>0.13200000000000001</v>
      </c>
      <c r="D16" s="22">
        <f>B16*C16</f>
        <v>12.790262628442813</v>
      </c>
      <c r="E16" s="73">
        <f t="shared" si="3"/>
        <v>96.895929003354638</v>
      </c>
      <c r="F16" s="28">
        <f t="shared" si="3"/>
        <v>0.13200000000000001</v>
      </c>
      <c r="G16" s="22">
        <f>E16*F16</f>
        <v>12.790262628442813</v>
      </c>
      <c r="H16" s="22">
        <f t="shared" si="1"/>
        <v>0</v>
      </c>
      <c r="I16" s="23">
        <f t="shared" si="2"/>
        <v>0</v>
      </c>
      <c r="J16" s="23"/>
      <c r="K16" s="108">
        <f t="shared" si="4"/>
        <v>0.10071815725221614</v>
      </c>
    </row>
    <row r="17" spans="1:11" s="1" customFormat="1" x14ac:dyDescent="0.2">
      <c r="A17" s="109" t="s">
        <v>36</v>
      </c>
      <c r="B17" s="75">
        <f>B4*0.18</f>
        <v>102.59568953296372</v>
      </c>
      <c r="C17" s="28">
        <v>0.18</v>
      </c>
      <c r="D17" s="22">
        <f>B17*C17</f>
        <v>18.467224115933469</v>
      </c>
      <c r="E17" s="73">
        <f t="shared" si="3"/>
        <v>102.59568953296372</v>
      </c>
      <c r="F17" s="28">
        <f t="shared" si="3"/>
        <v>0.18</v>
      </c>
      <c r="G17" s="22">
        <f>E17*F17</f>
        <v>18.467224115933469</v>
      </c>
      <c r="H17" s="22">
        <f t="shared" si="1"/>
        <v>0</v>
      </c>
      <c r="I17" s="23">
        <f t="shared" si="2"/>
        <v>0</v>
      </c>
      <c r="J17" s="23"/>
      <c r="K17" s="108">
        <f t="shared" si="4"/>
        <v>0.14542193827860081</v>
      </c>
    </row>
    <row r="18" spans="1:11" s="1" customFormat="1" x14ac:dyDescent="0.2">
      <c r="A18" s="61" t="s">
        <v>37</v>
      </c>
      <c r="B18" s="29"/>
      <c r="C18" s="30"/>
      <c r="D18" s="30">
        <f>SUM(D15:D17)</f>
        <v>63.489632539315714</v>
      </c>
      <c r="E18" s="77"/>
      <c r="F18" s="30"/>
      <c r="G18" s="30">
        <f>SUM(G15:G17)</f>
        <v>63.489632539315714</v>
      </c>
      <c r="H18" s="31">
        <f t="shared" si="1"/>
        <v>0</v>
      </c>
      <c r="I18" s="32">
        <f t="shared" si="2"/>
        <v>0</v>
      </c>
      <c r="J18" s="33">
        <f>G18/$G$45</f>
        <v>0.52197053018687667</v>
      </c>
      <c r="K18" s="62">
        <f t="shared" si="4"/>
        <v>0.49995523780411555</v>
      </c>
    </row>
    <row r="19" spans="1:11" x14ac:dyDescent="0.2">
      <c r="A19" s="107" t="s">
        <v>38</v>
      </c>
      <c r="B19" s="73">
        <v>1</v>
      </c>
      <c r="C19" s="122">
        <f>VLOOKUP($C$3,'Data for Bill Impacts'!$A$3:$Y$39,7,0)</f>
        <v>36.78</v>
      </c>
      <c r="D19" s="22">
        <f>B19*C19</f>
        <v>36.78</v>
      </c>
      <c r="E19" s="73">
        <f t="shared" si="0"/>
        <v>1</v>
      </c>
      <c r="F19" s="122">
        <f>VLOOKUP($B$3,'Data for Bill Impacts'!$A$3:$Y$39,17,0)</f>
        <v>40.08</v>
      </c>
      <c r="G19" s="22">
        <f>E19*F19</f>
        <v>40.08</v>
      </c>
      <c r="H19" s="22">
        <f t="shared" si="1"/>
        <v>3.2999999999999972</v>
      </c>
      <c r="I19" s="23">
        <f t="shared" si="2"/>
        <v>8.9722675367047228E-2</v>
      </c>
      <c r="J19" s="23">
        <f>G19/$G$45</f>
        <v>0.32951173306815135</v>
      </c>
      <c r="K19" s="108">
        <f t="shared" si="4"/>
        <v>0.31561382748246919</v>
      </c>
    </row>
    <row r="20" spans="1:11" x14ac:dyDescent="0.2">
      <c r="A20" s="107" t="s">
        <v>188</v>
      </c>
      <c r="B20" s="73">
        <v>1</v>
      </c>
      <c r="C20" s="78">
        <f>'Data for Bill Impacts'!K34</f>
        <v>-0.55000000000000004</v>
      </c>
      <c r="D20" s="22">
        <f>B20*C20</f>
        <v>-0.55000000000000004</v>
      </c>
      <c r="E20" s="73">
        <f t="shared" si="0"/>
        <v>1</v>
      </c>
      <c r="F20" s="122">
        <v>0</v>
      </c>
      <c r="G20" s="22">
        <f t="shared" ref="G20" si="5">E20*F20</f>
        <v>0</v>
      </c>
      <c r="H20" s="22">
        <f t="shared" si="1"/>
        <v>0.55000000000000004</v>
      </c>
      <c r="I20" s="23">
        <f t="shared" si="2"/>
        <v>-1</v>
      </c>
      <c r="J20" s="23">
        <f>G20/$G$45</f>
        <v>0</v>
      </c>
      <c r="K20" s="108">
        <f t="shared" si="4"/>
        <v>0</v>
      </c>
    </row>
    <row r="21" spans="1:11" x14ac:dyDescent="0.2">
      <c r="A21" s="107" t="s">
        <v>39</v>
      </c>
      <c r="B21" s="73">
        <f>IF($C$9="kWh",$C$4,$C$5)</f>
        <v>569.97605296090956</v>
      </c>
      <c r="C21" s="126">
        <f>VLOOKUP($C$3,'Data for Bill Impacts'!$A$3:$Y$39,10,0)</f>
        <v>0</v>
      </c>
      <c r="D21" s="22">
        <f>B21*C21</f>
        <v>0</v>
      </c>
      <c r="E21" s="73">
        <f t="shared" si="0"/>
        <v>569.97605296090956</v>
      </c>
      <c r="F21" s="126">
        <f>VLOOKUP($B$3,'Data for Bill Impacts'!$A$3:$Y$39,19,0)</f>
        <v>0</v>
      </c>
      <c r="G21" s="22">
        <f>E21*F21</f>
        <v>0</v>
      </c>
      <c r="H21" s="22">
        <f t="shared" si="1"/>
        <v>0</v>
      </c>
      <c r="I21" s="23">
        <f t="shared" si="2"/>
        <v>0</v>
      </c>
      <c r="J21" s="23">
        <f>G21/$G$45</f>
        <v>0</v>
      </c>
      <c r="K21" s="108">
        <f t="shared" si="4"/>
        <v>0</v>
      </c>
    </row>
    <row r="22" spans="1:11" x14ac:dyDescent="0.2">
      <c r="A22" s="107" t="s">
        <v>189</v>
      </c>
      <c r="B22" s="73">
        <f>IF($C$9="kWh",$C$4,$C$5)</f>
        <v>569.97605296090956</v>
      </c>
      <c r="C22" s="78">
        <f>'Data for Bill Impacts'!H34</f>
        <v>8.9999999999999998E-4</v>
      </c>
      <c r="D22" s="22">
        <f>B22*C22</f>
        <v>0.51297844766481859</v>
      </c>
      <c r="E22" s="73">
        <f>B22</f>
        <v>569.97605296090956</v>
      </c>
      <c r="F22" s="126">
        <v>0</v>
      </c>
      <c r="G22" s="22">
        <f>E22*F22</f>
        <v>0</v>
      </c>
      <c r="H22" s="22">
        <f>G22-D22</f>
        <v>-0.51297844766481859</v>
      </c>
      <c r="I22" s="23">
        <f>IF(ISERROR(H22/D22),0,(H22/D22))</f>
        <v>-1</v>
      </c>
      <c r="J22" s="23">
        <f t="shared" ref="J22" si="6">G22/$G$45</f>
        <v>0</v>
      </c>
      <c r="K22" s="108">
        <f t="shared" si="4"/>
        <v>0</v>
      </c>
    </row>
    <row r="23" spans="1:11" x14ac:dyDescent="0.2">
      <c r="A23" s="107" t="s">
        <v>190</v>
      </c>
      <c r="B23" s="73">
        <f>IF($B$9="kWh",$B$4,$B$5)</f>
        <v>569.97605296090956</v>
      </c>
      <c r="C23" s="126">
        <f>'Data for Bill Impacts'!L34</f>
        <v>0</v>
      </c>
      <c r="D23" s="22">
        <f>B23*C23</f>
        <v>0</v>
      </c>
      <c r="E23" s="73">
        <f t="shared" si="0"/>
        <v>569.97605296090956</v>
      </c>
      <c r="F23" s="126">
        <v>0</v>
      </c>
      <c r="G23" s="22">
        <f>E23*F23</f>
        <v>0</v>
      </c>
      <c r="H23" s="22">
        <f t="shared" si="1"/>
        <v>0</v>
      </c>
      <c r="I23" s="23">
        <f>IF(ISERROR(H23/D23),0,(H23/D23))</f>
        <v>0</v>
      </c>
      <c r="J23" s="23">
        <f>G23/$G$45</f>
        <v>0</v>
      </c>
      <c r="K23" s="108">
        <f t="shared" si="4"/>
        <v>0</v>
      </c>
    </row>
    <row r="24" spans="1:11" s="1" customFormat="1" x14ac:dyDescent="0.2">
      <c r="A24" s="110" t="s">
        <v>72</v>
      </c>
      <c r="B24" s="74"/>
      <c r="C24" s="35"/>
      <c r="D24" s="35">
        <f>SUM(D19:D23)</f>
        <v>36.742978447664825</v>
      </c>
      <c r="E24" s="73"/>
      <c r="F24" s="35"/>
      <c r="G24" s="35">
        <f>SUM(G19:G23)</f>
        <v>40.08</v>
      </c>
      <c r="H24" s="35">
        <f t="shared" si="1"/>
        <v>3.3370215523351732</v>
      </c>
      <c r="I24" s="36">
        <f t="shared" si="2"/>
        <v>9.0820659982376997E-2</v>
      </c>
      <c r="J24" s="36">
        <f>G24/$G$45</f>
        <v>0.32951173306815135</v>
      </c>
      <c r="K24" s="111">
        <f t="shared" si="4"/>
        <v>0.31561382748246919</v>
      </c>
    </row>
    <row r="25" spans="1:11" s="1" customFormat="1" x14ac:dyDescent="0.2">
      <c r="A25" s="119" t="s">
        <v>73</v>
      </c>
      <c r="B25" s="120">
        <v>1</v>
      </c>
      <c r="C25" s="78">
        <f>VLOOKUP($C$3,'Data for Bill Impacts'!$A$3:$Y$39,9,0)</f>
        <v>0.79</v>
      </c>
      <c r="D25" s="22">
        <f>B25*C25</f>
        <v>0.79</v>
      </c>
      <c r="E25" s="73">
        <v>1</v>
      </c>
      <c r="F25" s="78">
        <f>VLOOKUP($B$3,'Data for Bill Impacts'!$A$3:$Y$39,18,0)</f>
        <v>0.79</v>
      </c>
      <c r="G25" s="22">
        <f>E25*F25</f>
        <v>0.79</v>
      </c>
      <c r="H25" s="22">
        <f t="shared" si="1"/>
        <v>0</v>
      </c>
      <c r="I25" s="23">
        <f>IF(ISERROR(H25/D25),0,(H25/D25))</f>
        <v>0</v>
      </c>
      <c r="J25" s="23">
        <f>G25/$G$45</f>
        <v>6.4948669941077746E-3</v>
      </c>
      <c r="K25" s="108">
        <f t="shared" si="4"/>
        <v>6.2209312303181307E-3</v>
      </c>
    </row>
    <row r="26" spans="1:11" s="1" customFormat="1" x14ac:dyDescent="0.2">
      <c r="A26" s="119" t="s">
        <v>75</v>
      </c>
      <c r="B26" s="120">
        <f>C8-C4</f>
        <v>32.14664938699525</v>
      </c>
      <c r="C26" s="121">
        <f>IF(C4&gt;C7,C13,C12)</f>
        <v>0.10299999999999999</v>
      </c>
      <c r="D26" s="22">
        <f>B26*C26</f>
        <v>3.3111048868605106</v>
      </c>
      <c r="E26" s="73">
        <f>B8-B4</f>
        <v>38.017402732492656</v>
      </c>
      <c r="F26" s="121">
        <f>IF(B4&gt;C7,F13,F12)</f>
        <v>0.10299999999999999</v>
      </c>
      <c r="G26" s="22">
        <f>E26*F26</f>
        <v>3.9157924814467435</v>
      </c>
      <c r="H26" s="22">
        <f t="shared" si="1"/>
        <v>0.60468759458623289</v>
      </c>
      <c r="I26" s="23">
        <f>IF(ISERROR(H26/D26),0,(H26/D26))</f>
        <v>0.18262411347517879</v>
      </c>
      <c r="J26" s="23">
        <f t="shared" ref="J26:J45" si="7">G26/$G$45</f>
        <v>3.2193102966485865E-2</v>
      </c>
      <c r="K26" s="108">
        <f t="shared" ref="K26:K40" si="8">G26/$G$50</f>
        <v>3.0835285745920222E-2</v>
      </c>
    </row>
    <row r="27" spans="1:11" s="1" customFormat="1" x14ac:dyDescent="0.2">
      <c r="A27" s="119" t="s">
        <v>74</v>
      </c>
      <c r="B27" s="120">
        <f>C8-C4</f>
        <v>32.14664938699525</v>
      </c>
      <c r="C27" s="121">
        <f>0.65*C15+0.17*C16+0.18*C17</f>
        <v>0.11139</v>
      </c>
      <c r="D27" s="22">
        <f>B27*C27</f>
        <v>3.5808152752174012</v>
      </c>
      <c r="E27" s="73">
        <f>B8-B4</f>
        <v>38.017402732492656</v>
      </c>
      <c r="F27" s="121">
        <f>0.65*F15+0.17*F16+0.18*F17</f>
        <v>0.11139</v>
      </c>
      <c r="G27" s="22">
        <f>E27*F27</f>
        <v>4.2347584903723572</v>
      </c>
      <c r="H27" s="22">
        <f t="shared" si="1"/>
        <v>0.65394321515495601</v>
      </c>
      <c r="I27" s="23">
        <f>IF(ISERROR(H27/D27),0,(H27/D27))</f>
        <v>0.18262411347517873</v>
      </c>
      <c r="J27" s="23">
        <f t="shared" si="7"/>
        <v>3.4815434363464667E-2</v>
      </c>
      <c r="K27" s="108">
        <f t="shared" si="8"/>
        <v>3.3347014361534498E-2</v>
      </c>
    </row>
    <row r="28" spans="1:11" s="1" customFormat="1" x14ac:dyDescent="0.2">
      <c r="A28" s="110" t="s">
        <v>78</v>
      </c>
      <c r="B28" s="74"/>
      <c r="C28" s="35"/>
      <c r="D28" s="35">
        <f>SUM(D24,D25:D26)</f>
        <v>40.844083334525337</v>
      </c>
      <c r="E28" s="73"/>
      <c r="F28" s="35"/>
      <c r="G28" s="35">
        <f>SUM(G24,G25:G26)</f>
        <v>44.785792481446741</v>
      </c>
      <c r="H28" s="35">
        <f t="shared" si="1"/>
        <v>3.9417091469214043</v>
      </c>
      <c r="I28" s="36">
        <f>IF(ISERROR(H28/D28),0,(H28/D28))</f>
        <v>9.6506245828499079E-2</v>
      </c>
      <c r="J28" s="36">
        <f t="shared" si="7"/>
        <v>0.368199703028745</v>
      </c>
      <c r="K28" s="111">
        <f t="shared" si="8"/>
        <v>0.35267004445870753</v>
      </c>
    </row>
    <row r="29" spans="1:11" s="1" customFormat="1" x14ac:dyDescent="0.2">
      <c r="A29" s="110" t="s">
        <v>77</v>
      </c>
      <c r="B29" s="74"/>
      <c r="C29" s="35"/>
      <c r="D29" s="35">
        <f>SUM(D24,D25,D27)</f>
        <v>41.113793722882228</v>
      </c>
      <c r="E29" s="73"/>
      <c r="F29" s="35"/>
      <c r="G29" s="35">
        <f>SUM(G24,G25,G27)</f>
        <v>45.104758490372355</v>
      </c>
      <c r="H29" s="35">
        <f t="shared" si="1"/>
        <v>3.9909647674901265</v>
      </c>
      <c r="I29" s="36">
        <f>IF(ISERROR(H29/D29),0,(H29/D29))</f>
        <v>9.707118721250288E-2</v>
      </c>
      <c r="J29" s="36">
        <f t="shared" si="7"/>
        <v>0.37082203442572376</v>
      </c>
      <c r="K29" s="111">
        <f t="shared" si="8"/>
        <v>0.3551817730743218</v>
      </c>
    </row>
    <row r="30" spans="1:11" x14ac:dyDescent="0.2">
      <c r="A30" s="107" t="s">
        <v>40</v>
      </c>
      <c r="B30" s="73">
        <f>C8</f>
        <v>602.12270234790481</v>
      </c>
      <c r="C30" s="126">
        <f>VLOOKUP($C$3,'Data for Bill Impacts'!$A$3:$Y$39,15,0)</f>
        <v>6.7999999999999996E-3</v>
      </c>
      <c r="D30" s="22">
        <f>B30*C30</f>
        <v>4.0944343759657524</v>
      </c>
      <c r="E30" s="73">
        <f>B8</f>
        <v>607.99345569340221</v>
      </c>
      <c r="F30" s="78">
        <f>VLOOKUP($B$3,'Data for Bill Impacts'!$A$3:$Y$39,24,0)</f>
        <v>7.1000000000000004E-3</v>
      </c>
      <c r="G30" s="22">
        <f>E30*F30</f>
        <v>4.3167535354231559</v>
      </c>
      <c r="H30" s="22">
        <f t="shared" si="1"/>
        <v>0.22231915945740344</v>
      </c>
      <c r="I30" s="23">
        <f t="shared" si="2"/>
        <v>5.4297892954986028E-2</v>
      </c>
      <c r="J30" s="23">
        <f t="shared" si="7"/>
        <v>3.5489544378377084E-2</v>
      </c>
      <c r="K30" s="108">
        <f t="shared" si="8"/>
        <v>3.3992692255822923E-2</v>
      </c>
    </row>
    <row r="31" spans="1:11" x14ac:dyDescent="0.2">
      <c r="A31" s="107" t="s">
        <v>41</v>
      </c>
      <c r="B31" s="73">
        <f>C8</f>
        <v>602.12270234790481</v>
      </c>
      <c r="C31" s="126">
        <f>VLOOKUP($C$3,'Data for Bill Impacts'!$A$3:$Y$39,16,0)</f>
        <v>3.5999999999999999E-3</v>
      </c>
      <c r="D31" s="22">
        <f>B31*C31</f>
        <v>2.1676417284524572</v>
      </c>
      <c r="E31" s="73">
        <f>B8</f>
        <v>607.99345569340221</v>
      </c>
      <c r="F31" s="78">
        <f>VLOOKUP($B$3,'Data for Bill Impacts'!$A$3:$Y$39,25,0)</f>
        <v>6.0000000000000001E-3</v>
      </c>
      <c r="G31" s="22">
        <f>E31*F31</f>
        <v>3.6479607341604132</v>
      </c>
      <c r="H31" s="22">
        <f t="shared" si="1"/>
        <v>1.480319005707956</v>
      </c>
      <c r="I31" s="23">
        <f t="shared" si="2"/>
        <v>0.68291682443518886</v>
      </c>
      <c r="J31" s="23">
        <f t="shared" si="7"/>
        <v>2.9991164263417254E-2</v>
      </c>
      <c r="K31" s="108">
        <f t="shared" si="8"/>
        <v>2.8726218807737684E-2</v>
      </c>
    </row>
    <row r="32" spans="1:11" s="1" customFormat="1" x14ac:dyDescent="0.2">
      <c r="A32" s="110" t="s">
        <v>76</v>
      </c>
      <c r="B32" s="74"/>
      <c r="C32" s="35"/>
      <c r="D32" s="35">
        <f>SUM(D30:D31)</f>
        <v>6.2620761044182096</v>
      </c>
      <c r="E32" s="73"/>
      <c r="F32" s="35"/>
      <c r="G32" s="35">
        <f>SUM(G30:G31)</f>
        <v>7.9647142695835687</v>
      </c>
      <c r="H32" s="35">
        <f t="shared" si="1"/>
        <v>1.702638165165359</v>
      </c>
      <c r="I32" s="36">
        <f t="shared" si="2"/>
        <v>0.27189675385197926</v>
      </c>
      <c r="J32" s="36">
        <f t="shared" si="7"/>
        <v>6.5480708641794338E-2</v>
      </c>
      <c r="K32" s="111">
        <f t="shared" si="8"/>
        <v>6.2718911063560603E-2</v>
      </c>
    </row>
    <row r="33" spans="1:11" s="1" customFormat="1" x14ac:dyDescent="0.2">
      <c r="A33" s="110" t="s">
        <v>95</v>
      </c>
      <c r="B33" s="74"/>
      <c r="C33" s="35"/>
      <c r="D33" s="35">
        <f>D28+D32</f>
        <v>47.10615943894355</v>
      </c>
      <c r="E33" s="73"/>
      <c r="F33" s="35"/>
      <c r="G33" s="35">
        <f>G28+G32</f>
        <v>52.750506751030308</v>
      </c>
      <c r="H33" s="35">
        <f t="shared" si="1"/>
        <v>5.644347312086758</v>
      </c>
      <c r="I33" s="36">
        <f t="shared" si="2"/>
        <v>0.11982185300847238</v>
      </c>
      <c r="J33" s="36">
        <f t="shared" si="7"/>
        <v>0.43368041167053928</v>
      </c>
      <c r="K33" s="111">
        <f t="shared" si="8"/>
        <v>0.41538895552226812</v>
      </c>
    </row>
    <row r="34" spans="1:11" s="1" customFormat="1" x14ac:dyDescent="0.2">
      <c r="A34" s="110" t="s">
        <v>96</v>
      </c>
      <c r="B34" s="74"/>
      <c r="C34" s="35"/>
      <c r="D34" s="35">
        <f>D29+D32</f>
        <v>47.375869827300434</v>
      </c>
      <c r="E34" s="73"/>
      <c r="F34" s="35"/>
      <c r="G34" s="35">
        <f>G29+G32</f>
        <v>53.069472759955922</v>
      </c>
      <c r="H34" s="35">
        <f t="shared" si="1"/>
        <v>5.6936029326554873</v>
      </c>
      <c r="I34" s="36">
        <f t="shared" si="2"/>
        <v>0.12017938569593371</v>
      </c>
      <c r="J34" s="36">
        <f t="shared" si="7"/>
        <v>0.4363027430675181</v>
      </c>
      <c r="K34" s="111">
        <f t="shared" si="8"/>
        <v>0.41790068413788239</v>
      </c>
    </row>
    <row r="35" spans="1:11" x14ac:dyDescent="0.2">
      <c r="A35" s="107" t="s">
        <v>42</v>
      </c>
      <c r="B35" s="73">
        <f>C8</f>
        <v>602.12270234790481</v>
      </c>
      <c r="C35" s="34">
        <v>3.5999999999999999E-3</v>
      </c>
      <c r="D35" s="22">
        <f>B35*C35</f>
        <v>2.1676417284524572</v>
      </c>
      <c r="E35" s="73">
        <f>B8</f>
        <v>607.99345569340221</v>
      </c>
      <c r="F35" s="34">
        <v>3.5999999999999999E-3</v>
      </c>
      <c r="G35" s="22">
        <f>E35*F35</f>
        <v>2.1887764404962478</v>
      </c>
      <c r="H35" s="22">
        <f t="shared" si="1"/>
        <v>2.1134712043790582E-2</v>
      </c>
      <c r="I35" s="23">
        <f t="shared" si="2"/>
        <v>9.7500946611132414E-3</v>
      </c>
      <c r="J35" s="23">
        <f t="shared" si="7"/>
        <v>1.7994698558050352E-2</v>
      </c>
      <c r="K35" s="108">
        <f t="shared" si="8"/>
        <v>1.7235731284642609E-2</v>
      </c>
    </row>
    <row r="36" spans="1:11" x14ac:dyDescent="0.2">
      <c r="A36" s="107" t="s">
        <v>43</v>
      </c>
      <c r="B36" s="73">
        <f>C8</f>
        <v>602.12270234790481</v>
      </c>
      <c r="C36" s="34">
        <v>2.0999999999999999E-3</v>
      </c>
      <c r="D36" s="22">
        <f>B36*C36</f>
        <v>1.2644576749306</v>
      </c>
      <c r="E36" s="73">
        <f>B8</f>
        <v>607.99345569340221</v>
      </c>
      <c r="F36" s="34">
        <v>2.0999999999999999E-3</v>
      </c>
      <c r="G36" s="22">
        <f>E36*F36</f>
        <v>1.2767862569561446</v>
      </c>
      <c r="H36" s="22">
        <f>G36-D36</f>
        <v>1.2328582025544543E-2</v>
      </c>
      <c r="I36" s="23">
        <f t="shared" si="2"/>
        <v>9.7500946611132708E-3</v>
      </c>
      <c r="J36" s="23">
        <f t="shared" si="7"/>
        <v>1.0496907492196039E-2</v>
      </c>
      <c r="K36" s="108">
        <f t="shared" si="8"/>
        <v>1.0054176582708189E-2</v>
      </c>
    </row>
    <row r="37" spans="1:11" x14ac:dyDescent="0.2">
      <c r="A37" s="107" t="s">
        <v>100</v>
      </c>
      <c r="B37" s="73">
        <f>C8</f>
        <v>602.12270234790481</v>
      </c>
      <c r="C37" s="34">
        <v>1.1000000000000001E-3</v>
      </c>
      <c r="D37" s="22">
        <f>B37*C37</f>
        <v>0.66233497258269536</v>
      </c>
      <c r="E37" s="73">
        <f>B8</f>
        <v>607.99345569340221</v>
      </c>
      <c r="F37" s="34">
        <v>1.1000000000000001E-3</v>
      </c>
      <c r="G37" s="22">
        <f>E37*F37</f>
        <v>0.66879280126274243</v>
      </c>
      <c r="H37" s="22">
        <f>G37-D37</f>
        <v>6.457828680047073E-3</v>
      </c>
      <c r="I37" s="23">
        <f t="shared" si="2"/>
        <v>9.750094661113165E-3</v>
      </c>
      <c r="J37" s="23">
        <f t="shared" si="7"/>
        <v>5.4983801149598305E-3</v>
      </c>
      <c r="K37" s="108">
        <f t="shared" si="8"/>
        <v>5.2664734480852415E-3</v>
      </c>
    </row>
    <row r="38" spans="1:11" x14ac:dyDescent="0.2">
      <c r="A38" s="107" t="s">
        <v>44</v>
      </c>
      <c r="B38" s="73">
        <v>1</v>
      </c>
      <c r="C38" s="22">
        <v>0.25</v>
      </c>
      <c r="D38" s="22">
        <f>B38*C38</f>
        <v>0.25</v>
      </c>
      <c r="E38" s="73">
        <f t="shared" si="0"/>
        <v>1</v>
      </c>
      <c r="F38" s="22">
        <f>C38</f>
        <v>0.25</v>
      </c>
      <c r="G38" s="22">
        <f>E38*F38</f>
        <v>0.25</v>
      </c>
      <c r="H38" s="22">
        <f t="shared" si="1"/>
        <v>0</v>
      </c>
      <c r="I38" s="23">
        <f t="shared" si="2"/>
        <v>0</v>
      </c>
      <c r="J38" s="23">
        <f t="shared" si="7"/>
        <v>2.0553376563632194E-3</v>
      </c>
      <c r="K38" s="108">
        <f t="shared" si="8"/>
        <v>1.9686491235183954E-3</v>
      </c>
    </row>
    <row r="39" spans="1:11" s="1" customFormat="1" x14ac:dyDescent="0.2">
      <c r="A39" s="110" t="s">
        <v>45</v>
      </c>
      <c r="B39" s="74"/>
      <c r="C39" s="35"/>
      <c r="D39" s="35">
        <f>SUM(D35:D38)</f>
        <v>4.3444343759657524</v>
      </c>
      <c r="E39" s="73"/>
      <c r="F39" s="35"/>
      <c r="G39" s="35">
        <f>SUM(G35:G38)</f>
        <v>4.3843554987151343</v>
      </c>
      <c r="H39" s="35">
        <f t="shared" si="1"/>
        <v>3.9921122749381865E-2</v>
      </c>
      <c r="I39" s="36">
        <f t="shared" si="2"/>
        <v>9.1890265324833086E-3</v>
      </c>
      <c r="J39" s="36">
        <f t="shared" si="7"/>
        <v>3.6045323821569435E-2</v>
      </c>
      <c r="K39" s="111">
        <f t="shared" si="8"/>
        <v>3.4525030438954427E-2</v>
      </c>
    </row>
    <row r="40" spans="1:11" s="1" customFormat="1" ht="13.5" thickBot="1" x14ac:dyDescent="0.25">
      <c r="A40" s="112" t="s">
        <v>46</v>
      </c>
      <c r="B40" s="113">
        <f>C4</f>
        <v>569.97605296090956</v>
      </c>
      <c r="C40" s="205">
        <v>0</v>
      </c>
      <c r="D40" s="115">
        <f>B40*C40</f>
        <v>0</v>
      </c>
      <c r="E40" s="116">
        <f>B4</f>
        <v>569.97605296090956</v>
      </c>
      <c r="F40" s="205">
        <f>C40</f>
        <v>0</v>
      </c>
      <c r="G40" s="115">
        <f>E40*F40</f>
        <v>0</v>
      </c>
      <c r="H40" s="115">
        <f t="shared" si="1"/>
        <v>0</v>
      </c>
      <c r="I40" s="117">
        <f t="shared" si="2"/>
        <v>0</v>
      </c>
      <c r="J40" s="117">
        <f t="shared" si="7"/>
        <v>0</v>
      </c>
      <c r="K40" s="118">
        <f t="shared" si="8"/>
        <v>0</v>
      </c>
    </row>
    <row r="41" spans="1:11" s="1" customFormat="1" x14ac:dyDescent="0.2">
      <c r="A41" s="37" t="s">
        <v>137</v>
      </c>
      <c r="B41" s="38"/>
      <c r="C41" s="39"/>
      <c r="D41" s="39">
        <f>SUM(D14,D24,D25,D26,D32,D39,D40)</f>
        <v>110.15812726988298</v>
      </c>
      <c r="E41" s="38"/>
      <c r="F41" s="39"/>
      <c r="G41" s="39">
        <f>SUM(G14,G24,G25,G26,G32,G39,G40)</f>
        <v>115.84239570471912</v>
      </c>
      <c r="H41" s="39">
        <f t="shared" si="1"/>
        <v>5.6842684348361416</v>
      </c>
      <c r="I41" s="40">
        <f>IF(ISERROR(H41/D41),0,(H41/D41))</f>
        <v>5.1600990101346882E-2</v>
      </c>
      <c r="J41" s="40">
        <f t="shared" si="7"/>
        <v>0.95238095238095244</v>
      </c>
      <c r="K41" s="41"/>
    </row>
    <row r="42" spans="1:11" x14ac:dyDescent="0.2">
      <c r="A42" s="150" t="s">
        <v>138</v>
      </c>
      <c r="B42" s="43"/>
      <c r="C42" s="26">
        <v>0.13</v>
      </c>
      <c r="D42" s="26">
        <f>D41*C42</f>
        <v>14.320556545084788</v>
      </c>
      <c r="E42" s="26"/>
      <c r="F42" s="26">
        <f>C42</f>
        <v>0.13</v>
      </c>
      <c r="G42" s="26">
        <f>G41*F42</f>
        <v>15.059511441613486</v>
      </c>
      <c r="H42" s="26">
        <f t="shared" si="1"/>
        <v>0.73895489652869806</v>
      </c>
      <c r="I42" s="44">
        <f t="shared" si="2"/>
        <v>5.1600990101346854E-2</v>
      </c>
      <c r="J42" s="44">
        <f t="shared" si="7"/>
        <v>0.12380952380952381</v>
      </c>
      <c r="K42" s="45"/>
    </row>
    <row r="43" spans="1:11" s="1" customFormat="1" x14ac:dyDescent="0.2">
      <c r="A43" s="46" t="s">
        <v>139</v>
      </c>
      <c r="B43" s="24"/>
      <c r="C43" s="25"/>
      <c r="D43" s="25">
        <f>SUM(D41:D42)</f>
        <v>124.47868381496777</v>
      </c>
      <c r="E43" s="25"/>
      <c r="F43" s="25"/>
      <c r="G43" s="25">
        <f>SUM(G41:G42)</f>
        <v>130.9019071463326</v>
      </c>
      <c r="H43" s="25">
        <f t="shared" si="1"/>
        <v>6.4232233313648379</v>
      </c>
      <c r="I43" s="27">
        <f t="shared" si="2"/>
        <v>5.1600990101346868E-2</v>
      </c>
      <c r="J43" s="27">
        <f t="shared" si="7"/>
        <v>1.0761904761904761</v>
      </c>
      <c r="K43" s="47"/>
    </row>
    <row r="44" spans="1:11" x14ac:dyDescent="0.2">
      <c r="A44" s="42" t="s">
        <v>140</v>
      </c>
      <c r="B44" s="43"/>
      <c r="C44" s="26">
        <v>-0.08</v>
      </c>
      <c r="D44" s="26">
        <f>D41*C44</f>
        <v>-8.8126501815906391</v>
      </c>
      <c r="E44" s="26"/>
      <c r="F44" s="26">
        <f>C44</f>
        <v>-0.08</v>
      </c>
      <c r="G44" s="26">
        <f>G41*F44</f>
        <v>-9.26739165637753</v>
      </c>
      <c r="H44" s="26">
        <f t="shared" si="1"/>
        <v>-0.45474147478689098</v>
      </c>
      <c r="I44" s="44">
        <f t="shared" si="2"/>
        <v>5.160099010134684E-2</v>
      </c>
      <c r="J44" s="44">
        <f t="shared" si="7"/>
        <v>-7.6190476190476197E-2</v>
      </c>
      <c r="K44" s="45"/>
    </row>
    <row r="45" spans="1:11" s="1" customFormat="1" ht="13.5" thickBot="1" x14ac:dyDescent="0.25">
      <c r="A45" s="48" t="s">
        <v>141</v>
      </c>
      <c r="B45" s="49"/>
      <c r="C45" s="50"/>
      <c r="D45" s="50">
        <f>SUM(D43:D44)</f>
        <v>115.66603363337713</v>
      </c>
      <c r="E45" s="50"/>
      <c r="F45" s="50"/>
      <c r="G45" s="50">
        <f>SUM(G43:G44)</f>
        <v>121.63451548995508</v>
      </c>
      <c r="H45" s="50">
        <f t="shared" si="1"/>
        <v>5.9684818565779523</v>
      </c>
      <c r="I45" s="51">
        <f t="shared" si="2"/>
        <v>5.1600990101346916E-2</v>
      </c>
      <c r="J45" s="51">
        <f t="shared" si="7"/>
        <v>1</v>
      </c>
      <c r="K45" s="52"/>
    </row>
    <row r="46" spans="1:11" x14ac:dyDescent="0.2">
      <c r="A46" s="53" t="s">
        <v>142</v>
      </c>
      <c r="B46" s="54"/>
      <c r="C46" s="55"/>
      <c r="D46" s="55">
        <f>SUM(D18,D24,D25,D27,D32,D39,D40)</f>
        <v>115.20993674258192</v>
      </c>
      <c r="E46" s="55"/>
      <c r="F46" s="55"/>
      <c r="G46" s="55">
        <f>SUM(G18,G24,G25,G27,G32,G39,G40)</f>
        <v>120.94346079798677</v>
      </c>
      <c r="H46" s="55">
        <f>G46-D46</f>
        <v>5.7335240554048568</v>
      </c>
      <c r="I46" s="56">
        <f>IF(ISERROR(H46/D46),0,(H46/D46))</f>
        <v>4.9765881463987735E-2</v>
      </c>
      <c r="J46" s="56"/>
      <c r="K46" s="57">
        <f>G46/$G$50</f>
        <v>0.95238095238095244</v>
      </c>
    </row>
    <row r="47" spans="1:11" x14ac:dyDescent="0.2">
      <c r="A47" s="58" t="s">
        <v>138</v>
      </c>
      <c r="B47" s="59"/>
      <c r="C47" s="31">
        <v>0.13</v>
      </c>
      <c r="D47" s="31">
        <f>D46*C47</f>
        <v>14.977291776535649</v>
      </c>
      <c r="E47" s="31"/>
      <c r="F47" s="31">
        <f>C47</f>
        <v>0.13</v>
      </c>
      <c r="G47" s="31">
        <f>G46*F47</f>
        <v>15.722649903738281</v>
      </c>
      <c r="H47" s="31">
        <f>G47-D47</f>
        <v>0.74535812720263195</v>
      </c>
      <c r="I47" s="32">
        <f>IF(ISERROR(H47/D47),0,(H47/D47))</f>
        <v>4.976588146398777E-2</v>
      </c>
      <c r="J47" s="32"/>
      <c r="K47" s="60">
        <f>G47/$G$50</f>
        <v>0.12380952380952381</v>
      </c>
    </row>
    <row r="48" spans="1:11" x14ac:dyDescent="0.2">
      <c r="A48" s="61" t="s">
        <v>143</v>
      </c>
      <c r="B48" s="29"/>
      <c r="C48" s="30"/>
      <c r="D48" s="30">
        <f>SUM(D46:D47)</f>
        <v>130.18722851911755</v>
      </c>
      <c r="E48" s="30"/>
      <c r="F48" s="30"/>
      <c r="G48" s="30">
        <f>SUM(G46:G47)</f>
        <v>136.66611070172505</v>
      </c>
      <c r="H48" s="30">
        <f>G48-D48</f>
        <v>6.4788821826074923</v>
      </c>
      <c r="I48" s="33">
        <f>IF(ISERROR(H48/D48),0,(H48/D48))</f>
        <v>4.976588146398777E-2</v>
      </c>
      <c r="J48" s="33"/>
      <c r="K48" s="62">
        <f>G48/$G$50</f>
        <v>1.0761904761904761</v>
      </c>
    </row>
    <row r="49" spans="1:11" x14ac:dyDescent="0.2">
      <c r="A49" s="58" t="s">
        <v>140</v>
      </c>
      <c r="B49" s="59"/>
      <c r="C49" s="31">
        <v>-0.08</v>
      </c>
      <c r="D49" s="31">
        <f>D46*C49</f>
        <v>-9.2167949394065527</v>
      </c>
      <c r="E49" s="31"/>
      <c r="F49" s="31">
        <f>C49</f>
        <v>-0.08</v>
      </c>
      <c r="G49" s="31">
        <f>G46*F49</f>
        <v>-9.6754768638389415</v>
      </c>
      <c r="H49" s="31">
        <f>G49-D49</f>
        <v>-0.45868192443238875</v>
      </c>
      <c r="I49" s="32">
        <f>IF(ISERROR(H49/D49),0,(H49/D49))</f>
        <v>4.9765881463987763E-2</v>
      </c>
      <c r="J49" s="32"/>
      <c r="K49" s="60">
        <f>G49/$G$50</f>
        <v>-7.6190476190476183E-2</v>
      </c>
    </row>
    <row r="50" spans="1:11" ht="13.5" thickBot="1" x14ac:dyDescent="0.25">
      <c r="A50" s="63" t="s">
        <v>144</v>
      </c>
      <c r="B50" s="64"/>
      <c r="C50" s="65"/>
      <c r="D50" s="65">
        <f>SUM(D48:D49)</f>
        <v>120.970433579711</v>
      </c>
      <c r="E50" s="65"/>
      <c r="F50" s="65"/>
      <c r="G50" s="65">
        <f>SUM(G48:G49)</f>
        <v>126.99063383788611</v>
      </c>
      <c r="H50" s="65">
        <f>G50-D50</f>
        <v>6.0202002581751088</v>
      </c>
      <c r="I50" s="66">
        <f>IF(ISERROR(H50/D50),0,(H50/D50))</f>
        <v>4.9765881463987818E-2</v>
      </c>
      <c r="J50" s="66"/>
      <c r="K50" s="67">
        <f>G50/$G$50</f>
        <v>1</v>
      </c>
    </row>
    <row r="51" spans="1:11" x14ac:dyDescent="0.2">
      <c r="C51" s="68"/>
      <c r="F51" s="69"/>
    </row>
    <row r="52" spans="1:11" x14ac:dyDescent="0.2">
      <c r="F52" s="69"/>
    </row>
    <row r="53" spans="1:11" x14ac:dyDescent="0.2">
      <c r="F53" s="69"/>
    </row>
    <row r="54" spans="1:11" x14ac:dyDescent="0.2">
      <c r="A54" s="70"/>
      <c r="B54" s="71"/>
      <c r="F54" s="69"/>
    </row>
    <row r="55" spans="1:11" x14ac:dyDescent="0.2">
      <c r="B55" s="71"/>
      <c r="F55" s="69"/>
    </row>
    <row r="56" spans="1:11" x14ac:dyDescent="0.2">
      <c r="F56" s="69"/>
    </row>
    <row r="57" spans="1:11" x14ac:dyDescent="0.2">
      <c r="D57" s="72"/>
      <c r="F57" s="69"/>
    </row>
    <row r="58" spans="1:11" x14ac:dyDescent="0.2">
      <c r="F58" s="69"/>
    </row>
    <row r="59" spans="1:11" x14ac:dyDescent="0.2">
      <c r="A59" s="70"/>
      <c r="B59" s="71"/>
      <c r="F59" s="69"/>
    </row>
    <row r="60" spans="1:11" x14ac:dyDescent="0.2">
      <c r="B60" s="72"/>
      <c r="D60" s="72"/>
      <c r="F60" s="69"/>
    </row>
    <row r="61" spans="1:11" x14ac:dyDescent="0.2">
      <c r="F61" s="69"/>
    </row>
    <row r="62" spans="1:11" x14ac:dyDescent="0.2">
      <c r="F62" s="69"/>
    </row>
    <row r="63" spans="1:11" x14ac:dyDescent="0.2">
      <c r="F63" s="69"/>
      <c r="K63"/>
    </row>
    <row r="64" spans="1:11" x14ac:dyDescent="0.2">
      <c r="F64" s="69"/>
      <c r="K64"/>
    </row>
    <row r="65" spans="6:11" x14ac:dyDescent="0.2">
      <c r="F65" s="69"/>
      <c r="K65"/>
    </row>
    <row r="66" spans="6:11" x14ac:dyDescent="0.2">
      <c r="F66" s="69"/>
      <c r="K66"/>
    </row>
    <row r="67" spans="6:11" x14ac:dyDescent="0.2">
      <c r="F67" s="69"/>
      <c r="K67"/>
    </row>
  </sheetData>
  <mergeCells count="1">
    <mergeCell ref="A1:K1"/>
  </mergeCell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Impacts'!$A$3:$A$21</xm:f>
          </x14:formula1>
          <xm:sqref>B3</xm:sqref>
        </x14:dataValidation>
      </x14:dataValidations>
    </ext>
  </extLst>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0">
    <pageSetUpPr fitToPage="1"/>
  </sheetPr>
  <dimension ref="A1:K67"/>
  <sheetViews>
    <sheetView topLeftCell="A19" workbookViewId="0">
      <selection activeCell="C19" sqref="C19"/>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48" t="s">
        <v>110</v>
      </c>
      <c r="B1" s="349"/>
      <c r="C1" s="349"/>
      <c r="D1" s="349"/>
      <c r="E1" s="349"/>
      <c r="F1" s="349"/>
      <c r="G1" s="349"/>
      <c r="H1" s="349"/>
      <c r="I1" s="349"/>
      <c r="J1" s="349"/>
      <c r="K1" s="350"/>
    </row>
    <row r="3" spans="1:11" x14ac:dyDescent="0.2">
      <c r="A3" s="13" t="s">
        <v>13</v>
      </c>
      <c r="B3" s="13" t="s">
        <v>180</v>
      </c>
      <c r="C3" s="13" t="s">
        <v>125</v>
      </c>
    </row>
    <row r="4" spans="1:11" x14ac:dyDescent="0.2">
      <c r="A4" s="15" t="s">
        <v>62</v>
      </c>
      <c r="B4" s="79">
        <v>750</v>
      </c>
      <c r="C4" s="79">
        <f>B4</f>
        <v>750</v>
      </c>
    </row>
    <row r="5" spans="1:11" x14ac:dyDescent="0.2">
      <c r="A5" s="15" t="s">
        <v>16</v>
      </c>
      <c r="B5" s="15">
        <f>VLOOKUP($B$3,'Data for Bill Impacts'!$A$3:$Y$39,5,0)</f>
        <v>0</v>
      </c>
      <c r="C5" s="15">
        <f>B5</f>
        <v>0</v>
      </c>
    </row>
    <row r="6" spans="1:11" x14ac:dyDescent="0.2">
      <c r="A6" s="15" t="s">
        <v>20</v>
      </c>
      <c r="B6" s="15">
        <f>VLOOKUP($B$3,'Data for Bill Impacts'!$A$3:$Y$39,2,0)</f>
        <v>1.0667</v>
      </c>
      <c r="C6" s="15">
        <f>VLOOKUP($C$3,'Data for Bill Impacts'!$A$3:$Y$39,2,0)</f>
        <v>1.0564</v>
      </c>
    </row>
    <row r="7" spans="1:11" x14ac:dyDescent="0.2">
      <c r="A7" s="15" t="s">
        <v>15</v>
      </c>
      <c r="B7" s="15">
        <f>VLOOKUP($B$3,'Data for Bill Impacts'!$A$3:$Y$39,4,0)</f>
        <v>600</v>
      </c>
      <c r="C7" s="15">
        <f>B7</f>
        <v>600</v>
      </c>
    </row>
    <row r="8" spans="1:11" x14ac:dyDescent="0.2">
      <c r="A8" s="15" t="s">
        <v>82</v>
      </c>
      <c r="B8" s="193">
        <f>B4*B6</f>
        <v>800.02499999999998</v>
      </c>
      <c r="C8" s="193">
        <f>C4*C6</f>
        <v>792.3</v>
      </c>
    </row>
    <row r="9" spans="1:11" x14ac:dyDescent="0.2">
      <c r="A9" s="15" t="s">
        <v>21</v>
      </c>
      <c r="B9" s="16" t="str">
        <f>VLOOKUP($B$3,'Data for Bill Impacts'!$A$3:$Y$39,6,0)</f>
        <v>kWh</v>
      </c>
      <c r="C9" s="16" t="str">
        <f>VLOOKUP($C$3,'Data for Bill Impacts'!$A$3:$Y$39,6,0)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0.10299999999999999</v>
      </c>
      <c r="D12" s="104">
        <f>B12*C12</f>
        <v>61.8</v>
      </c>
      <c r="E12" s="102">
        <f>B12</f>
        <v>600</v>
      </c>
      <c r="F12" s="103">
        <f>C12</f>
        <v>0.10299999999999999</v>
      </c>
      <c r="G12" s="104">
        <f>E12*F12</f>
        <v>61.8</v>
      </c>
      <c r="H12" s="104">
        <f>G12-D12</f>
        <v>0</v>
      </c>
      <c r="I12" s="105">
        <f>IF(ISERROR(H12/D12),0,(H12/D12))</f>
        <v>0</v>
      </c>
      <c r="J12" s="105">
        <f>G12/$G$45</f>
        <v>0.41146318147431582</v>
      </c>
      <c r="K12" s="106"/>
    </row>
    <row r="13" spans="1:11" x14ac:dyDescent="0.2">
      <c r="A13" s="107" t="s">
        <v>32</v>
      </c>
      <c r="B13" s="73">
        <f>IF(B4&gt;B7,(B4)-B7,0)</f>
        <v>150</v>
      </c>
      <c r="C13" s="21">
        <v>0.121</v>
      </c>
      <c r="D13" s="22">
        <f>B13*C13</f>
        <v>18.149999999999999</v>
      </c>
      <c r="E13" s="73">
        <f t="shared" ref="E13:E38" si="0">B13</f>
        <v>150</v>
      </c>
      <c r="F13" s="21">
        <f>C13</f>
        <v>0.121</v>
      </c>
      <c r="G13" s="22">
        <f>E13*F13</f>
        <v>18.149999999999999</v>
      </c>
      <c r="H13" s="22">
        <f t="shared" ref="H13:H45" si="1">G13-D13</f>
        <v>0</v>
      </c>
      <c r="I13" s="23">
        <f t="shared" ref="I13:I45" si="2">IF(ISERROR(H13/D13),0,(H13/D13))</f>
        <v>0</v>
      </c>
      <c r="J13" s="23">
        <f>G13/$G$45</f>
        <v>0.12084234213201993</v>
      </c>
      <c r="K13" s="108"/>
    </row>
    <row r="14" spans="1:11" s="1" customFormat="1" x14ac:dyDescent="0.2">
      <c r="A14" s="46" t="s">
        <v>33</v>
      </c>
      <c r="B14" s="24"/>
      <c r="C14" s="25"/>
      <c r="D14" s="25">
        <f>SUM(D12:D13)</f>
        <v>79.949999999999989</v>
      </c>
      <c r="E14" s="76"/>
      <c r="F14" s="25"/>
      <c r="G14" s="25">
        <f>SUM(G12:G13)</f>
        <v>79.949999999999989</v>
      </c>
      <c r="H14" s="25">
        <f t="shared" si="1"/>
        <v>0</v>
      </c>
      <c r="I14" s="27">
        <f t="shared" si="2"/>
        <v>0</v>
      </c>
      <c r="J14" s="27">
        <f>G14/$G$45</f>
        <v>0.53230552360633565</v>
      </c>
      <c r="K14" s="108"/>
    </row>
    <row r="15" spans="1:11" s="1" customFormat="1" x14ac:dyDescent="0.2">
      <c r="A15" s="109" t="s">
        <v>34</v>
      </c>
      <c r="B15" s="75">
        <f>B4*0.65</f>
        <v>487.5</v>
      </c>
      <c r="C15" s="28">
        <v>8.6999999999999994E-2</v>
      </c>
      <c r="D15" s="22">
        <f>B15*C15</f>
        <v>42.412499999999994</v>
      </c>
      <c r="E15" s="73">
        <f t="shared" ref="E15:F17" si="3">B15</f>
        <v>487.5</v>
      </c>
      <c r="F15" s="28">
        <f t="shared" si="3"/>
        <v>8.6999999999999994E-2</v>
      </c>
      <c r="G15" s="22">
        <f>E15*F15</f>
        <v>42.412499999999994</v>
      </c>
      <c r="H15" s="22">
        <f t="shared" si="1"/>
        <v>0</v>
      </c>
      <c r="I15" s="23">
        <f t="shared" si="2"/>
        <v>0</v>
      </c>
      <c r="J15" s="23"/>
      <c r="K15" s="108">
        <f t="shared" ref="K15:K25" si="4">G15/$G$50</f>
        <v>0.27636946486658465</v>
      </c>
    </row>
    <row r="16" spans="1:11" s="1" customFormat="1" x14ac:dyDescent="0.2">
      <c r="A16" s="109" t="s">
        <v>35</v>
      </c>
      <c r="B16" s="75">
        <f>B4*0.17</f>
        <v>127.50000000000001</v>
      </c>
      <c r="C16" s="28">
        <v>0.13200000000000001</v>
      </c>
      <c r="D16" s="22">
        <f>B16*C16</f>
        <v>16.830000000000002</v>
      </c>
      <c r="E16" s="73">
        <f t="shared" si="3"/>
        <v>127.50000000000001</v>
      </c>
      <c r="F16" s="28">
        <f t="shared" si="3"/>
        <v>0.13200000000000001</v>
      </c>
      <c r="G16" s="22">
        <f>E16*F16</f>
        <v>16.830000000000002</v>
      </c>
      <c r="H16" s="22">
        <f t="shared" si="1"/>
        <v>0</v>
      </c>
      <c r="I16" s="23">
        <f t="shared" si="2"/>
        <v>0</v>
      </c>
      <c r="J16" s="23"/>
      <c r="K16" s="108">
        <f t="shared" si="4"/>
        <v>0.10966809534228401</v>
      </c>
    </row>
    <row r="17" spans="1:11" s="1" customFormat="1" x14ac:dyDescent="0.2">
      <c r="A17" s="109" t="s">
        <v>36</v>
      </c>
      <c r="B17" s="75">
        <f>B4*0.18</f>
        <v>135</v>
      </c>
      <c r="C17" s="28">
        <v>0.18</v>
      </c>
      <c r="D17" s="22">
        <f>B17*C17</f>
        <v>24.3</v>
      </c>
      <c r="E17" s="73">
        <f t="shared" si="3"/>
        <v>135</v>
      </c>
      <c r="F17" s="28">
        <f t="shared" si="3"/>
        <v>0.18</v>
      </c>
      <c r="G17" s="22">
        <f>E17*F17</f>
        <v>24.3</v>
      </c>
      <c r="H17" s="22">
        <f t="shared" si="1"/>
        <v>0</v>
      </c>
      <c r="I17" s="23">
        <f t="shared" si="2"/>
        <v>0</v>
      </c>
      <c r="J17" s="23"/>
      <c r="K17" s="108">
        <f t="shared" si="4"/>
        <v>0.15834430878297692</v>
      </c>
    </row>
    <row r="18" spans="1:11" s="1" customFormat="1" x14ac:dyDescent="0.2">
      <c r="A18" s="61" t="s">
        <v>37</v>
      </c>
      <c r="B18" s="29"/>
      <c r="C18" s="30"/>
      <c r="D18" s="30">
        <f>SUM(D15:D17)</f>
        <v>83.54249999999999</v>
      </c>
      <c r="E18" s="77"/>
      <c r="F18" s="30"/>
      <c r="G18" s="30">
        <f>SUM(G15:G17)</f>
        <v>83.54249999999999</v>
      </c>
      <c r="H18" s="31">
        <f t="shared" si="1"/>
        <v>0</v>
      </c>
      <c r="I18" s="32">
        <f t="shared" si="2"/>
        <v>0</v>
      </c>
      <c r="J18" s="33">
        <f>G18/$G$45</f>
        <v>0.55622431777213632</v>
      </c>
      <c r="K18" s="62">
        <f t="shared" si="4"/>
        <v>0.54438186899184549</v>
      </c>
    </row>
    <row r="19" spans="1:11" x14ac:dyDescent="0.2">
      <c r="A19" s="107" t="s">
        <v>38</v>
      </c>
      <c r="B19" s="73">
        <v>1</v>
      </c>
      <c r="C19" s="122">
        <f>VLOOKUP($C$3,'Data for Bill Impacts'!$A$3:$Y$39,7,0)</f>
        <v>36.78</v>
      </c>
      <c r="D19" s="22">
        <f>B19*C19</f>
        <v>36.78</v>
      </c>
      <c r="E19" s="73">
        <f t="shared" si="0"/>
        <v>1</v>
      </c>
      <c r="F19" s="122">
        <f>VLOOKUP($B$3,'Data for Bill Impacts'!$A$3:$Y$39,17,0)</f>
        <v>40.08</v>
      </c>
      <c r="G19" s="22">
        <f>E19*F19</f>
        <v>40.08</v>
      </c>
      <c r="H19" s="22">
        <f t="shared" si="1"/>
        <v>3.2999999999999972</v>
      </c>
      <c r="I19" s="23">
        <f t="shared" si="2"/>
        <v>8.9722675367047228E-2</v>
      </c>
      <c r="J19" s="23">
        <f>G19/$G$45</f>
        <v>0.26685184973285725</v>
      </c>
      <c r="K19" s="108">
        <f t="shared" si="4"/>
        <v>0.26117036609142857</v>
      </c>
    </row>
    <row r="20" spans="1:11" x14ac:dyDescent="0.2">
      <c r="A20" s="107" t="s">
        <v>188</v>
      </c>
      <c r="B20" s="73">
        <v>1</v>
      </c>
      <c r="C20" s="78">
        <f>'Data for Bill Impacts'!K34</f>
        <v>-0.55000000000000004</v>
      </c>
      <c r="D20" s="22">
        <f>B20*C20</f>
        <v>-0.55000000000000004</v>
      </c>
      <c r="E20" s="73">
        <f t="shared" si="0"/>
        <v>1</v>
      </c>
      <c r="F20" s="122">
        <v>0</v>
      </c>
      <c r="G20" s="22">
        <f t="shared" ref="G20" si="5">E20*F20</f>
        <v>0</v>
      </c>
      <c r="H20" s="22">
        <f t="shared" si="1"/>
        <v>0.55000000000000004</v>
      </c>
      <c r="I20" s="23">
        <f t="shared" si="2"/>
        <v>-1</v>
      </c>
      <c r="J20" s="23">
        <f>G20/$G$45</f>
        <v>0</v>
      </c>
      <c r="K20" s="108">
        <f t="shared" si="4"/>
        <v>0</v>
      </c>
    </row>
    <row r="21" spans="1:11" x14ac:dyDescent="0.2">
      <c r="A21" s="107" t="s">
        <v>39</v>
      </c>
      <c r="B21" s="73">
        <f>IF($C$9="kWh",$C$4,$C$5)</f>
        <v>750</v>
      </c>
      <c r="C21" s="126">
        <f>VLOOKUP($C$3,'Data for Bill Impacts'!$A$3:$Y$39,10,0)</f>
        <v>0</v>
      </c>
      <c r="D21" s="22">
        <f>B21*C21</f>
        <v>0</v>
      </c>
      <c r="E21" s="73">
        <f t="shared" si="0"/>
        <v>750</v>
      </c>
      <c r="F21" s="126">
        <f>VLOOKUP($B$3,'Data for Bill Impacts'!$A$3:$Y$39,19,0)</f>
        <v>0</v>
      </c>
      <c r="G21" s="22">
        <f>E21*F21</f>
        <v>0</v>
      </c>
      <c r="H21" s="22">
        <f t="shared" si="1"/>
        <v>0</v>
      </c>
      <c r="I21" s="23">
        <f t="shared" si="2"/>
        <v>0</v>
      </c>
      <c r="J21" s="23">
        <f>G21/$G$45</f>
        <v>0</v>
      </c>
      <c r="K21" s="108">
        <f t="shared" si="4"/>
        <v>0</v>
      </c>
    </row>
    <row r="22" spans="1:11" x14ac:dyDescent="0.2">
      <c r="A22" s="107" t="s">
        <v>189</v>
      </c>
      <c r="B22" s="73">
        <f>IF($C$9="kWh",$C$4,$C$5)</f>
        <v>750</v>
      </c>
      <c r="C22" s="78">
        <f>'Data for Bill Impacts'!H34</f>
        <v>8.9999999999999998E-4</v>
      </c>
      <c r="D22" s="22">
        <f>B22*C22</f>
        <v>0.67499999999999993</v>
      </c>
      <c r="E22" s="73">
        <f>B22</f>
        <v>750</v>
      </c>
      <c r="F22" s="126">
        <v>0</v>
      </c>
      <c r="G22" s="22">
        <f>E22*F22</f>
        <v>0</v>
      </c>
      <c r="H22" s="22">
        <f>G22-D22</f>
        <v>-0.67499999999999993</v>
      </c>
      <c r="I22" s="23">
        <f>IF(ISERROR(H22/D22),0,(H22/D22))</f>
        <v>-1</v>
      </c>
      <c r="J22" s="23">
        <f t="shared" ref="J22" si="6">G22/$G$45</f>
        <v>0</v>
      </c>
      <c r="K22" s="108">
        <f t="shared" si="4"/>
        <v>0</v>
      </c>
    </row>
    <row r="23" spans="1:11" x14ac:dyDescent="0.2">
      <c r="A23" s="107" t="s">
        <v>190</v>
      </c>
      <c r="B23" s="73">
        <f>IF($B$9="kWh",$B$4,$B$5)</f>
        <v>750</v>
      </c>
      <c r="C23" s="126">
        <f>'Data for Bill Impacts'!L34</f>
        <v>0</v>
      </c>
      <c r="D23" s="22">
        <f>B23*C23</f>
        <v>0</v>
      </c>
      <c r="E23" s="73">
        <f t="shared" si="0"/>
        <v>750</v>
      </c>
      <c r="F23" s="126">
        <v>0</v>
      </c>
      <c r="G23" s="22">
        <f>E23*F23</f>
        <v>0</v>
      </c>
      <c r="H23" s="22">
        <f t="shared" si="1"/>
        <v>0</v>
      </c>
      <c r="I23" s="23">
        <f>IF(ISERROR(H23/D23),0,(H23/D23))</f>
        <v>0</v>
      </c>
      <c r="J23" s="23">
        <f>G23/$G$45</f>
        <v>0</v>
      </c>
      <c r="K23" s="108">
        <f t="shared" si="4"/>
        <v>0</v>
      </c>
    </row>
    <row r="24" spans="1:11" s="1" customFormat="1" x14ac:dyDescent="0.2">
      <c r="A24" s="110" t="s">
        <v>72</v>
      </c>
      <c r="B24" s="74"/>
      <c r="C24" s="35"/>
      <c r="D24" s="35">
        <f>SUM(D19:D23)</f>
        <v>36.905000000000001</v>
      </c>
      <c r="E24" s="73"/>
      <c r="F24" s="35"/>
      <c r="G24" s="35">
        <f>SUM(G19:G23)</f>
        <v>40.08</v>
      </c>
      <c r="H24" s="35">
        <f t="shared" si="1"/>
        <v>3.1749999999999972</v>
      </c>
      <c r="I24" s="36">
        <f t="shared" si="2"/>
        <v>8.603170302127075E-2</v>
      </c>
      <c r="J24" s="36">
        <f>G24/$G$45</f>
        <v>0.26685184973285725</v>
      </c>
      <c r="K24" s="111">
        <f t="shared" si="4"/>
        <v>0.26117036609142857</v>
      </c>
    </row>
    <row r="25" spans="1:11" s="1" customFormat="1" x14ac:dyDescent="0.2">
      <c r="A25" s="119" t="s">
        <v>73</v>
      </c>
      <c r="B25" s="120">
        <v>1</v>
      </c>
      <c r="C25" s="78">
        <f>VLOOKUP($C$3,'Data for Bill Impacts'!$A$3:$Y$39,9,0)</f>
        <v>0.79</v>
      </c>
      <c r="D25" s="22">
        <f>B25*C25</f>
        <v>0.79</v>
      </c>
      <c r="E25" s="73">
        <v>1</v>
      </c>
      <c r="F25" s="78">
        <f>VLOOKUP($B$3,'Data for Bill Impacts'!$A$3:$Y$39,18,0)</f>
        <v>0.79</v>
      </c>
      <c r="G25" s="22">
        <f>E25*F25</f>
        <v>0.79</v>
      </c>
      <c r="H25" s="22">
        <f t="shared" si="1"/>
        <v>0</v>
      </c>
      <c r="I25" s="23">
        <f>IF(ISERROR(H25/D25),0,(H25/D25))</f>
        <v>0</v>
      </c>
      <c r="J25" s="23">
        <f>G25/$G$45</f>
        <v>5.2598044233771761E-3</v>
      </c>
      <c r="K25" s="108">
        <f t="shared" si="4"/>
        <v>5.1478190921214716E-3</v>
      </c>
    </row>
    <row r="26" spans="1:11" s="1" customFormat="1" x14ac:dyDescent="0.2">
      <c r="A26" s="119" t="s">
        <v>75</v>
      </c>
      <c r="B26" s="120">
        <f>C8-C4</f>
        <v>42.299999999999955</v>
      </c>
      <c r="C26" s="121">
        <f>IF(C4&gt;C7,C13,C12)</f>
        <v>0.121</v>
      </c>
      <c r="D26" s="22">
        <f>B26*C26</f>
        <v>5.1182999999999943</v>
      </c>
      <c r="E26" s="73">
        <f>B8-B4</f>
        <v>50.024999999999977</v>
      </c>
      <c r="F26" s="121">
        <f>IF(B4&gt;C7,F13,F12)</f>
        <v>0.121</v>
      </c>
      <c r="G26" s="22">
        <f>E26*F26</f>
        <v>6.0530249999999972</v>
      </c>
      <c r="H26" s="22">
        <f t="shared" si="1"/>
        <v>0.93472500000000291</v>
      </c>
      <c r="I26" s="23">
        <f>IF(ISERROR(H26/D26),0,(H26/D26))</f>
        <v>0.18262411347517807</v>
      </c>
      <c r="J26" s="23">
        <f t="shared" ref="J26:J45" si="7">G26/$G$45</f>
        <v>4.0300921101028633E-2</v>
      </c>
      <c r="K26" s="108">
        <f t="shared" ref="K26:K40" si="8">G26/$G$50</f>
        <v>3.9442883114036147E-2</v>
      </c>
    </row>
    <row r="27" spans="1:11" s="1" customFormat="1" x14ac:dyDescent="0.2">
      <c r="A27" s="119" t="s">
        <v>74</v>
      </c>
      <c r="B27" s="120">
        <f>C8-C4</f>
        <v>42.299999999999955</v>
      </c>
      <c r="C27" s="121">
        <f>0.65*C15+0.17*C16+0.18*C17</f>
        <v>0.11139</v>
      </c>
      <c r="D27" s="22">
        <f>B27*C27</f>
        <v>4.7117969999999954</v>
      </c>
      <c r="E27" s="73">
        <f>B8-B4</f>
        <v>50.024999999999977</v>
      </c>
      <c r="F27" s="121">
        <f>0.65*F15+0.17*F16+0.18*F17</f>
        <v>0.11139</v>
      </c>
      <c r="G27" s="22">
        <f>E27*F27</f>
        <v>5.5722847499999979</v>
      </c>
      <c r="H27" s="22">
        <f t="shared" si="1"/>
        <v>0.86048775000000255</v>
      </c>
      <c r="I27" s="23">
        <f>IF(ISERROR(H27/D27),0,(H27/D27))</f>
        <v>0.18262411347517801</v>
      </c>
      <c r="J27" s="23">
        <f t="shared" si="7"/>
        <v>3.7100161995401483E-2</v>
      </c>
      <c r="K27" s="108">
        <f t="shared" si="8"/>
        <v>3.6310270661756086E-2</v>
      </c>
    </row>
    <row r="28" spans="1:11" s="1" customFormat="1" x14ac:dyDescent="0.2">
      <c r="A28" s="110" t="s">
        <v>78</v>
      </c>
      <c r="B28" s="74"/>
      <c r="C28" s="35"/>
      <c r="D28" s="35">
        <f>SUM(D24,D25:D26)</f>
        <v>42.813299999999998</v>
      </c>
      <c r="E28" s="73"/>
      <c r="F28" s="35"/>
      <c r="G28" s="35">
        <f>SUM(G24,G25:G26)</f>
        <v>46.923024999999996</v>
      </c>
      <c r="H28" s="35">
        <f t="shared" si="1"/>
        <v>4.1097249999999974</v>
      </c>
      <c r="I28" s="36">
        <f>IF(ISERROR(H28/D28),0,(H28/D28))</f>
        <v>9.5991782927267871E-2</v>
      </c>
      <c r="J28" s="36">
        <f t="shared" si="7"/>
        <v>0.31241257525726301</v>
      </c>
      <c r="K28" s="111">
        <f t="shared" si="8"/>
        <v>0.3057610682975862</v>
      </c>
    </row>
    <row r="29" spans="1:11" s="1" customFormat="1" x14ac:dyDescent="0.2">
      <c r="A29" s="110" t="s">
        <v>77</v>
      </c>
      <c r="B29" s="74"/>
      <c r="C29" s="35"/>
      <c r="D29" s="35">
        <f>SUM(D24,D25,D27)</f>
        <v>42.406796999999997</v>
      </c>
      <c r="E29" s="73"/>
      <c r="F29" s="35"/>
      <c r="G29" s="35">
        <f>SUM(G24,G25,G27)</f>
        <v>46.442284749999999</v>
      </c>
      <c r="H29" s="35">
        <f t="shared" si="1"/>
        <v>4.0354877500000015</v>
      </c>
      <c r="I29" s="36">
        <f>IF(ISERROR(H29/D29),0,(H29/D29))</f>
        <v>9.5161342885669992E-2</v>
      </c>
      <c r="J29" s="36">
        <f t="shared" si="7"/>
        <v>0.3092118161516359</v>
      </c>
      <c r="K29" s="111">
        <f t="shared" si="8"/>
        <v>0.30262845584530612</v>
      </c>
    </row>
    <row r="30" spans="1:11" x14ac:dyDescent="0.2">
      <c r="A30" s="107" t="s">
        <v>40</v>
      </c>
      <c r="B30" s="73">
        <f>C8</f>
        <v>792.3</v>
      </c>
      <c r="C30" s="126">
        <f>VLOOKUP($C$3,'Data for Bill Impacts'!$A$3:$Y$39,15,0)</f>
        <v>6.7999999999999996E-3</v>
      </c>
      <c r="D30" s="22">
        <f>B30*C30</f>
        <v>5.3876399999999993</v>
      </c>
      <c r="E30" s="73">
        <f>B8</f>
        <v>800.02499999999998</v>
      </c>
      <c r="F30" s="78">
        <f>VLOOKUP($B$3,'Data for Bill Impacts'!$A$3:$Y$39,24,0)</f>
        <v>7.1000000000000004E-3</v>
      </c>
      <c r="G30" s="22">
        <f>E30*F30</f>
        <v>5.6801775000000001</v>
      </c>
      <c r="H30" s="22">
        <f t="shared" si="1"/>
        <v>0.29253750000000078</v>
      </c>
      <c r="I30" s="23">
        <f t="shared" si="2"/>
        <v>5.4297892954986007E-2</v>
      </c>
      <c r="J30" s="23">
        <f t="shared" si="7"/>
        <v>3.7818509797553815E-2</v>
      </c>
      <c r="K30" s="108">
        <f t="shared" si="8"/>
        <v>3.7013324279922544E-2</v>
      </c>
    </row>
    <row r="31" spans="1:11" x14ac:dyDescent="0.2">
      <c r="A31" s="107" t="s">
        <v>41</v>
      </c>
      <c r="B31" s="73">
        <f>C8</f>
        <v>792.3</v>
      </c>
      <c r="C31" s="126">
        <f>VLOOKUP($C$3,'Data for Bill Impacts'!$A$3:$Y$39,16,0)</f>
        <v>3.5999999999999999E-3</v>
      </c>
      <c r="D31" s="22">
        <f>B31*C31</f>
        <v>2.8522799999999999</v>
      </c>
      <c r="E31" s="73">
        <f>B8</f>
        <v>800.02499999999998</v>
      </c>
      <c r="F31" s="78">
        <f>VLOOKUP($B$3,'Data for Bill Impacts'!$A$3:$Y$39,25,0)</f>
        <v>6.0000000000000001E-3</v>
      </c>
      <c r="G31" s="22">
        <f>E31*F31</f>
        <v>4.8001500000000004</v>
      </c>
      <c r="H31" s="22">
        <f t="shared" si="1"/>
        <v>1.9478700000000004</v>
      </c>
      <c r="I31" s="23">
        <f t="shared" si="2"/>
        <v>0.68291682443518886</v>
      </c>
      <c r="J31" s="23">
        <f t="shared" si="7"/>
        <v>3.1959304054270832E-2</v>
      </c>
      <c r="K31" s="108">
        <f t="shared" si="8"/>
        <v>3.1278865588666938E-2</v>
      </c>
    </row>
    <row r="32" spans="1:11" s="1" customFormat="1" x14ac:dyDescent="0.2">
      <c r="A32" s="110" t="s">
        <v>76</v>
      </c>
      <c r="B32" s="74"/>
      <c r="C32" s="35"/>
      <c r="D32" s="35">
        <f>SUM(D30:D31)</f>
        <v>8.2399199999999997</v>
      </c>
      <c r="E32" s="73"/>
      <c r="F32" s="35"/>
      <c r="G32" s="35">
        <f>SUM(G30:G31)</f>
        <v>10.480327500000001</v>
      </c>
      <c r="H32" s="35">
        <f t="shared" si="1"/>
        <v>2.2404075000000017</v>
      </c>
      <c r="I32" s="36">
        <f t="shared" si="2"/>
        <v>0.27189675385197937</v>
      </c>
      <c r="J32" s="36">
        <f t="shared" si="7"/>
        <v>6.9777813851824647E-2</v>
      </c>
      <c r="K32" s="111">
        <f t="shared" si="8"/>
        <v>6.8292189868589495E-2</v>
      </c>
    </row>
    <row r="33" spans="1:11" s="1" customFormat="1" x14ac:dyDescent="0.2">
      <c r="A33" s="110" t="s">
        <v>95</v>
      </c>
      <c r="B33" s="74"/>
      <c r="C33" s="35"/>
      <c r="D33" s="35">
        <f>D28+D32</f>
        <v>51.053219999999996</v>
      </c>
      <c r="E33" s="73"/>
      <c r="F33" s="35"/>
      <c r="G33" s="35">
        <f>G28+G32</f>
        <v>57.403352499999997</v>
      </c>
      <c r="H33" s="35">
        <f t="shared" si="1"/>
        <v>6.3501325000000008</v>
      </c>
      <c r="I33" s="36">
        <f t="shared" si="2"/>
        <v>0.12438260505409847</v>
      </c>
      <c r="J33" s="36">
        <f t="shared" si="7"/>
        <v>0.3821903891090877</v>
      </c>
      <c r="K33" s="111">
        <f t="shared" si="8"/>
        <v>0.37405325816617568</v>
      </c>
    </row>
    <row r="34" spans="1:11" s="1" customFormat="1" x14ac:dyDescent="0.2">
      <c r="A34" s="110" t="s">
        <v>96</v>
      </c>
      <c r="B34" s="74"/>
      <c r="C34" s="35"/>
      <c r="D34" s="35">
        <f>D29+D32</f>
        <v>50.646716999999995</v>
      </c>
      <c r="E34" s="73"/>
      <c r="F34" s="35"/>
      <c r="G34" s="35">
        <f>G29+G32</f>
        <v>56.92261225</v>
      </c>
      <c r="H34" s="35">
        <f t="shared" si="1"/>
        <v>6.2758952500000049</v>
      </c>
      <c r="I34" s="36">
        <f t="shared" si="2"/>
        <v>0.12391514439129402</v>
      </c>
      <c r="J34" s="36">
        <f t="shared" si="7"/>
        <v>0.37898963000346053</v>
      </c>
      <c r="K34" s="111">
        <f t="shared" si="8"/>
        <v>0.37092064571389566</v>
      </c>
    </row>
    <row r="35" spans="1:11" x14ac:dyDescent="0.2">
      <c r="A35" s="107" t="s">
        <v>42</v>
      </c>
      <c r="B35" s="73">
        <f>C8</f>
        <v>792.3</v>
      </c>
      <c r="C35" s="34">
        <v>3.5999999999999999E-3</v>
      </c>
      <c r="D35" s="22">
        <f>B35*C35</f>
        <v>2.8522799999999999</v>
      </c>
      <c r="E35" s="73">
        <f>B8</f>
        <v>800.02499999999998</v>
      </c>
      <c r="F35" s="34">
        <v>3.5999999999999999E-3</v>
      </c>
      <c r="G35" s="22">
        <f>E35*F35</f>
        <v>2.88009</v>
      </c>
      <c r="H35" s="22">
        <f t="shared" si="1"/>
        <v>2.7810000000000112E-2</v>
      </c>
      <c r="I35" s="23">
        <f t="shared" si="2"/>
        <v>9.7500946611132535E-3</v>
      </c>
      <c r="J35" s="23">
        <f t="shared" si="7"/>
        <v>1.9175582432562496E-2</v>
      </c>
      <c r="K35" s="108">
        <f t="shared" si="8"/>
        <v>1.8767319353200165E-2</v>
      </c>
    </row>
    <row r="36" spans="1:11" x14ac:dyDescent="0.2">
      <c r="A36" s="107" t="s">
        <v>43</v>
      </c>
      <c r="B36" s="73">
        <f>C8</f>
        <v>792.3</v>
      </c>
      <c r="C36" s="34">
        <v>2.0999999999999999E-3</v>
      </c>
      <c r="D36" s="22">
        <f>B36*C36</f>
        <v>1.6638299999999997</v>
      </c>
      <c r="E36" s="73">
        <f>B8</f>
        <v>800.02499999999998</v>
      </c>
      <c r="F36" s="34">
        <v>2.0999999999999999E-3</v>
      </c>
      <c r="G36" s="22">
        <f>E36*F36</f>
        <v>1.6800524999999999</v>
      </c>
      <c r="H36" s="22">
        <f>G36-D36</f>
        <v>1.6222500000000251E-2</v>
      </c>
      <c r="I36" s="23">
        <f t="shared" si="2"/>
        <v>9.7500946611133663E-3</v>
      </c>
      <c r="J36" s="23">
        <f t="shared" si="7"/>
        <v>1.1185756418994788E-2</v>
      </c>
      <c r="K36" s="108">
        <f t="shared" si="8"/>
        <v>1.0947602956033428E-2</v>
      </c>
    </row>
    <row r="37" spans="1:11" x14ac:dyDescent="0.2">
      <c r="A37" s="107" t="s">
        <v>100</v>
      </c>
      <c r="B37" s="73">
        <f>C8</f>
        <v>792.3</v>
      </c>
      <c r="C37" s="34">
        <v>1.1000000000000001E-3</v>
      </c>
      <c r="D37" s="22">
        <f>B37*C37</f>
        <v>0.87153000000000003</v>
      </c>
      <c r="E37" s="73">
        <f>B8</f>
        <v>800.02499999999998</v>
      </c>
      <c r="F37" s="34">
        <v>1.1000000000000001E-3</v>
      </c>
      <c r="G37" s="22">
        <f>E37*F37</f>
        <v>0.88002750000000007</v>
      </c>
      <c r="H37" s="22">
        <f>G37-D37</f>
        <v>8.4975000000000467E-3</v>
      </c>
      <c r="I37" s="23">
        <f t="shared" si="2"/>
        <v>9.7500946611132674E-3</v>
      </c>
      <c r="J37" s="23">
        <f t="shared" si="7"/>
        <v>5.8592057432829856E-3</v>
      </c>
      <c r="K37" s="108">
        <f t="shared" si="8"/>
        <v>5.7344586912556061E-3</v>
      </c>
    </row>
    <row r="38" spans="1:11" x14ac:dyDescent="0.2">
      <c r="A38" s="107" t="s">
        <v>44</v>
      </c>
      <c r="B38" s="73">
        <v>1</v>
      </c>
      <c r="C38" s="22">
        <v>0.25</v>
      </c>
      <c r="D38" s="22">
        <f>B38*C38</f>
        <v>0.25</v>
      </c>
      <c r="E38" s="73">
        <f t="shared" si="0"/>
        <v>1</v>
      </c>
      <c r="F38" s="22">
        <f>C38</f>
        <v>0.25</v>
      </c>
      <c r="G38" s="22">
        <f>E38*F38</f>
        <v>0.25</v>
      </c>
      <c r="H38" s="22">
        <f t="shared" si="1"/>
        <v>0</v>
      </c>
      <c r="I38" s="23">
        <f t="shared" si="2"/>
        <v>0</v>
      </c>
      <c r="J38" s="23">
        <f t="shared" si="7"/>
        <v>1.6644950706889798E-3</v>
      </c>
      <c r="K38" s="108">
        <f t="shared" si="8"/>
        <v>1.6290566747219847E-3</v>
      </c>
    </row>
    <row r="39" spans="1:11" s="1" customFormat="1" x14ac:dyDescent="0.2">
      <c r="A39" s="110" t="s">
        <v>45</v>
      </c>
      <c r="B39" s="74"/>
      <c r="C39" s="35"/>
      <c r="D39" s="35">
        <f>SUM(D35:D38)</f>
        <v>5.6376399999999993</v>
      </c>
      <c r="E39" s="73"/>
      <c r="F39" s="35"/>
      <c r="G39" s="35">
        <f>SUM(G35:G38)</f>
        <v>5.6901699999999993</v>
      </c>
      <c r="H39" s="35">
        <f t="shared" si="1"/>
        <v>5.2529999999999966E-2</v>
      </c>
      <c r="I39" s="36">
        <f t="shared" si="2"/>
        <v>9.3177286949858405E-3</v>
      </c>
      <c r="J39" s="36">
        <f t="shared" si="7"/>
        <v>3.7885039665529245E-2</v>
      </c>
      <c r="K39" s="111">
        <f t="shared" si="8"/>
        <v>3.7078437675211177E-2</v>
      </c>
    </row>
    <row r="40" spans="1:11" s="1" customFormat="1" ht="13.5" thickBot="1" x14ac:dyDescent="0.25">
      <c r="A40" s="112" t="s">
        <v>46</v>
      </c>
      <c r="B40" s="113">
        <f>C4</f>
        <v>750</v>
      </c>
      <c r="C40" s="205">
        <v>0</v>
      </c>
      <c r="D40" s="115">
        <f>B40*C40</f>
        <v>0</v>
      </c>
      <c r="E40" s="116">
        <f>B4</f>
        <v>750</v>
      </c>
      <c r="F40" s="205">
        <f>C40</f>
        <v>0</v>
      </c>
      <c r="G40" s="115">
        <f>E40*F40</f>
        <v>0</v>
      </c>
      <c r="H40" s="115">
        <f t="shared" si="1"/>
        <v>0</v>
      </c>
      <c r="I40" s="117">
        <f t="shared" si="2"/>
        <v>0</v>
      </c>
      <c r="J40" s="117">
        <f t="shared" si="7"/>
        <v>0</v>
      </c>
      <c r="K40" s="118">
        <f t="shared" si="8"/>
        <v>0</v>
      </c>
    </row>
    <row r="41" spans="1:11" s="1" customFormat="1" x14ac:dyDescent="0.2">
      <c r="A41" s="37" t="s">
        <v>137</v>
      </c>
      <c r="B41" s="38"/>
      <c r="C41" s="39"/>
      <c r="D41" s="39">
        <f>SUM(D14,D24,D25,D26,D32,D39,D40)</f>
        <v>136.64086</v>
      </c>
      <c r="E41" s="38"/>
      <c r="F41" s="39"/>
      <c r="G41" s="39">
        <f>SUM(G14,G24,G25,G26,G32,G39,G40)</f>
        <v>143.04352249999997</v>
      </c>
      <c r="H41" s="39">
        <f t="shared" si="1"/>
        <v>6.4026624999999626</v>
      </c>
      <c r="I41" s="40">
        <f>IF(ISERROR(H41/D41),0,(H41/D41))</f>
        <v>4.6857598085960253E-2</v>
      </c>
      <c r="J41" s="40">
        <f t="shared" si="7"/>
        <v>0.95238095238095244</v>
      </c>
      <c r="K41" s="41"/>
    </row>
    <row r="42" spans="1:11" x14ac:dyDescent="0.2">
      <c r="A42" s="150" t="s">
        <v>138</v>
      </c>
      <c r="B42" s="43"/>
      <c r="C42" s="26">
        <v>0.13</v>
      </c>
      <c r="D42" s="26">
        <f>D41*C42</f>
        <v>17.7633118</v>
      </c>
      <c r="E42" s="26"/>
      <c r="F42" s="26">
        <f>C42</f>
        <v>0.13</v>
      </c>
      <c r="G42" s="26">
        <f>G41*F42</f>
        <v>18.595657924999998</v>
      </c>
      <c r="H42" s="26">
        <f t="shared" si="1"/>
        <v>0.83234612499999727</v>
      </c>
      <c r="I42" s="44">
        <f t="shared" si="2"/>
        <v>4.6857598085960371E-2</v>
      </c>
      <c r="J42" s="44">
        <f t="shared" si="7"/>
        <v>0.12380952380952384</v>
      </c>
      <c r="K42" s="45"/>
    </row>
    <row r="43" spans="1:11" s="1" customFormat="1" x14ac:dyDescent="0.2">
      <c r="A43" s="46" t="s">
        <v>139</v>
      </c>
      <c r="B43" s="24"/>
      <c r="C43" s="25"/>
      <c r="D43" s="25">
        <f>SUM(D41:D42)</f>
        <v>154.4041718</v>
      </c>
      <c r="E43" s="25"/>
      <c r="F43" s="25"/>
      <c r="G43" s="25">
        <f>SUM(G41:G42)</f>
        <v>161.63918042499995</v>
      </c>
      <c r="H43" s="25">
        <f t="shared" si="1"/>
        <v>7.2350086249999492</v>
      </c>
      <c r="I43" s="27">
        <f t="shared" si="2"/>
        <v>4.6857598085960198E-2</v>
      </c>
      <c r="J43" s="27">
        <f t="shared" si="7"/>
        <v>1.0761904761904761</v>
      </c>
      <c r="K43" s="47"/>
    </row>
    <row r="44" spans="1:11" x14ac:dyDescent="0.2">
      <c r="A44" s="42" t="s">
        <v>140</v>
      </c>
      <c r="B44" s="43"/>
      <c r="C44" s="26">
        <v>-0.08</v>
      </c>
      <c r="D44" s="26">
        <f>D41*C44</f>
        <v>-10.9312688</v>
      </c>
      <c r="E44" s="26"/>
      <c r="F44" s="26">
        <f>C44</f>
        <v>-0.08</v>
      </c>
      <c r="G44" s="26">
        <f>G41*F44</f>
        <v>-11.443481799999997</v>
      </c>
      <c r="H44" s="26">
        <f t="shared" si="1"/>
        <v>-0.51221299999999736</v>
      </c>
      <c r="I44" s="44">
        <f t="shared" si="2"/>
        <v>4.6857598085960288E-2</v>
      </c>
      <c r="J44" s="44">
        <f t="shared" si="7"/>
        <v>-7.6190476190476197E-2</v>
      </c>
      <c r="K44" s="45"/>
    </row>
    <row r="45" spans="1:11" s="1" customFormat="1" ht="13.5" thickBot="1" x14ac:dyDescent="0.25">
      <c r="A45" s="48" t="s">
        <v>141</v>
      </c>
      <c r="B45" s="49"/>
      <c r="C45" s="50"/>
      <c r="D45" s="50">
        <f>SUM(D43:D44)</f>
        <v>143.472903</v>
      </c>
      <c r="E45" s="50"/>
      <c r="F45" s="50"/>
      <c r="G45" s="50">
        <f>SUM(G43:G44)</f>
        <v>150.19569862499995</v>
      </c>
      <c r="H45" s="50">
        <f t="shared" si="1"/>
        <v>6.7227956249999465</v>
      </c>
      <c r="I45" s="51">
        <f t="shared" si="2"/>
        <v>4.6857598085960149E-2</v>
      </c>
      <c r="J45" s="51">
        <f t="shared" si="7"/>
        <v>1</v>
      </c>
      <c r="K45" s="52"/>
    </row>
    <row r="46" spans="1:11" x14ac:dyDescent="0.2">
      <c r="A46" s="53" t="s">
        <v>142</v>
      </c>
      <c r="B46" s="54"/>
      <c r="C46" s="55"/>
      <c r="D46" s="55">
        <f>SUM(D18,D24,D25,D27,D32,D39,D40)</f>
        <v>139.82685699999999</v>
      </c>
      <c r="E46" s="55"/>
      <c r="F46" s="55"/>
      <c r="G46" s="55">
        <f>SUM(G18,G24,G25,G27,G32,G39,G40)</f>
        <v>146.15528225</v>
      </c>
      <c r="H46" s="55">
        <f>G46-D46</f>
        <v>6.3284252500000093</v>
      </c>
      <c r="I46" s="56">
        <f>IF(ISERROR(H46/D46),0,(H46/D46))</f>
        <v>4.5259010935216899E-2</v>
      </c>
      <c r="J46" s="56"/>
      <c r="K46" s="57">
        <f>G46/$G$50</f>
        <v>0.95238095238095244</v>
      </c>
    </row>
    <row r="47" spans="1:11" x14ac:dyDescent="0.2">
      <c r="A47" s="58" t="s">
        <v>138</v>
      </c>
      <c r="B47" s="59"/>
      <c r="C47" s="31">
        <v>0.13</v>
      </c>
      <c r="D47" s="31">
        <f>D46*C47</f>
        <v>18.177491409999998</v>
      </c>
      <c r="E47" s="31"/>
      <c r="F47" s="31">
        <f>C47</f>
        <v>0.13</v>
      </c>
      <c r="G47" s="31">
        <f>G46*F47</f>
        <v>19.000186692500002</v>
      </c>
      <c r="H47" s="31">
        <f>G47-D47</f>
        <v>0.82269528250000334</v>
      </c>
      <c r="I47" s="32">
        <f>IF(ISERROR(H47/D47),0,(H47/D47))</f>
        <v>4.5259010935217017E-2</v>
      </c>
      <c r="J47" s="32"/>
      <c r="K47" s="60">
        <f>G47/$G$50</f>
        <v>0.12380952380952383</v>
      </c>
    </row>
    <row r="48" spans="1:11" x14ac:dyDescent="0.2">
      <c r="A48" s="61" t="s">
        <v>143</v>
      </c>
      <c r="B48" s="29"/>
      <c r="C48" s="30"/>
      <c r="D48" s="30">
        <f>SUM(D46:D47)</f>
        <v>158.00434840999998</v>
      </c>
      <c r="E48" s="30"/>
      <c r="F48" s="30"/>
      <c r="G48" s="30">
        <f>SUM(G46:G47)</f>
        <v>165.15546894249999</v>
      </c>
      <c r="H48" s="30">
        <f>G48-D48</f>
        <v>7.1511205325000162</v>
      </c>
      <c r="I48" s="33">
        <f>IF(ISERROR(H48/D48),0,(H48/D48))</f>
        <v>4.5259010935216941E-2</v>
      </c>
      <c r="J48" s="33"/>
      <c r="K48" s="62">
        <f>G48/$G$50</f>
        <v>1.0761904761904761</v>
      </c>
    </row>
    <row r="49" spans="1:11" x14ac:dyDescent="0.2">
      <c r="A49" s="58" t="s">
        <v>140</v>
      </c>
      <c r="B49" s="59"/>
      <c r="C49" s="31">
        <v>-0.08</v>
      </c>
      <c r="D49" s="31">
        <f>D46*C49</f>
        <v>-11.186148559999999</v>
      </c>
      <c r="E49" s="31"/>
      <c r="F49" s="31">
        <f>C49</f>
        <v>-0.08</v>
      </c>
      <c r="G49" s="31">
        <f>G46*F49</f>
        <v>-11.692422580000001</v>
      </c>
      <c r="H49" s="31">
        <f>G49-D49</f>
        <v>-0.5062740200000011</v>
      </c>
      <c r="I49" s="32">
        <f>IF(ISERROR(H49/D49),0,(H49/D49))</f>
        <v>4.5259010935216934E-2</v>
      </c>
      <c r="J49" s="32"/>
      <c r="K49" s="60">
        <f>G49/$G$50</f>
        <v>-7.6190476190476197E-2</v>
      </c>
    </row>
    <row r="50" spans="1:11" ht="13.5" thickBot="1" x14ac:dyDescent="0.25">
      <c r="A50" s="63" t="s">
        <v>144</v>
      </c>
      <c r="B50" s="64"/>
      <c r="C50" s="65"/>
      <c r="D50" s="65">
        <f>SUM(D48:D49)</f>
        <v>146.81819984999998</v>
      </c>
      <c r="E50" s="65"/>
      <c r="F50" s="65"/>
      <c r="G50" s="65">
        <f>SUM(G48:G49)</f>
        <v>153.46304636249999</v>
      </c>
      <c r="H50" s="65">
        <f>G50-D50</f>
        <v>6.6448465125000098</v>
      </c>
      <c r="I50" s="66">
        <f>IF(ISERROR(H50/D50),0,(H50/D50))</f>
        <v>4.5259010935216899E-2</v>
      </c>
      <c r="J50" s="66"/>
      <c r="K50" s="67">
        <f>G50/$G$50</f>
        <v>1</v>
      </c>
    </row>
    <row r="51" spans="1:11" x14ac:dyDescent="0.2">
      <c r="C51" s="68"/>
      <c r="F51" s="69"/>
    </row>
    <row r="52" spans="1:11" x14ac:dyDescent="0.2">
      <c r="F52" s="69"/>
    </row>
    <row r="53" spans="1:11" x14ac:dyDescent="0.2">
      <c r="F53" s="69"/>
    </row>
    <row r="54" spans="1:11" x14ac:dyDescent="0.2">
      <c r="A54" s="70"/>
      <c r="B54" s="71"/>
      <c r="F54" s="69"/>
    </row>
    <row r="55" spans="1:11" x14ac:dyDescent="0.2">
      <c r="B55" s="71"/>
      <c r="F55" s="69"/>
    </row>
    <row r="56" spans="1:11" x14ac:dyDescent="0.2">
      <c r="F56" s="69"/>
    </row>
    <row r="57" spans="1:11" x14ac:dyDescent="0.2">
      <c r="D57" s="72"/>
      <c r="F57" s="69"/>
    </row>
    <row r="58" spans="1:11" x14ac:dyDescent="0.2">
      <c r="F58" s="69"/>
    </row>
    <row r="59" spans="1:11" x14ac:dyDescent="0.2">
      <c r="A59" s="70"/>
      <c r="B59" s="71"/>
      <c r="F59" s="69"/>
    </row>
    <row r="60" spans="1:11" x14ac:dyDescent="0.2">
      <c r="B60" s="72"/>
      <c r="D60" s="72"/>
      <c r="F60" s="69"/>
    </row>
    <row r="61" spans="1:11" x14ac:dyDescent="0.2">
      <c r="F61" s="69"/>
    </row>
    <row r="62" spans="1:11" x14ac:dyDescent="0.2">
      <c r="F62" s="69"/>
    </row>
    <row r="63" spans="1:11" x14ac:dyDescent="0.2">
      <c r="F63" s="69"/>
      <c r="K63"/>
    </row>
    <row r="64" spans="1:11" x14ac:dyDescent="0.2">
      <c r="F64" s="69"/>
      <c r="K64"/>
    </row>
    <row r="65" spans="6:11" x14ac:dyDescent="0.2">
      <c r="F65" s="69"/>
      <c r="K65"/>
    </row>
    <row r="66" spans="6:11" x14ac:dyDescent="0.2">
      <c r="F66" s="69"/>
      <c r="K66"/>
    </row>
    <row r="67" spans="6:11" x14ac:dyDescent="0.2">
      <c r="F67" s="69"/>
      <c r="K67"/>
    </row>
  </sheetData>
  <mergeCells count="1">
    <mergeCell ref="A1:K1"/>
  </mergeCell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Impacts'!$A$3:$A$21</xm:f>
          </x14:formula1>
          <xm:sqref>B3</xm:sqref>
        </x14:dataValidation>
      </x14:dataValidations>
    </ext>
  </extLst>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1">
    <pageSetUpPr fitToPage="1"/>
  </sheetPr>
  <dimension ref="A1:K67"/>
  <sheetViews>
    <sheetView topLeftCell="A19" workbookViewId="0">
      <selection activeCell="C19" sqref="C19"/>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48" t="s">
        <v>111</v>
      </c>
      <c r="B1" s="349"/>
      <c r="C1" s="349"/>
      <c r="D1" s="349"/>
      <c r="E1" s="349"/>
      <c r="F1" s="349"/>
      <c r="G1" s="349"/>
      <c r="H1" s="349"/>
      <c r="I1" s="349"/>
      <c r="J1" s="349"/>
      <c r="K1" s="350"/>
    </row>
    <row r="3" spans="1:11" x14ac:dyDescent="0.2">
      <c r="A3" s="13" t="s">
        <v>13</v>
      </c>
      <c r="B3" s="13" t="s">
        <v>180</v>
      </c>
      <c r="C3" s="13" t="s">
        <v>125</v>
      </c>
    </row>
    <row r="4" spans="1:11" x14ac:dyDescent="0.2">
      <c r="A4" s="15" t="s">
        <v>62</v>
      </c>
      <c r="B4" s="15">
        <v>1800</v>
      </c>
      <c r="C4" s="15">
        <f>B4</f>
        <v>1800</v>
      </c>
    </row>
    <row r="5" spans="1:11" x14ac:dyDescent="0.2">
      <c r="A5" s="15" t="s">
        <v>16</v>
      </c>
      <c r="B5" s="15">
        <f>VLOOKUP($B$3,'Data for Bill Impacts'!$A$3:$Y$39,5,0)</f>
        <v>0</v>
      </c>
      <c r="C5" s="15">
        <f>B5</f>
        <v>0</v>
      </c>
    </row>
    <row r="6" spans="1:11" x14ac:dyDescent="0.2">
      <c r="A6" s="15" t="s">
        <v>20</v>
      </c>
      <c r="B6" s="15">
        <f>VLOOKUP($B$3,'Data for Bill Impacts'!$A$3:$Y$39,2,0)</f>
        <v>1.0667</v>
      </c>
      <c r="C6" s="15">
        <f>VLOOKUP($C$3,'Data for Bill Impacts'!$A$3:$Y$39,2,0)</f>
        <v>1.0564</v>
      </c>
    </row>
    <row r="7" spans="1:11" x14ac:dyDescent="0.2">
      <c r="A7" s="15" t="s">
        <v>15</v>
      </c>
      <c r="B7" s="15">
        <f>VLOOKUP($B$3,'Data for Bill Impacts'!$A$3:$Y$39,4,0)</f>
        <v>600</v>
      </c>
      <c r="C7" s="15">
        <f>B7</f>
        <v>600</v>
      </c>
    </row>
    <row r="8" spans="1:11" x14ac:dyDescent="0.2">
      <c r="A8" s="15" t="s">
        <v>82</v>
      </c>
      <c r="B8" s="193">
        <f>B4*B6</f>
        <v>1920.06</v>
      </c>
      <c r="C8" s="193">
        <f>C4*C6</f>
        <v>1901.52</v>
      </c>
    </row>
    <row r="9" spans="1:11" x14ac:dyDescent="0.2">
      <c r="A9" s="15" t="s">
        <v>21</v>
      </c>
      <c r="B9" s="16" t="str">
        <f>VLOOKUP($B$3,'Data for Bill Impacts'!$A$3:$Y$39,6,0)</f>
        <v>kWh</v>
      </c>
      <c r="C9" s="16" t="str">
        <f>VLOOKUP($C$3,'Data for Bill Impacts'!$A$3:$Y$39,6,0)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0.10299999999999999</v>
      </c>
      <c r="D12" s="104">
        <f>B12*C12</f>
        <v>61.8</v>
      </c>
      <c r="E12" s="102">
        <f>B12</f>
        <v>600</v>
      </c>
      <c r="F12" s="103">
        <f>C12</f>
        <v>0.10299999999999999</v>
      </c>
      <c r="G12" s="104">
        <f>E12*F12</f>
        <v>61.8</v>
      </c>
      <c r="H12" s="104">
        <f>G12-D12</f>
        <v>0</v>
      </c>
      <c r="I12" s="105">
        <f>IF(ISERROR(H12/D12),0,(H12/D12))</f>
        <v>0</v>
      </c>
      <c r="J12" s="105">
        <f>G12/$G$45</f>
        <v>0.19563197689334885</v>
      </c>
      <c r="K12" s="106"/>
    </row>
    <row r="13" spans="1:11" x14ac:dyDescent="0.2">
      <c r="A13" s="107" t="s">
        <v>32</v>
      </c>
      <c r="B13" s="73">
        <f>IF(B4&gt;B7,(B4)-B7,0)</f>
        <v>1200</v>
      </c>
      <c r="C13" s="21">
        <v>0.121</v>
      </c>
      <c r="D13" s="22">
        <f>B13*C13</f>
        <v>145.19999999999999</v>
      </c>
      <c r="E13" s="73">
        <f t="shared" ref="E13:E38" si="0">B13</f>
        <v>1200</v>
      </c>
      <c r="F13" s="21">
        <f>C13</f>
        <v>0.121</v>
      </c>
      <c r="G13" s="22">
        <f>E13*F13</f>
        <v>145.19999999999999</v>
      </c>
      <c r="H13" s="22">
        <f t="shared" ref="H13:H45" si="1">G13-D13</f>
        <v>0</v>
      </c>
      <c r="I13" s="23">
        <f t="shared" ref="I13:I45" si="2">IF(ISERROR(H13/D13),0,(H13/D13))</f>
        <v>0</v>
      </c>
      <c r="J13" s="23">
        <f>G13/$G$45</f>
        <v>0.45964017872029533</v>
      </c>
      <c r="K13" s="108"/>
    </row>
    <row r="14" spans="1:11" s="1" customFormat="1" x14ac:dyDescent="0.2">
      <c r="A14" s="46" t="s">
        <v>33</v>
      </c>
      <c r="B14" s="24"/>
      <c r="C14" s="25"/>
      <c r="D14" s="25">
        <f>SUM(D12:D13)</f>
        <v>207</v>
      </c>
      <c r="E14" s="76"/>
      <c r="F14" s="25"/>
      <c r="G14" s="25">
        <f>SUM(G12:G13)</f>
        <v>207</v>
      </c>
      <c r="H14" s="25">
        <f t="shared" si="1"/>
        <v>0</v>
      </c>
      <c r="I14" s="27">
        <f t="shared" si="2"/>
        <v>0</v>
      </c>
      <c r="J14" s="27">
        <f>G14/$G$45</f>
        <v>0.65527215561364427</v>
      </c>
      <c r="K14" s="108"/>
    </row>
    <row r="15" spans="1:11" s="1" customFormat="1" x14ac:dyDescent="0.2">
      <c r="A15" s="109" t="s">
        <v>34</v>
      </c>
      <c r="B15" s="75">
        <f>B4*0.65</f>
        <v>1170</v>
      </c>
      <c r="C15" s="28">
        <v>8.6999999999999994E-2</v>
      </c>
      <c r="D15" s="22">
        <f>B15*C15</f>
        <v>101.78999999999999</v>
      </c>
      <c r="E15" s="73">
        <f t="shared" ref="E15:F17" si="3">B15</f>
        <v>1170</v>
      </c>
      <c r="F15" s="28">
        <f t="shared" si="3"/>
        <v>8.6999999999999994E-2</v>
      </c>
      <c r="G15" s="22">
        <f>E15*F15</f>
        <v>101.78999999999999</v>
      </c>
      <c r="H15" s="22">
        <f t="shared" si="1"/>
        <v>0</v>
      </c>
      <c r="I15" s="23">
        <f t="shared" si="2"/>
        <v>0</v>
      </c>
      <c r="J15" s="23"/>
      <c r="K15" s="108">
        <f t="shared" ref="K15:K25" si="4">G15/$G$50</f>
        <v>0.33063202811940251</v>
      </c>
    </row>
    <row r="16" spans="1:11" s="1" customFormat="1" x14ac:dyDescent="0.2">
      <c r="A16" s="109" t="s">
        <v>35</v>
      </c>
      <c r="B16" s="75">
        <f>B4*0.17</f>
        <v>306</v>
      </c>
      <c r="C16" s="28">
        <v>0.13200000000000001</v>
      </c>
      <c r="D16" s="22">
        <f>B16*C16</f>
        <v>40.392000000000003</v>
      </c>
      <c r="E16" s="73">
        <f t="shared" si="3"/>
        <v>306</v>
      </c>
      <c r="F16" s="28">
        <f t="shared" si="3"/>
        <v>0.13200000000000001</v>
      </c>
      <c r="G16" s="22">
        <f>E16*F16</f>
        <v>40.392000000000003</v>
      </c>
      <c r="H16" s="22">
        <f t="shared" si="1"/>
        <v>0</v>
      </c>
      <c r="I16" s="23">
        <f t="shared" si="2"/>
        <v>0</v>
      </c>
      <c r="J16" s="23"/>
      <c r="K16" s="108">
        <f t="shared" si="4"/>
        <v>0.13120040160918467</v>
      </c>
    </row>
    <row r="17" spans="1:11" s="1" customFormat="1" x14ac:dyDescent="0.2">
      <c r="A17" s="109" t="s">
        <v>36</v>
      </c>
      <c r="B17" s="75">
        <f>B4*0.18</f>
        <v>324</v>
      </c>
      <c r="C17" s="28">
        <v>0.18</v>
      </c>
      <c r="D17" s="22">
        <f>B17*C17</f>
        <v>58.32</v>
      </c>
      <c r="E17" s="73">
        <f t="shared" si="3"/>
        <v>324</v>
      </c>
      <c r="F17" s="28">
        <f t="shared" si="3"/>
        <v>0.18</v>
      </c>
      <c r="G17" s="22">
        <f>E17*F17</f>
        <v>58.32</v>
      </c>
      <c r="H17" s="22">
        <f t="shared" si="1"/>
        <v>0</v>
      </c>
      <c r="I17" s="23">
        <f t="shared" si="2"/>
        <v>0</v>
      </c>
      <c r="J17" s="23"/>
      <c r="K17" s="108">
        <f t="shared" si="4"/>
        <v>0.18943373494374255</v>
      </c>
    </row>
    <row r="18" spans="1:11" s="1" customFormat="1" x14ac:dyDescent="0.2">
      <c r="A18" s="61" t="s">
        <v>37</v>
      </c>
      <c r="B18" s="29"/>
      <c r="C18" s="30"/>
      <c r="D18" s="30">
        <f>SUM(D15:D17)</f>
        <v>200.50199999999998</v>
      </c>
      <c r="E18" s="77"/>
      <c r="F18" s="30"/>
      <c r="G18" s="30">
        <f>SUM(G15:G17)</f>
        <v>200.50199999999998</v>
      </c>
      <c r="H18" s="31">
        <f t="shared" si="1"/>
        <v>0</v>
      </c>
      <c r="I18" s="32">
        <f t="shared" si="2"/>
        <v>0</v>
      </c>
      <c r="J18" s="33">
        <f>G18/$G$45</f>
        <v>0.63470230794612015</v>
      </c>
      <c r="K18" s="62">
        <f t="shared" si="4"/>
        <v>0.65126616467232967</v>
      </c>
    </row>
    <row r="19" spans="1:11" x14ac:dyDescent="0.2">
      <c r="A19" s="107" t="s">
        <v>38</v>
      </c>
      <c r="B19" s="73">
        <v>1</v>
      </c>
      <c r="C19" s="122">
        <f>VLOOKUP($C$3,'Data for Bill Impacts'!$A$3:$Y$39,7,0)</f>
        <v>36.78</v>
      </c>
      <c r="D19" s="22">
        <f>B19*C19</f>
        <v>36.78</v>
      </c>
      <c r="E19" s="73">
        <f t="shared" si="0"/>
        <v>1</v>
      </c>
      <c r="F19" s="122">
        <f>VLOOKUP($B$3,'Data for Bill Impacts'!$A$3:$Y$39,17,0)</f>
        <v>40.08</v>
      </c>
      <c r="G19" s="22">
        <f>E19*F19</f>
        <v>40.08</v>
      </c>
      <c r="H19" s="22">
        <f t="shared" si="1"/>
        <v>3.2999999999999972</v>
      </c>
      <c r="I19" s="23">
        <f t="shared" si="2"/>
        <v>8.9722675367047228E-2</v>
      </c>
      <c r="J19" s="23">
        <f>G19/$G$45</f>
        <v>0.12687588404345343</v>
      </c>
      <c r="K19" s="108">
        <f t="shared" si="4"/>
        <v>0.13018697010537039</v>
      </c>
    </row>
    <row r="20" spans="1:11" x14ac:dyDescent="0.2">
      <c r="A20" s="107" t="s">
        <v>188</v>
      </c>
      <c r="B20" s="73">
        <v>1</v>
      </c>
      <c r="C20" s="78">
        <f>'Data for Bill Impacts'!K34</f>
        <v>-0.55000000000000004</v>
      </c>
      <c r="D20" s="22">
        <f>B20*C20</f>
        <v>-0.55000000000000004</v>
      </c>
      <c r="E20" s="73">
        <f t="shared" si="0"/>
        <v>1</v>
      </c>
      <c r="F20" s="122">
        <v>0</v>
      </c>
      <c r="G20" s="22">
        <f t="shared" ref="G20" si="5">E20*F20</f>
        <v>0</v>
      </c>
      <c r="H20" s="22">
        <f t="shared" si="1"/>
        <v>0.55000000000000004</v>
      </c>
      <c r="I20" s="23">
        <f t="shared" si="2"/>
        <v>-1</v>
      </c>
      <c r="J20" s="23">
        <f>G20/$G$45</f>
        <v>0</v>
      </c>
      <c r="K20" s="108">
        <f t="shared" si="4"/>
        <v>0</v>
      </c>
    </row>
    <row r="21" spans="1:11" x14ac:dyDescent="0.2">
      <c r="A21" s="107" t="s">
        <v>39</v>
      </c>
      <c r="B21" s="73">
        <f>IF($C$9="kWh",$C$4,$C$5)</f>
        <v>1800</v>
      </c>
      <c r="C21" s="126">
        <f>VLOOKUP($C$3,'Data for Bill Impacts'!$A$3:$Y$39,10,0)</f>
        <v>0</v>
      </c>
      <c r="D21" s="22">
        <f>B21*C21</f>
        <v>0</v>
      </c>
      <c r="E21" s="73">
        <f t="shared" si="0"/>
        <v>1800</v>
      </c>
      <c r="F21" s="126">
        <f>VLOOKUP($B$3,'Data for Bill Impacts'!$A$3:$Y$39,19,0)</f>
        <v>0</v>
      </c>
      <c r="G21" s="22">
        <f>E21*F21</f>
        <v>0</v>
      </c>
      <c r="H21" s="22">
        <f t="shared" si="1"/>
        <v>0</v>
      </c>
      <c r="I21" s="23">
        <f t="shared" si="2"/>
        <v>0</v>
      </c>
      <c r="J21" s="23">
        <f>G21/$G$45</f>
        <v>0</v>
      </c>
      <c r="K21" s="108">
        <f t="shared" si="4"/>
        <v>0</v>
      </c>
    </row>
    <row r="22" spans="1:11" x14ac:dyDescent="0.2">
      <c r="A22" s="107" t="s">
        <v>189</v>
      </c>
      <c r="B22" s="73">
        <f>IF($C$9="kWh",$C$4,$C$5)</f>
        <v>1800</v>
      </c>
      <c r="C22" s="78">
        <f>'Data for Bill Impacts'!H34</f>
        <v>8.9999999999999998E-4</v>
      </c>
      <c r="D22" s="22">
        <f>B22*C22</f>
        <v>1.6199999999999999</v>
      </c>
      <c r="E22" s="73">
        <f>B22</f>
        <v>1800</v>
      </c>
      <c r="F22" s="126">
        <v>0</v>
      </c>
      <c r="G22" s="22">
        <f>E22*F22</f>
        <v>0</v>
      </c>
      <c r="H22" s="22">
        <f>G22-D22</f>
        <v>-1.6199999999999999</v>
      </c>
      <c r="I22" s="23">
        <f>IF(ISERROR(H22/D22),0,(H22/D22))</f>
        <v>-1</v>
      </c>
      <c r="J22" s="23">
        <f t="shared" ref="J22" si="6">G22/$G$45</f>
        <v>0</v>
      </c>
      <c r="K22" s="108">
        <f t="shared" si="4"/>
        <v>0</v>
      </c>
    </row>
    <row r="23" spans="1:11" x14ac:dyDescent="0.2">
      <c r="A23" s="107" t="s">
        <v>190</v>
      </c>
      <c r="B23" s="73">
        <f>IF($B$9="kWh",$B$4,$B$5)</f>
        <v>1800</v>
      </c>
      <c r="C23" s="126">
        <f>'Data for Bill Impacts'!L34</f>
        <v>0</v>
      </c>
      <c r="D23" s="22">
        <f>B23*C23</f>
        <v>0</v>
      </c>
      <c r="E23" s="73">
        <f t="shared" si="0"/>
        <v>1800</v>
      </c>
      <c r="F23" s="126">
        <v>0</v>
      </c>
      <c r="G23" s="22">
        <f>E23*F23</f>
        <v>0</v>
      </c>
      <c r="H23" s="22">
        <f t="shared" si="1"/>
        <v>0</v>
      </c>
      <c r="I23" s="23">
        <f>IF(ISERROR(H23/D23),0,(H23/D23))</f>
        <v>0</v>
      </c>
      <c r="J23" s="23">
        <f>G23/$G$45</f>
        <v>0</v>
      </c>
      <c r="K23" s="108">
        <f t="shared" si="4"/>
        <v>0</v>
      </c>
    </row>
    <row r="24" spans="1:11" s="1" customFormat="1" x14ac:dyDescent="0.2">
      <c r="A24" s="110" t="s">
        <v>72</v>
      </c>
      <c r="B24" s="74"/>
      <c r="C24" s="35"/>
      <c r="D24" s="35">
        <f>SUM(D19:D23)</f>
        <v>37.85</v>
      </c>
      <c r="E24" s="73"/>
      <c r="F24" s="35"/>
      <c r="G24" s="35">
        <f>SUM(G19:G23)</f>
        <v>40.08</v>
      </c>
      <c r="H24" s="35">
        <f t="shared" si="1"/>
        <v>2.2299999999999969</v>
      </c>
      <c r="I24" s="36">
        <f t="shared" si="2"/>
        <v>5.8916776750330163E-2</v>
      </c>
      <c r="J24" s="36">
        <f>G24/$G$45</f>
        <v>0.12687588404345343</v>
      </c>
      <c r="K24" s="111">
        <f t="shared" si="4"/>
        <v>0.13018697010537039</v>
      </c>
    </row>
    <row r="25" spans="1:11" s="1" customFormat="1" x14ac:dyDescent="0.2">
      <c r="A25" s="119" t="s">
        <v>73</v>
      </c>
      <c r="B25" s="120">
        <v>1</v>
      </c>
      <c r="C25" s="78">
        <f>VLOOKUP($C$3,'Data for Bill Impacts'!$A$3:$Y$39,9,0)</f>
        <v>0.79</v>
      </c>
      <c r="D25" s="22">
        <f>B25*C25</f>
        <v>0.79</v>
      </c>
      <c r="E25" s="73">
        <v>1</v>
      </c>
      <c r="F25" s="78">
        <f>VLOOKUP($B$3,'Data for Bill Impacts'!$A$3:$Y$39,18,0)</f>
        <v>0.79</v>
      </c>
      <c r="G25" s="22">
        <f>E25*F25</f>
        <v>0.79</v>
      </c>
      <c r="H25" s="22">
        <f t="shared" si="1"/>
        <v>0</v>
      </c>
      <c r="I25" s="23">
        <f>IF(ISERROR(H25/D25),0,(H25/D25))</f>
        <v>0</v>
      </c>
      <c r="J25" s="23">
        <f>G25/$G$45</f>
        <v>2.5007971156269515E-3</v>
      </c>
      <c r="K25" s="108">
        <f t="shared" si="4"/>
        <v>2.5660605385040575E-3</v>
      </c>
    </row>
    <row r="26" spans="1:11" s="1" customFormat="1" x14ac:dyDescent="0.2">
      <c r="A26" s="119" t="s">
        <v>75</v>
      </c>
      <c r="B26" s="120">
        <f>C8-C4</f>
        <v>101.51999999999998</v>
      </c>
      <c r="C26" s="121">
        <f>IF(C4&gt;C7,C13,C12)</f>
        <v>0.121</v>
      </c>
      <c r="D26" s="22">
        <f>B26*C26</f>
        <v>12.283919999999997</v>
      </c>
      <c r="E26" s="73">
        <f>B8-B4</f>
        <v>120.05999999999995</v>
      </c>
      <c r="F26" s="121">
        <f>IF(B4&gt;C7,F13,F12)</f>
        <v>0.121</v>
      </c>
      <c r="G26" s="22">
        <f>E26*F26</f>
        <v>14.527259999999993</v>
      </c>
      <c r="H26" s="22">
        <f t="shared" si="1"/>
        <v>2.2433399999999963</v>
      </c>
      <c r="I26" s="23">
        <f>IF(ISERROR(H26/D26),0,(H26/D26))</f>
        <v>0.18262411347517707</v>
      </c>
      <c r="J26" s="23">
        <f t="shared" ref="J26:J45" si="7">G26/$G$45</f>
        <v>4.598699988096553E-2</v>
      </c>
      <c r="K26" s="108">
        <f t="shared" ref="K26:K40" si="8">G26/$G$50</f>
        <v>4.7187124833656245E-2</v>
      </c>
    </row>
    <row r="27" spans="1:11" s="1" customFormat="1" x14ac:dyDescent="0.2">
      <c r="A27" s="119" t="s">
        <v>74</v>
      </c>
      <c r="B27" s="120">
        <f>C8-C4</f>
        <v>101.51999999999998</v>
      </c>
      <c r="C27" s="121">
        <f>0.65*C15+0.17*C16+0.18*C17</f>
        <v>0.11139</v>
      </c>
      <c r="D27" s="22">
        <f>B27*C27</f>
        <v>11.308312799999998</v>
      </c>
      <c r="E27" s="73">
        <f>B8-B4</f>
        <v>120.05999999999995</v>
      </c>
      <c r="F27" s="121">
        <f>0.65*F15+0.17*F16+0.18*F17</f>
        <v>0.11139</v>
      </c>
      <c r="G27" s="22">
        <f>E27*F27</f>
        <v>13.373483399999994</v>
      </c>
      <c r="H27" s="22">
        <f t="shared" si="1"/>
        <v>2.0651705999999965</v>
      </c>
      <c r="I27" s="23">
        <f>IF(ISERROR(H27/D27),0,(H27/D27))</f>
        <v>0.18262411347517704</v>
      </c>
      <c r="J27" s="23">
        <f t="shared" si="7"/>
        <v>4.2334643940006203E-2</v>
      </c>
      <c r="K27" s="108">
        <f t="shared" si="8"/>
        <v>4.3439453183644373E-2</v>
      </c>
    </row>
    <row r="28" spans="1:11" s="1" customFormat="1" x14ac:dyDescent="0.2">
      <c r="A28" s="110" t="s">
        <v>78</v>
      </c>
      <c r="B28" s="74"/>
      <c r="C28" s="35"/>
      <c r="D28" s="35">
        <f>SUM(D24,D25:D26)</f>
        <v>50.923919999999995</v>
      </c>
      <c r="E28" s="73"/>
      <c r="F28" s="35"/>
      <c r="G28" s="35">
        <f>SUM(G24,G25:G26)</f>
        <v>55.397259999999989</v>
      </c>
      <c r="H28" s="35">
        <f t="shared" si="1"/>
        <v>4.4733399999999932</v>
      </c>
      <c r="I28" s="36">
        <f>IF(ISERROR(H28/D28),0,(H28/D28))</f>
        <v>8.7843590988281997E-2</v>
      </c>
      <c r="J28" s="36">
        <f t="shared" si="7"/>
        <v>0.1753636810400459</v>
      </c>
      <c r="K28" s="111">
        <f t="shared" si="8"/>
        <v>0.1799401554775307</v>
      </c>
    </row>
    <row r="29" spans="1:11" s="1" customFormat="1" x14ac:dyDescent="0.2">
      <c r="A29" s="110" t="s">
        <v>77</v>
      </c>
      <c r="B29" s="74"/>
      <c r="C29" s="35"/>
      <c r="D29" s="35">
        <f>SUM(D24,D25,D27)</f>
        <v>49.948312799999997</v>
      </c>
      <c r="E29" s="73"/>
      <c r="F29" s="35"/>
      <c r="G29" s="35">
        <f>SUM(G24,G25,G27)</f>
        <v>54.243483399999988</v>
      </c>
      <c r="H29" s="35">
        <f t="shared" si="1"/>
        <v>4.2951705999999916</v>
      </c>
      <c r="I29" s="36">
        <f>IF(ISERROR(H29/D29),0,(H29/D29))</f>
        <v>8.5992306030404933E-2</v>
      </c>
      <c r="J29" s="36">
        <f t="shared" si="7"/>
        <v>0.17171132509908657</v>
      </c>
      <c r="K29" s="111">
        <f t="shared" si="8"/>
        <v>0.17619248382751881</v>
      </c>
    </row>
    <row r="30" spans="1:11" x14ac:dyDescent="0.2">
      <c r="A30" s="107" t="s">
        <v>40</v>
      </c>
      <c r="B30" s="73">
        <f>C8</f>
        <v>1901.52</v>
      </c>
      <c r="C30" s="126">
        <f>VLOOKUP($C$3,'Data for Bill Impacts'!$A$3:$Y$39,15,0)</f>
        <v>6.7999999999999996E-3</v>
      </c>
      <c r="D30" s="22">
        <f>B30*C30</f>
        <v>12.930335999999999</v>
      </c>
      <c r="E30" s="73">
        <f>B8</f>
        <v>1920.06</v>
      </c>
      <c r="F30" s="78">
        <f>VLOOKUP($B$3,'Data for Bill Impacts'!$A$3:$Y$39,24,0)</f>
        <v>7.1000000000000004E-3</v>
      </c>
      <c r="G30" s="22">
        <f>E30*F30</f>
        <v>13.632426000000001</v>
      </c>
      <c r="H30" s="22">
        <f t="shared" si="1"/>
        <v>0.70209000000000188</v>
      </c>
      <c r="I30" s="23">
        <f t="shared" si="2"/>
        <v>5.4297892954986007E-2</v>
      </c>
      <c r="J30" s="23">
        <f t="shared" si="7"/>
        <v>4.3154343822528939E-2</v>
      </c>
      <c r="K30" s="108">
        <f t="shared" si="8"/>
        <v>4.428054481351483E-2</v>
      </c>
    </row>
    <row r="31" spans="1:11" x14ac:dyDescent="0.2">
      <c r="A31" s="107" t="s">
        <v>41</v>
      </c>
      <c r="B31" s="73">
        <f>C8</f>
        <v>1901.52</v>
      </c>
      <c r="C31" s="126">
        <f>VLOOKUP($C$3,'Data for Bill Impacts'!$A$3:$Y$39,16,0)</f>
        <v>3.5999999999999999E-3</v>
      </c>
      <c r="D31" s="22">
        <f>B31*C31</f>
        <v>6.845472</v>
      </c>
      <c r="E31" s="73">
        <f>B8</f>
        <v>1920.06</v>
      </c>
      <c r="F31" s="78">
        <f>VLOOKUP($B$3,'Data for Bill Impacts'!$A$3:$Y$39,25,0)</f>
        <v>6.0000000000000001E-3</v>
      </c>
      <c r="G31" s="22">
        <f>E31*F31</f>
        <v>11.52036</v>
      </c>
      <c r="H31" s="22">
        <f t="shared" si="1"/>
        <v>4.6748880000000002</v>
      </c>
      <c r="I31" s="23">
        <f t="shared" si="2"/>
        <v>0.68291682443518875</v>
      </c>
      <c r="J31" s="23">
        <f t="shared" si="7"/>
        <v>3.6468459568334312E-2</v>
      </c>
      <c r="K31" s="108">
        <f t="shared" si="8"/>
        <v>3.7420178715646332E-2</v>
      </c>
    </row>
    <row r="32" spans="1:11" s="1" customFormat="1" x14ac:dyDescent="0.2">
      <c r="A32" s="110" t="s">
        <v>76</v>
      </c>
      <c r="B32" s="74"/>
      <c r="C32" s="35"/>
      <c r="D32" s="35">
        <f>SUM(D30:D31)</f>
        <v>19.775807999999998</v>
      </c>
      <c r="E32" s="73"/>
      <c r="F32" s="35"/>
      <c r="G32" s="35">
        <f>SUM(G30:G31)</f>
        <v>25.152785999999999</v>
      </c>
      <c r="H32" s="35">
        <f t="shared" si="1"/>
        <v>5.3769780000000011</v>
      </c>
      <c r="I32" s="36">
        <f t="shared" si="2"/>
        <v>0.27189675385197926</v>
      </c>
      <c r="J32" s="36">
        <f t="shared" si="7"/>
        <v>7.9622803390863237E-2</v>
      </c>
      <c r="K32" s="111">
        <f t="shared" si="8"/>
        <v>8.1700723529161148E-2</v>
      </c>
    </row>
    <row r="33" spans="1:11" s="1" customFormat="1" x14ac:dyDescent="0.2">
      <c r="A33" s="110" t="s">
        <v>95</v>
      </c>
      <c r="B33" s="74"/>
      <c r="C33" s="35"/>
      <c r="D33" s="35">
        <f>D28+D32</f>
        <v>70.699727999999993</v>
      </c>
      <c r="E33" s="73"/>
      <c r="F33" s="35"/>
      <c r="G33" s="35">
        <f>G28+G32</f>
        <v>80.55004599999998</v>
      </c>
      <c r="H33" s="35">
        <f t="shared" si="1"/>
        <v>9.8503179999999873</v>
      </c>
      <c r="I33" s="36">
        <f t="shared" si="2"/>
        <v>0.1393261088642376</v>
      </c>
      <c r="J33" s="36">
        <f t="shared" si="7"/>
        <v>0.2549864844309091</v>
      </c>
      <c r="K33" s="111">
        <f t="shared" si="8"/>
        <v>0.26164087900669181</v>
      </c>
    </row>
    <row r="34" spans="1:11" s="1" customFormat="1" x14ac:dyDescent="0.2">
      <c r="A34" s="110" t="s">
        <v>96</v>
      </c>
      <c r="B34" s="74"/>
      <c r="C34" s="35"/>
      <c r="D34" s="35">
        <f>D29+D32</f>
        <v>69.724120799999994</v>
      </c>
      <c r="E34" s="73"/>
      <c r="F34" s="35"/>
      <c r="G34" s="35">
        <f>G29+G32</f>
        <v>79.396269399999994</v>
      </c>
      <c r="H34" s="35">
        <f t="shared" si="1"/>
        <v>9.6721485999999999</v>
      </c>
      <c r="I34" s="36">
        <f t="shared" si="2"/>
        <v>0.13872026622958866</v>
      </c>
      <c r="J34" s="36">
        <f t="shared" si="7"/>
        <v>0.25133412848994985</v>
      </c>
      <c r="K34" s="111">
        <f t="shared" si="8"/>
        <v>0.25789320735667998</v>
      </c>
    </row>
    <row r="35" spans="1:11" x14ac:dyDescent="0.2">
      <c r="A35" s="107" t="s">
        <v>42</v>
      </c>
      <c r="B35" s="73">
        <f>C8</f>
        <v>1901.52</v>
      </c>
      <c r="C35" s="34">
        <v>3.5999999999999999E-3</v>
      </c>
      <c r="D35" s="22">
        <f>B35*C35</f>
        <v>6.845472</v>
      </c>
      <c r="E35" s="73">
        <f>B8</f>
        <v>1920.06</v>
      </c>
      <c r="F35" s="34">
        <v>3.5999999999999999E-3</v>
      </c>
      <c r="G35" s="22">
        <f>E35*F35</f>
        <v>6.9122159999999999</v>
      </c>
      <c r="H35" s="22">
        <f t="shared" si="1"/>
        <v>6.6743999999999915E-2</v>
      </c>
      <c r="I35" s="23">
        <f t="shared" si="2"/>
        <v>9.7500946611132015E-3</v>
      </c>
      <c r="J35" s="23">
        <f t="shared" si="7"/>
        <v>2.1881075741000587E-2</v>
      </c>
      <c r="K35" s="108">
        <f t="shared" si="8"/>
        <v>2.2452107229387799E-2</v>
      </c>
    </row>
    <row r="36" spans="1:11" x14ac:dyDescent="0.2">
      <c r="A36" s="107" t="s">
        <v>43</v>
      </c>
      <c r="B36" s="73">
        <f>C8</f>
        <v>1901.52</v>
      </c>
      <c r="C36" s="34">
        <v>2.0999999999999999E-3</v>
      </c>
      <c r="D36" s="22">
        <f>B36*C36</f>
        <v>3.9931919999999996</v>
      </c>
      <c r="E36" s="73">
        <f>B8</f>
        <v>1920.06</v>
      </c>
      <c r="F36" s="34">
        <v>2.0999999999999999E-3</v>
      </c>
      <c r="G36" s="22">
        <f>E36*F36</f>
        <v>4.0321259999999999</v>
      </c>
      <c r="H36" s="22">
        <f>G36-D36</f>
        <v>3.8934000000000246E-2</v>
      </c>
      <c r="I36" s="23">
        <f t="shared" si="2"/>
        <v>9.7500946611132778E-3</v>
      </c>
      <c r="J36" s="23">
        <f t="shared" si="7"/>
        <v>1.2763960848917009E-2</v>
      </c>
      <c r="K36" s="108">
        <f t="shared" si="8"/>
        <v>1.3097062550476216E-2</v>
      </c>
    </row>
    <row r="37" spans="1:11" x14ac:dyDescent="0.2">
      <c r="A37" s="107" t="s">
        <v>100</v>
      </c>
      <c r="B37" s="73">
        <f>C8</f>
        <v>1901.52</v>
      </c>
      <c r="C37" s="34">
        <v>1.1000000000000001E-3</v>
      </c>
      <c r="D37" s="22">
        <f>B37*C37</f>
        <v>2.091672</v>
      </c>
      <c r="E37" s="73">
        <f>B8</f>
        <v>1920.06</v>
      </c>
      <c r="F37" s="34">
        <v>1.1000000000000001E-3</v>
      </c>
      <c r="G37" s="22">
        <f>E37*F37</f>
        <v>2.112066</v>
      </c>
      <c r="H37" s="22">
        <f>G37-D37</f>
        <v>2.0394000000000023E-2</v>
      </c>
      <c r="I37" s="23">
        <f t="shared" si="2"/>
        <v>9.7500946611132257E-3</v>
      </c>
      <c r="J37" s="23">
        <f t="shared" si="7"/>
        <v>6.6858842541946233E-3</v>
      </c>
      <c r="K37" s="108">
        <f t="shared" si="8"/>
        <v>6.8603660978684942E-3</v>
      </c>
    </row>
    <row r="38" spans="1:11" x14ac:dyDescent="0.2">
      <c r="A38" s="107" t="s">
        <v>44</v>
      </c>
      <c r="B38" s="73">
        <v>1</v>
      </c>
      <c r="C38" s="22">
        <v>0.25</v>
      </c>
      <c r="D38" s="22">
        <f>B38*C38</f>
        <v>0.25</v>
      </c>
      <c r="E38" s="73">
        <f t="shared" si="0"/>
        <v>1</v>
      </c>
      <c r="F38" s="22">
        <f>C38</f>
        <v>0.25</v>
      </c>
      <c r="G38" s="22">
        <f>E38*F38</f>
        <v>0.25</v>
      </c>
      <c r="H38" s="22">
        <f t="shared" si="1"/>
        <v>0</v>
      </c>
      <c r="I38" s="23">
        <f t="shared" si="2"/>
        <v>0</v>
      </c>
      <c r="J38" s="23">
        <f t="shared" si="7"/>
        <v>7.9139149228700989E-4</v>
      </c>
      <c r="K38" s="108">
        <f t="shared" si="8"/>
        <v>8.1204447421014472E-4</v>
      </c>
    </row>
    <row r="39" spans="1:11" s="1" customFormat="1" x14ac:dyDescent="0.2">
      <c r="A39" s="110" t="s">
        <v>45</v>
      </c>
      <c r="B39" s="74"/>
      <c r="C39" s="35"/>
      <c r="D39" s="35">
        <f>SUM(D35:D38)</f>
        <v>13.180336</v>
      </c>
      <c r="E39" s="73"/>
      <c r="F39" s="35"/>
      <c r="G39" s="35">
        <f>SUM(G35:G38)</f>
        <v>13.306407999999999</v>
      </c>
      <c r="H39" s="35">
        <f t="shared" si="1"/>
        <v>0.12607199999999885</v>
      </c>
      <c r="I39" s="36">
        <f t="shared" si="2"/>
        <v>9.565158278210726E-3</v>
      </c>
      <c r="J39" s="36">
        <f t="shared" si="7"/>
        <v>4.212231233639923E-2</v>
      </c>
      <c r="K39" s="111">
        <f t="shared" si="8"/>
        <v>4.3221580351942651E-2</v>
      </c>
    </row>
    <row r="40" spans="1:11" s="1" customFormat="1" ht="13.5" thickBot="1" x14ac:dyDescent="0.25">
      <c r="A40" s="112" t="s">
        <v>46</v>
      </c>
      <c r="B40" s="113">
        <f>C4</f>
        <v>1800</v>
      </c>
      <c r="C40" s="205">
        <v>0</v>
      </c>
      <c r="D40" s="115">
        <f>B40*C40</f>
        <v>0</v>
      </c>
      <c r="E40" s="116">
        <f>B4</f>
        <v>1800</v>
      </c>
      <c r="F40" s="205">
        <f>C40</f>
        <v>0</v>
      </c>
      <c r="G40" s="115">
        <f>E40*F40</f>
        <v>0</v>
      </c>
      <c r="H40" s="115">
        <f t="shared" si="1"/>
        <v>0</v>
      </c>
      <c r="I40" s="117">
        <f t="shared" si="2"/>
        <v>0</v>
      </c>
      <c r="J40" s="117">
        <f t="shared" si="7"/>
        <v>0</v>
      </c>
      <c r="K40" s="118">
        <f t="shared" si="8"/>
        <v>0</v>
      </c>
    </row>
    <row r="41" spans="1:11" s="1" customFormat="1" x14ac:dyDescent="0.2">
      <c r="A41" s="37" t="s">
        <v>137</v>
      </c>
      <c r="B41" s="38"/>
      <c r="C41" s="39"/>
      <c r="D41" s="39">
        <f>SUM(D14,D24,D25,D26,D32,D39,D40)</f>
        <v>290.880064</v>
      </c>
      <c r="E41" s="38"/>
      <c r="F41" s="39"/>
      <c r="G41" s="39">
        <f>SUM(G14,G24,G25,G26,G32,G39,G40)</f>
        <v>300.85645399999993</v>
      </c>
      <c r="H41" s="39">
        <f t="shared" si="1"/>
        <v>9.9763899999999239</v>
      </c>
      <c r="I41" s="40">
        <f>IF(ISERROR(H41/D41),0,(H41/D41))</f>
        <v>3.4297262805882509E-2</v>
      </c>
      <c r="J41" s="40">
        <f t="shared" si="7"/>
        <v>0.95238095238095244</v>
      </c>
      <c r="K41" s="41"/>
    </row>
    <row r="42" spans="1:11" x14ac:dyDescent="0.2">
      <c r="A42" s="150" t="s">
        <v>138</v>
      </c>
      <c r="B42" s="43"/>
      <c r="C42" s="26">
        <v>0.13</v>
      </c>
      <c r="D42" s="26">
        <f>D41*C42</f>
        <v>37.814408320000005</v>
      </c>
      <c r="E42" s="26"/>
      <c r="F42" s="26">
        <f>C42</f>
        <v>0.13</v>
      </c>
      <c r="G42" s="26">
        <f>G41*F42</f>
        <v>39.111339019999996</v>
      </c>
      <c r="H42" s="26">
        <f t="shared" si="1"/>
        <v>1.2969306999999901</v>
      </c>
      <c r="I42" s="44">
        <f t="shared" si="2"/>
        <v>3.4297262805882502E-2</v>
      </c>
      <c r="J42" s="44">
        <f t="shared" si="7"/>
        <v>0.12380952380952383</v>
      </c>
      <c r="K42" s="45"/>
    </row>
    <row r="43" spans="1:11" s="1" customFormat="1" x14ac:dyDescent="0.2">
      <c r="A43" s="46" t="s">
        <v>139</v>
      </c>
      <c r="B43" s="24"/>
      <c r="C43" s="25"/>
      <c r="D43" s="25">
        <f>SUM(D41:D42)</f>
        <v>328.69447231999999</v>
      </c>
      <c r="E43" s="25"/>
      <c r="F43" s="25"/>
      <c r="G43" s="25">
        <f>SUM(G41:G42)</f>
        <v>339.96779301999993</v>
      </c>
      <c r="H43" s="25">
        <f t="shared" si="1"/>
        <v>11.273320699999942</v>
      </c>
      <c r="I43" s="27">
        <f t="shared" si="2"/>
        <v>3.4297262805882599E-2</v>
      </c>
      <c r="J43" s="27">
        <f t="shared" si="7"/>
        <v>1.0761904761904764</v>
      </c>
      <c r="K43" s="47"/>
    </row>
    <row r="44" spans="1:11" x14ac:dyDescent="0.2">
      <c r="A44" s="42" t="s">
        <v>140</v>
      </c>
      <c r="B44" s="43"/>
      <c r="C44" s="26">
        <v>-0.08</v>
      </c>
      <c r="D44" s="26">
        <f>D41*C44</f>
        <v>-23.270405119999999</v>
      </c>
      <c r="E44" s="26"/>
      <c r="F44" s="26">
        <f>C44</f>
        <v>-0.08</v>
      </c>
      <c r="G44" s="26">
        <f>G41*F44</f>
        <v>-24.068516319999993</v>
      </c>
      <c r="H44" s="26">
        <f t="shared" si="1"/>
        <v>-0.79811119999999391</v>
      </c>
      <c r="I44" s="44">
        <f t="shared" si="2"/>
        <v>3.4297262805882509E-2</v>
      </c>
      <c r="J44" s="44">
        <f t="shared" si="7"/>
        <v>-7.6190476190476183E-2</v>
      </c>
      <c r="K44" s="45"/>
    </row>
    <row r="45" spans="1:11" s="1" customFormat="1" ht="13.5" thickBot="1" x14ac:dyDescent="0.25">
      <c r="A45" s="48" t="s">
        <v>141</v>
      </c>
      <c r="B45" s="49"/>
      <c r="C45" s="50"/>
      <c r="D45" s="50">
        <f>SUM(D43:D44)</f>
        <v>305.42406719999997</v>
      </c>
      <c r="E45" s="50"/>
      <c r="F45" s="50"/>
      <c r="G45" s="50">
        <f>SUM(G43:G44)</f>
        <v>315.89927669999992</v>
      </c>
      <c r="H45" s="50">
        <f t="shared" si="1"/>
        <v>10.475209499999949</v>
      </c>
      <c r="I45" s="51">
        <f t="shared" si="2"/>
        <v>3.4297262805882606E-2</v>
      </c>
      <c r="J45" s="51">
        <f t="shared" si="7"/>
        <v>1</v>
      </c>
      <c r="K45" s="52"/>
    </row>
    <row r="46" spans="1:11" x14ac:dyDescent="0.2">
      <c r="A46" s="53" t="s">
        <v>142</v>
      </c>
      <c r="B46" s="54"/>
      <c r="C46" s="55"/>
      <c r="D46" s="55">
        <f>SUM(D18,D24,D25,D27,D32,D39,D40)</f>
        <v>283.4064568</v>
      </c>
      <c r="E46" s="55"/>
      <c r="F46" s="55"/>
      <c r="G46" s="55">
        <f>SUM(G18,G24,G25,G27,G32,G39,G40)</f>
        <v>293.20467739999998</v>
      </c>
      <c r="H46" s="55">
        <f>G46-D46</f>
        <v>9.7982205999999792</v>
      </c>
      <c r="I46" s="56">
        <f>IF(ISERROR(H46/D46),0,(H46/D46))</f>
        <v>3.4573032353015815E-2</v>
      </c>
      <c r="J46" s="56"/>
      <c r="K46" s="57">
        <f>G46/$G$50</f>
        <v>0.95238095238095233</v>
      </c>
    </row>
    <row r="47" spans="1:11" x14ac:dyDescent="0.2">
      <c r="A47" s="58" t="s">
        <v>138</v>
      </c>
      <c r="B47" s="59"/>
      <c r="C47" s="31">
        <v>0.13</v>
      </c>
      <c r="D47" s="31">
        <f>D46*C47</f>
        <v>36.842839384000001</v>
      </c>
      <c r="E47" s="31"/>
      <c r="F47" s="31">
        <f>C47</f>
        <v>0.13</v>
      </c>
      <c r="G47" s="31">
        <f>G46*F47</f>
        <v>38.116608061999997</v>
      </c>
      <c r="H47" s="31">
        <f>G47-D47</f>
        <v>1.2737686779999962</v>
      </c>
      <c r="I47" s="32">
        <f>IF(ISERROR(H47/D47),0,(H47/D47))</f>
        <v>3.4573032353015787E-2</v>
      </c>
      <c r="J47" s="32"/>
      <c r="K47" s="60">
        <f>G47/$G$50</f>
        <v>0.1238095238095238</v>
      </c>
    </row>
    <row r="48" spans="1:11" x14ac:dyDescent="0.2">
      <c r="A48" s="61" t="s">
        <v>143</v>
      </c>
      <c r="B48" s="29"/>
      <c r="C48" s="30"/>
      <c r="D48" s="30">
        <f>SUM(D46:D47)</f>
        <v>320.249296184</v>
      </c>
      <c r="E48" s="30"/>
      <c r="F48" s="30"/>
      <c r="G48" s="30">
        <f>SUM(G46:G47)</f>
        <v>331.32128546199999</v>
      </c>
      <c r="H48" s="30">
        <f>G48-D48</f>
        <v>11.07198927799999</v>
      </c>
      <c r="I48" s="33">
        <f>IF(ISERROR(H48/D48),0,(H48/D48))</f>
        <v>3.4573032353015856E-2</v>
      </c>
      <c r="J48" s="33"/>
      <c r="K48" s="62">
        <f>G48/$G$50</f>
        <v>1.0761904761904761</v>
      </c>
    </row>
    <row r="49" spans="1:11" x14ac:dyDescent="0.2">
      <c r="A49" s="58" t="s">
        <v>140</v>
      </c>
      <c r="B49" s="59"/>
      <c r="C49" s="31">
        <v>-0.08</v>
      </c>
      <c r="D49" s="31">
        <f>D46*C49</f>
        <v>-22.672516544</v>
      </c>
      <c r="E49" s="31"/>
      <c r="F49" s="31">
        <f>C49</f>
        <v>-0.08</v>
      </c>
      <c r="G49" s="31">
        <f>G46*F49</f>
        <v>-23.456374191999998</v>
      </c>
      <c r="H49" s="31">
        <f>G49-D49</f>
        <v>-0.78385764799999791</v>
      </c>
      <c r="I49" s="32">
        <f>IF(ISERROR(H49/D49),0,(H49/D49))</f>
        <v>3.4573032353015794E-2</v>
      </c>
      <c r="J49" s="32"/>
      <c r="K49" s="60">
        <f>G49/$G$50</f>
        <v>-7.6190476190476183E-2</v>
      </c>
    </row>
    <row r="50" spans="1:11" ht="13.5" thickBot="1" x14ac:dyDescent="0.25">
      <c r="A50" s="63" t="s">
        <v>144</v>
      </c>
      <c r="B50" s="64"/>
      <c r="C50" s="65"/>
      <c r="D50" s="65">
        <f>SUM(D48:D49)</f>
        <v>297.57677963999998</v>
      </c>
      <c r="E50" s="65"/>
      <c r="F50" s="65"/>
      <c r="G50" s="65">
        <f>SUM(G48:G49)</f>
        <v>307.86491126999999</v>
      </c>
      <c r="H50" s="65">
        <f>G50-D50</f>
        <v>10.288131630000009</v>
      </c>
      <c r="I50" s="66">
        <f>IF(ISERROR(H50/D50),0,(H50/D50))</f>
        <v>3.4573032353015926E-2</v>
      </c>
      <c r="J50" s="66"/>
      <c r="K50" s="67">
        <f>G50/$G$50</f>
        <v>1</v>
      </c>
    </row>
    <row r="51" spans="1:11" x14ac:dyDescent="0.2">
      <c r="C51" s="68"/>
      <c r="F51" s="69"/>
    </row>
    <row r="52" spans="1:11" x14ac:dyDescent="0.2">
      <c r="F52" s="69"/>
    </row>
    <row r="53" spans="1:11" x14ac:dyDescent="0.2">
      <c r="F53" s="69"/>
    </row>
    <row r="54" spans="1:11" x14ac:dyDescent="0.2">
      <c r="A54" s="70"/>
      <c r="B54" s="71"/>
      <c r="F54" s="69"/>
    </row>
    <row r="55" spans="1:11" x14ac:dyDescent="0.2">
      <c r="B55" s="71"/>
      <c r="F55" s="69"/>
    </row>
    <row r="56" spans="1:11" x14ac:dyDescent="0.2">
      <c r="F56" s="69"/>
    </row>
    <row r="57" spans="1:11" x14ac:dyDescent="0.2">
      <c r="D57" s="72"/>
      <c r="F57" s="69"/>
    </row>
    <row r="58" spans="1:11" x14ac:dyDescent="0.2">
      <c r="F58" s="69"/>
    </row>
    <row r="59" spans="1:11" x14ac:dyDescent="0.2">
      <c r="A59" s="70"/>
      <c r="B59" s="71"/>
      <c r="F59" s="69"/>
    </row>
    <row r="60" spans="1:11" x14ac:dyDescent="0.2">
      <c r="B60" s="72"/>
      <c r="D60" s="72"/>
      <c r="F60" s="69"/>
    </row>
    <row r="61" spans="1:11" x14ac:dyDescent="0.2">
      <c r="F61" s="69"/>
    </row>
    <row r="62" spans="1:11" x14ac:dyDescent="0.2">
      <c r="F62" s="69"/>
    </row>
    <row r="63" spans="1:11" x14ac:dyDescent="0.2">
      <c r="F63" s="69"/>
      <c r="K63"/>
    </row>
    <row r="64" spans="1:11" x14ac:dyDescent="0.2">
      <c r="F64" s="69"/>
      <c r="K64"/>
    </row>
    <row r="65" spans="6:11" x14ac:dyDescent="0.2">
      <c r="F65" s="69"/>
      <c r="K65"/>
    </row>
    <row r="66" spans="6:11" x14ac:dyDescent="0.2">
      <c r="F66" s="69"/>
      <c r="K66"/>
    </row>
    <row r="67" spans="6:11" x14ac:dyDescent="0.2">
      <c r="F67" s="69"/>
      <c r="K67"/>
    </row>
  </sheetData>
  <mergeCells count="1">
    <mergeCell ref="A1:K1"/>
  </mergeCell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Impacts'!$A$3:$A$21</xm:f>
          </x14:formula1>
          <xm:sqref>B3</xm:sqref>
        </x14:dataValidation>
      </x14:dataValidations>
    </ext>
  </extLst>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2">
    <pageSetUpPr fitToPage="1"/>
  </sheetPr>
  <dimension ref="A1:K67"/>
  <sheetViews>
    <sheetView topLeftCell="A22" workbookViewId="0">
      <selection activeCell="C19" sqref="C19"/>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48" t="s">
        <v>109</v>
      </c>
      <c r="B1" s="349"/>
      <c r="C1" s="349"/>
      <c r="D1" s="349"/>
      <c r="E1" s="349"/>
      <c r="F1" s="349"/>
      <c r="G1" s="349"/>
      <c r="H1" s="349"/>
      <c r="I1" s="349"/>
      <c r="J1" s="349"/>
      <c r="K1" s="350"/>
    </row>
    <row r="3" spans="1:11" x14ac:dyDescent="0.2">
      <c r="A3" s="13" t="s">
        <v>13</v>
      </c>
      <c r="B3" s="13" t="s">
        <v>180</v>
      </c>
      <c r="C3" s="13" t="s">
        <v>119</v>
      </c>
    </row>
    <row r="4" spans="1:11" x14ac:dyDescent="0.2">
      <c r="A4" s="15" t="s">
        <v>62</v>
      </c>
      <c r="B4" s="15">
        <v>400</v>
      </c>
      <c r="C4" s="15">
        <f>B4</f>
        <v>400</v>
      </c>
    </row>
    <row r="5" spans="1:11" x14ac:dyDescent="0.2">
      <c r="A5" s="15" t="s">
        <v>16</v>
      </c>
      <c r="B5" s="15">
        <f>VLOOKUP($B$3,'Data for Bill Impacts'!$A$3:$Y$39,5,0)</f>
        <v>0</v>
      </c>
      <c r="C5" s="15">
        <f>B5</f>
        <v>0</v>
      </c>
    </row>
    <row r="6" spans="1:11" x14ac:dyDescent="0.2">
      <c r="A6" s="15" t="s">
        <v>20</v>
      </c>
      <c r="B6" s="15">
        <f>VLOOKUP($B$3,'Data for Bill Impacts'!$A$3:$Y$39,2,0)</f>
        <v>1.0667</v>
      </c>
      <c r="C6" s="15">
        <f>VLOOKUP($C$3,'Data for Bill Impacts'!$A$3:$Y$39,2,0)</f>
        <v>1.0655000000000001</v>
      </c>
    </row>
    <row r="7" spans="1:11" x14ac:dyDescent="0.2">
      <c r="A7" s="15" t="s">
        <v>15</v>
      </c>
      <c r="B7" s="15">
        <f>VLOOKUP($B$3,'Data for Bill Impacts'!$A$3:$Y$39,4,0)</f>
        <v>600</v>
      </c>
      <c r="C7" s="15">
        <f>B7</f>
        <v>600</v>
      </c>
    </row>
    <row r="8" spans="1:11" x14ac:dyDescent="0.2">
      <c r="A8" s="15" t="s">
        <v>82</v>
      </c>
      <c r="B8" s="15">
        <f>B4*B6</f>
        <v>426.68</v>
      </c>
      <c r="C8" s="15">
        <f>C4*C6</f>
        <v>426.20000000000005</v>
      </c>
    </row>
    <row r="9" spans="1:11" x14ac:dyDescent="0.2">
      <c r="A9" s="15" t="s">
        <v>21</v>
      </c>
      <c r="B9" s="16" t="str">
        <f>VLOOKUP($B$3,'Data for Bill Impacts'!$A$3:$Y$39,6,0)</f>
        <v>kWh</v>
      </c>
      <c r="C9" s="16" t="str">
        <f>VLOOKUP($C$3,'Data for Bill Impacts'!$A$3:$Y$39,6,0)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400</v>
      </c>
      <c r="C12" s="103">
        <v>0.10299999999999999</v>
      </c>
      <c r="D12" s="104">
        <f>B12*C12</f>
        <v>41.199999999999996</v>
      </c>
      <c r="E12" s="102">
        <f>B12</f>
        <v>400</v>
      </c>
      <c r="F12" s="103">
        <f>C12</f>
        <v>0.10299999999999999</v>
      </c>
      <c r="G12" s="104">
        <f>E12*F12</f>
        <v>41.199999999999996</v>
      </c>
      <c r="H12" s="104">
        <f>G12-D12</f>
        <v>0</v>
      </c>
      <c r="I12" s="105">
        <f>IF(ISERROR(H12/D12),0,(H12/D12))</f>
        <v>0</v>
      </c>
      <c r="J12" s="105">
        <f>G12/$G$45</f>
        <v>0.41939425369162059</v>
      </c>
      <c r="K12" s="106"/>
    </row>
    <row r="13" spans="1:11" x14ac:dyDescent="0.2">
      <c r="A13" s="107" t="s">
        <v>32</v>
      </c>
      <c r="B13" s="73">
        <f>IF(B4&gt;B7,(B4)-B7,0)</f>
        <v>0</v>
      </c>
      <c r="C13" s="21">
        <v>0.121</v>
      </c>
      <c r="D13" s="22">
        <f>B13*C13</f>
        <v>0</v>
      </c>
      <c r="E13" s="73">
        <f t="shared" ref="E13:E38" si="0">B13</f>
        <v>0</v>
      </c>
      <c r="F13" s="21">
        <f>C13</f>
        <v>0.121</v>
      </c>
      <c r="G13" s="22">
        <f>E13*F13</f>
        <v>0</v>
      </c>
      <c r="H13" s="22">
        <f t="shared" ref="H13:H45" si="1">G13-D13</f>
        <v>0</v>
      </c>
      <c r="I13" s="23">
        <f t="shared" ref="I13:I45" si="2">IF(ISERROR(H13/D13),0,(H13/D13))</f>
        <v>0</v>
      </c>
      <c r="J13" s="23">
        <f>G13/$G$45</f>
        <v>0</v>
      </c>
      <c r="K13" s="108"/>
    </row>
    <row r="14" spans="1:11" s="1" customFormat="1" x14ac:dyDescent="0.2">
      <c r="A14" s="46" t="s">
        <v>33</v>
      </c>
      <c r="B14" s="24"/>
      <c r="C14" s="25"/>
      <c r="D14" s="25">
        <f>SUM(D12:D13)</f>
        <v>41.199999999999996</v>
      </c>
      <c r="E14" s="76"/>
      <c r="F14" s="25"/>
      <c r="G14" s="25">
        <f>SUM(G12:G13)</f>
        <v>41.199999999999996</v>
      </c>
      <c r="H14" s="25">
        <f t="shared" si="1"/>
        <v>0</v>
      </c>
      <c r="I14" s="27">
        <f t="shared" si="2"/>
        <v>0</v>
      </c>
      <c r="J14" s="27">
        <f>G14/$G$45</f>
        <v>0.41939425369162059</v>
      </c>
      <c r="K14" s="108"/>
    </row>
    <row r="15" spans="1:11" s="1" customFormat="1" x14ac:dyDescent="0.2">
      <c r="A15" s="109" t="s">
        <v>34</v>
      </c>
      <c r="B15" s="75">
        <f>B4*0.65</f>
        <v>260</v>
      </c>
      <c r="C15" s="28">
        <v>8.6999999999999994E-2</v>
      </c>
      <c r="D15" s="22">
        <f>B15*C15</f>
        <v>22.619999999999997</v>
      </c>
      <c r="E15" s="73">
        <f t="shared" ref="E15:F17" si="3">B15</f>
        <v>260</v>
      </c>
      <c r="F15" s="28">
        <f t="shared" si="3"/>
        <v>8.6999999999999994E-2</v>
      </c>
      <c r="G15" s="22">
        <f>E15*F15</f>
        <v>22.619999999999997</v>
      </c>
      <c r="H15" s="22">
        <f t="shared" si="1"/>
        <v>0</v>
      </c>
      <c r="I15" s="23">
        <f t="shared" si="2"/>
        <v>0</v>
      </c>
      <c r="J15" s="23"/>
      <c r="K15" s="108">
        <f t="shared" ref="K15:K25" si="4">G15/$G$50</f>
        <v>0.22177392893823641</v>
      </c>
    </row>
    <row r="16" spans="1:11" s="1" customFormat="1" x14ac:dyDescent="0.2">
      <c r="A16" s="109" t="s">
        <v>35</v>
      </c>
      <c r="B16" s="75">
        <f>B4*0.17</f>
        <v>68</v>
      </c>
      <c r="C16" s="28">
        <v>0.13200000000000001</v>
      </c>
      <c r="D16" s="22">
        <f>B16*C16</f>
        <v>8.9760000000000009</v>
      </c>
      <c r="E16" s="73">
        <f t="shared" si="3"/>
        <v>68</v>
      </c>
      <c r="F16" s="28">
        <f t="shared" si="3"/>
        <v>0.13200000000000001</v>
      </c>
      <c r="G16" s="22">
        <f>E16*F16</f>
        <v>8.9760000000000009</v>
      </c>
      <c r="H16" s="22">
        <f t="shared" si="1"/>
        <v>0</v>
      </c>
      <c r="I16" s="23">
        <f t="shared" si="2"/>
        <v>0</v>
      </c>
      <c r="J16" s="23"/>
      <c r="K16" s="108">
        <f t="shared" si="4"/>
        <v>8.8003659865146355E-2</v>
      </c>
    </row>
    <row r="17" spans="1:11" s="1" customFormat="1" x14ac:dyDescent="0.2">
      <c r="A17" s="109" t="s">
        <v>36</v>
      </c>
      <c r="B17" s="75">
        <f>B4*0.18</f>
        <v>72</v>
      </c>
      <c r="C17" s="28">
        <v>0.18</v>
      </c>
      <c r="D17" s="22">
        <f>B17*C17</f>
        <v>12.959999999999999</v>
      </c>
      <c r="E17" s="73">
        <f t="shared" si="3"/>
        <v>72</v>
      </c>
      <c r="F17" s="28">
        <f t="shared" si="3"/>
        <v>0.18</v>
      </c>
      <c r="G17" s="22">
        <f>E17*F17</f>
        <v>12.959999999999999</v>
      </c>
      <c r="H17" s="22">
        <f t="shared" si="1"/>
        <v>0</v>
      </c>
      <c r="I17" s="23">
        <f t="shared" si="2"/>
        <v>0</v>
      </c>
      <c r="J17" s="23"/>
      <c r="K17" s="108">
        <f t="shared" si="4"/>
        <v>0.12706410782668187</v>
      </c>
    </row>
    <row r="18" spans="1:11" s="1" customFormat="1" x14ac:dyDescent="0.2">
      <c r="A18" s="61" t="s">
        <v>37</v>
      </c>
      <c r="B18" s="29"/>
      <c r="C18" s="30"/>
      <c r="D18" s="30">
        <f>SUM(D15:D17)</f>
        <v>44.555999999999997</v>
      </c>
      <c r="E18" s="77"/>
      <c r="F18" s="30"/>
      <c r="G18" s="30">
        <f>SUM(G15:G17)</f>
        <v>44.555999999999997</v>
      </c>
      <c r="H18" s="31">
        <f t="shared" si="1"/>
        <v>0</v>
      </c>
      <c r="I18" s="32">
        <f t="shared" si="2"/>
        <v>0</v>
      </c>
      <c r="J18" s="33">
        <f>G18/$G$45</f>
        <v>0.45355656231756913</v>
      </c>
      <c r="K18" s="62">
        <f t="shared" si="4"/>
        <v>0.43684169663006467</v>
      </c>
    </row>
    <row r="19" spans="1:11" x14ac:dyDescent="0.2">
      <c r="A19" s="107" t="s">
        <v>38</v>
      </c>
      <c r="B19" s="73">
        <v>1</v>
      </c>
      <c r="C19" s="122">
        <f>VLOOKUP($C$3,'Data for Bill Impacts'!$A$3:$Y$39,7,0)</f>
        <v>35.619999999999997</v>
      </c>
      <c r="D19" s="22">
        <f>B19*C19</f>
        <v>35.619999999999997</v>
      </c>
      <c r="E19" s="73">
        <f t="shared" si="0"/>
        <v>1</v>
      </c>
      <c r="F19" s="122">
        <f>VLOOKUP($B$3,'Data for Bill Impacts'!$A$3:$Y$39,17,0)</f>
        <v>40.08</v>
      </c>
      <c r="G19" s="22">
        <f>E19*F19</f>
        <v>40.08</v>
      </c>
      <c r="H19" s="22">
        <f t="shared" si="1"/>
        <v>4.4600000000000009</v>
      </c>
      <c r="I19" s="23">
        <f t="shared" si="2"/>
        <v>0.12521055586749022</v>
      </c>
      <c r="J19" s="23">
        <f>G19/$G$45</f>
        <v>0.40799324485340177</v>
      </c>
      <c r="K19" s="108">
        <f t="shared" si="4"/>
        <v>0.39295751864918288</v>
      </c>
    </row>
    <row r="20" spans="1:11" x14ac:dyDescent="0.2">
      <c r="A20" s="107" t="s">
        <v>188</v>
      </c>
      <c r="B20" s="73">
        <v>1</v>
      </c>
      <c r="C20" s="122">
        <f>'Data for Bill Impacts'!K28</f>
        <v>-0.36</v>
      </c>
      <c r="D20" s="22">
        <f>B20*C20</f>
        <v>-0.36</v>
      </c>
      <c r="E20" s="73">
        <f t="shared" si="0"/>
        <v>1</v>
      </c>
      <c r="F20" s="122">
        <v>0</v>
      </c>
      <c r="G20" s="22">
        <f t="shared" ref="G20" si="5">E20*F20</f>
        <v>0</v>
      </c>
      <c r="H20" s="22">
        <f t="shared" si="1"/>
        <v>0.36</v>
      </c>
      <c r="I20" s="23">
        <f t="shared" si="2"/>
        <v>-1</v>
      </c>
      <c r="J20" s="23">
        <f>G20/$G$45</f>
        <v>0</v>
      </c>
      <c r="K20" s="108">
        <f t="shared" si="4"/>
        <v>0</v>
      </c>
    </row>
    <row r="21" spans="1:11" x14ac:dyDescent="0.2">
      <c r="A21" s="107" t="s">
        <v>39</v>
      </c>
      <c r="B21" s="73">
        <f>IF($C$9="kWh",$C$4,$C$5)</f>
        <v>400</v>
      </c>
      <c r="C21" s="126">
        <f>VLOOKUP($C$3,'Data for Bill Impacts'!$A$3:$Y$39,10,0)</f>
        <v>0</v>
      </c>
      <c r="D21" s="22">
        <f>B21*C21</f>
        <v>0</v>
      </c>
      <c r="E21" s="73">
        <f t="shared" si="0"/>
        <v>400</v>
      </c>
      <c r="F21" s="126">
        <v>0</v>
      </c>
      <c r="G21" s="22">
        <f>E21*F21</f>
        <v>0</v>
      </c>
      <c r="H21" s="22">
        <f t="shared" si="1"/>
        <v>0</v>
      </c>
      <c r="I21" s="23">
        <f t="shared" si="2"/>
        <v>0</v>
      </c>
      <c r="J21" s="23">
        <f>G21/$G$45</f>
        <v>0</v>
      </c>
      <c r="K21" s="108">
        <f t="shared" si="4"/>
        <v>0</v>
      </c>
    </row>
    <row r="22" spans="1:11" x14ac:dyDescent="0.2">
      <c r="A22" s="107" t="s">
        <v>189</v>
      </c>
      <c r="B22" s="73">
        <f>IF($B$9="kWh",$B$4,$B$5)</f>
        <v>400</v>
      </c>
      <c r="C22" s="78">
        <f>'Data for Bill Impacts'!H28</f>
        <v>4.0000000000000002E-4</v>
      </c>
      <c r="D22" s="22">
        <f>B22*C22</f>
        <v>0.16</v>
      </c>
      <c r="E22" s="73">
        <f t="shared" si="0"/>
        <v>400</v>
      </c>
      <c r="F22" s="126">
        <v>0</v>
      </c>
      <c r="G22" s="22">
        <f>E22*F22</f>
        <v>0</v>
      </c>
      <c r="H22" s="22">
        <f t="shared" si="1"/>
        <v>-0.16</v>
      </c>
      <c r="I22" s="23">
        <f>IF(ISERROR(H22/D22),0,(H22/D22))</f>
        <v>-1</v>
      </c>
      <c r="J22" s="23">
        <f>G22/$G$45</f>
        <v>0</v>
      </c>
      <c r="K22" s="108">
        <f t="shared" si="4"/>
        <v>0</v>
      </c>
    </row>
    <row r="23" spans="1:11" x14ac:dyDescent="0.2">
      <c r="A23" s="107" t="s">
        <v>190</v>
      </c>
      <c r="B23" s="73">
        <f>IF($C$9="kWh",$C$4,$C$5)</f>
        <v>400</v>
      </c>
      <c r="C23" s="126">
        <f>'Data for Bill Impacts'!L28</f>
        <v>0</v>
      </c>
      <c r="D23" s="22">
        <f>B23*C23</f>
        <v>0</v>
      </c>
      <c r="E23" s="73">
        <f t="shared" si="0"/>
        <v>400</v>
      </c>
      <c r="F23" s="126">
        <v>0</v>
      </c>
      <c r="G23" s="22">
        <f>E23*F23</f>
        <v>0</v>
      </c>
      <c r="H23" s="22">
        <f t="shared" si="1"/>
        <v>0</v>
      </c>
      <c r="I23" s="23">
        <f>IF(ISERROR(H23/D23),0,(H23/D23))</f>
        <v>0</v>
      </c>
      <c r="J23" s="23">
        <f t="shared" ref="J23" si="6">G23/$G$45</f>
        <v>0</v>
      </c>
      <c r="K23" s="108">
        <f t="shared" si="4"/>
        <v>0</v>
      </c>
    </row>
    <row r="24" spans="1:11" s="1" customFormat="1" x14ac:dyDescent="0.2">
      <c r="A24" s="110" t="s">
        <v>72</v>
      </c>
      <c r="B24" s="74"/>
      <c r="C24" s="35"/>
      <c r="D24" s="35">
        <f>SUM(D19:D23)</f>
        <v>35.419999999999995</v>
      </c>
      <c r="E24" s="73"/>
      <c r="F24" s="35"/>
      <c r="G24" s="35">
        <f>SUM(G19:G23)</f>
        <v>40.08</v>
      </c>
      <c r="H24" s="35">
        <f t="shared" si="1"/>
        <v>4.6600000000000037</v>
      </c>
      <c r="I24" s="36">
        <f t="shared" si="2"/>
        <v>0.13156408808582734</v>
      </c>
      <c r="J24" s="36">
        <f>G24/$G$45</f>
        <v>0.40799324485340177</v>
      </c>
      <c r="K24" s="111">
        <f t="shared" si="4"/>
        <v>0.39295751864918288</v>
      </c>
    </row>
    <row r="25" spans="1:11" s="1" customFormat="1" x14ac:dyDescent="0.2">
      <c r="A25" s="119" t="s">
        <v>73</v>
      </c>
      <c r="B25" s="120">
        <v>1</v>
      </c>
      <c r="C25" s="78">
        <f>VLOOKUP($C$3,'Data for Bill Impacts'!$A$3:$Y$39,9,0)</f>
        <v>0.79</v>
      </c>
      <c r="D25" s="22">
        <f>B25*C25</f>
        <v>0.79</v>
      </c>
      <c r="E25" s="73">
        <v>1</v>
      </c>
      <c r="F25" s="78">
        <f>VLOOKUP($B$3,'Data for Bill Impacts'!$A$3:$Y$39,18,0)</f>
        <v>0.79</v>
      </c>
      <c r="G25" s="22">
        <f>E25*F25</f>
        <v>0.79</v>
      </c>
      <c r="H25" s="22">
        <f t="shared" si="1"/>
        <v>0</v>
      </c>
      <c r="I25" s="23">
        <f>IF(ISERROR(H25/D25),0,(H25/D25))</f>
        <v>0</v>
      </c>
      <c r="J25" s="23">
        <f>G25/$G$45</f>
        <v>8.0417830198150561E-3</v>
      </c>
      <c r="K25" s="108">
        <f t="shared" si="4"/>
        <v>7.7454201530153316E-3</v>
      </c>
    </row>
    <row r="26" spans="1:11" s="1" customFormat="1" x14ac:dyDescent="0.2">
      <c r="A26" s="119" t="s">
        <v>75</v>
      </c>
      <c r="B26" s="120">
        <f>C8-C4</f>
        <v>26.200000000000045</v>
      </c>
      <c r="C26" s="121">
        <f>IF(C4&gt;C7,C13,C12)</f>
        <v>0.10299999999999999</v>
      </c>
      <c r="D26" s="22">
        <f>B26*C26</f>
        <v>2.6986000000000043</v>
      </c>
      <c r="E26" s="73">
        <f>B8-B4</f>
        <v>26.680000000000007</v>
      </c>
      <c r="F26" s="121">
        <f>IF(B4&gt;C7,F13,F12)</f>
        <v>0.10299999999999999</v>
      </c>
      <c r="G26" s="22">
        <f>E26*F26</f>
        <v>2.7480400000000005</v>
      </c>
      <c r="H26" s="22">
        <f t="shared" si="1"/>
        <v>4.9439999999996154E-2</v>
      </c>
      <c r="I26" s="23">
        <f>IF(ISERROR(H26/D26),0,(H26/D26))</f>
        <v>1.8320610687021448E-2</v>
      </c>
      <c r="J26" s="23">
        <f t="shared" ref="J26:J45" si="7">G26/$G$45</f>
        <v>2.7973596721231099E-2</v>
      </c>
      <c r="K26" s="108">
        <f t="shared" ref="K26:K40" si="8">G26/$G$50</f>
        <v>2.6942689110496524E-2</v>
      </c>
    </row>
    <row r="27" spans="1:11" s="1" customFormat="1" x14ac:dyDescent="0.2">
      <c r="A27" s="119" t="s">
        <v>74</v>
      </c>
      <c r="B27" s="120">
        <f>C8-C4</f>
        <v>26.200000000000045</v>
      </c>
      <c r="C27" s="121">
        <f>0.65*C15+0.17*C16+0.18*C17</f>
        <v>0.11139</v>
      </c>
      <c r="D27" s="22">
        <f>B27*C27</f>
        <v>2.9184180000000053</v>
      </c>
      <c r="E27" s="73">
        <f>B8-B4</f>
        <v>26.680000000000007</v>
      </c>
      <c r="F27" s="121">
        <f>0.65*F15+0.17*F16+0.18*F17</f>
        <v>0.11139</v>
      </c>
      <c r="G27" s="22">
        <f>E27*F27</f>
        <v>2.9718852000000009</v>
      </c>
      <c r="H27" s="22">
        <f t="shared" si="1"/>
        <v>5.3467199999995607E-2</v>
      </c>
      <c r="I27" s="23">
        <f>IF(ISERROR(H27/D27),0,(H27/D27))</f>
        <v>1.8320610687021361E-2</v>
      </c>
      <c r="J27" s="23">
        <f t="shared" si="7"/>
        <v>3.0252222706581872E-2</v>
      </c>
      <c r="K27" s="108">
        <f t="shared" si="8"/>
        <v>2.9137341165225324E-2</v>
      </c>
    </row>
    <row r="28" spans="1:11" s="1" customFormat="1" x14ac:dyDescent="0.2">
      <c r="A28" s="110" t="s">
        <v>78</v>
      </c>
      <c r="B28" s="74"/>
      <c r="C28" s="35"/>
      <c r="D28" s="35">
        <f>SUM(D24,D25:D26)</f>
        <v>38.9086</v>
      </c>
      <c r="E28" s="73"/>
      <c r="F28" s="35"/>
      <c r="G28" s="35">
        <f>SUM(G24,G25:G26)</f>
        <v>43.618040000000001</v>
      </c>
      <c r="H28" s="35">
        <f t="shared" si="1"/>
        <v>4.7094400000000007</v>
      </c>
      <c r="I28" s="36">
        <f>IF(ISERROR(H28/D28),0,(H28/D28))</f>
        <v>0.12103853646751619</v>
      </c>
      <c r="J28" s="36">
        <f t="shared" si="7"/>
        <v>0.44400862459444795</v>
      </c>
      <c r="K28" s="111">
        <f t="shared" si="8"/>
        <v>0.42764562791269473</v>
      </c>
    </row>
    <row r="29" spans="1:11" s="1" customFormat="1" x14ac:dyDescent="0.2">
      <c r="A29" s="110" t="s">
        <v>77</v>
      </c>
      <c r="B29" s="74"/>
      <c r="C29" s="35"/>
      <c r="D29" s="35">
        <f>SUM(D24,D25,D27)</f>
        <v>39.128417999999996</v>
      </c>
      <c r="E29" s="73"/>
      <c r="F29" s="35"/>
      <c r="G29" s="35">
        <f>SUM(G24,G25,G27)</f>
        <v>43.8418852</v>
      </c>
      <c r="H29" s="35">
        <f t="shared" si="1"/>
        <v>4.7134672000000037</v>
      </c>
      <c r="I29" s="36">
        <f>IF(ISERROR(H29/D29),0,(H29/D29))</f>
        <v>0.12046148147364415</v>
      </c>
      <c r="J29" s="36">
        <f t="shared" si="7"/>
        <v>0.44628725057979873</v>
      </c>
      <c r="K29" s="111">
        <f t="shared" si="8"/>
        <v>0.42984027996742352</v>
      </c>
    </row>
    <row r="30" spans="1:11" x14ac:dyDescent="0.2">
      <c r="A30" s="107" t="s">
        <v>40</v>
      </c>
      <c r="B30" s="73">
        <f>C8</f>
        <v>426.20000000000005</v>
      </c>
      <c r="C30" s="126">
        <f>VLOOKUP($C$3,'Data for Bill Impacts'!$A$3:$Y$39,15,0)</f>
        <v>6.5444567943617011E-3</v>
      </c>
      <c r="D30" s="22">
        <f>B30*C30</f>
        <v>2.7892474857569574</v>
      </c>
      <c r="E30" s="73">
        <f>B8</f>
        <v>426.68</v>
      </c>
      <c r="F30" s="78">
        <f>VLOOKUP($B$3,'Data for Bill Impacts'!$A$3:$Y$39,24,0)</f>
        <v>7.1000000000000004E-3</v>
      </c>
      <c r="G30" s="22">
        <f>E30*F30</f>
        <v>3.0294280000000002</v>
      </c>
      <c r="H30" s="22">
        <f t="shared" si="1"/>
        <v>0.24018051424304288</v>
      </c>
      <c r="I30" s="23">
        <f t="shared" si="2"/>
        <v>8.6109431116995955E-2</v>
      </c>
      <c r="J30" s="23">
        <f t="shared" si="7"/>
        <v>3.083797803816745E-2</v>
      </c>
      <c r="K30" s="108">
        <f t="shared" si="8"/>
        <v>2.9701509725707505E-2</v>
      </c>
    </row>
    <row r="31" spans="1:11" x14ac:dyDescent="0.2">
      <c r="A31" s="107" t="s">
        <v>41</v>
      </c>
      <c r="B31" s="73">
        <f>C8</f>
        <v>426.20000000000005</v>
      </c>
      <c r="C31" s="126">
        <f>VLOOKUP($C$3,'Data for Bill Impacts'!$A$3:$Y$39,16,0)</f>
        <v>5.4157299366720292E-3</v>
      </c>
      <c r="D31" s="22">
        <f>B31*C31</f>
        <v>2.308184099009619</v>
      </c>
      <c r="E31" s="73">
        <f>B8</f>
        <v>426.68</v>
      </c>
      <c r="F31" s="78">
        <f>VLOOKUP($B$3,'Data for Bill Impacts'!$A$3:$Y$39,25,0)</f>
        <v>6.0000000000000001E-3</v>
      </c>
      <c r="G31" s="22">
        <f>E31*F31</f>
        <v>2.5600800000000001</v>
      </c>
      <c r="H31" s="22">
        <f t="shared" si="1"/>
        <v>0.25189590099038117</v>
      </c>
      <c r="I31" s="23">
        <f t="shared" si="2"/>
        <v>0.10913163343359963</v>
      </c>
      <c r="J31" s="23">
        <f t="shared" si="7"/>
        <v>2.6060263130845734E-2</v>
      </c>
      <c r="K31" s="108">
        <f t="shared" si="8"/>
        <v>2.5099867373837331E-2</v>
      </c>
    </row>
    <row r="32" spans="1:11" s="1" customFormat="1" x14ac:dyDescent="0.2">
      <c r="A32" s="110" t="s">
        <v>76</v>
      </c>
      <c r="B32" s="74"/>
      <c r="C32" s="35"/>
      <c r="D32" s="35">
        <f>SUM(D30:D31)</f>
        <v>5.0974315847665768</v>
      </c>
      <c r="E32" s="73"/>
      <c r="F32" s="35"/>
      <c r="G32" s="35">
        <f>SUM(G30:G31)</f>
        <v>5.5895080000000004</v>
      </c>
      <c r="H32" s="35">
        <f t="shared" si="1"/>
        <v>0.4920764152334236</v>
      </c>
      <c r="I32" s="36">
        <f t="shared" si="2"/>
        <v>9.6534187276582528E-2</v>
      </c>
      <c r="J32" s="36">
        <f t="shared" si="7"/>
        <v>5.6898241169013181E-2</v>
      </c>
      <c r="K32" s="111">
        <f t="shared" si="8"/>
        <v>5.4801377099544836E-2</v>
      </c>
    </row>
    <row r="33" spans="1:11" s="1" customFormat="1" x14ac:dyDescent="0.2">
      <c r="A33" s="110" t="s">
        <v>95</v>
      </c>
      <c r="B33" s="74"/>
      <c r="C33" s="35"/>
      <c r="D33" s="35">
        <f>D28+D32</f>
        <v>44.006031584766575</v>
      </c>
      <c r="E33" s="73"/>
      <c r="F33" s="35"/>
      <c r="G33" s="35">
        <f>G28+G32</f>
        <v>49.207548000000003</v>
      </c>
      <c r="H33" s="35">
        <f t="shared" si="1"/>
        <v>5.2015164152334279</v>
      </c>
      <c r="I33" s="36">
        <f t="shared" si="2"/>
        <v>0.11820007912356315</v>
      </c>
      <c r="J33" s="36">
        <f t="shared" si="7"/>
        <v>0.50090686576346122</v>
      </c>
      <c r="K33" s="111">
        <f t="shared" si="8"/>
        <v>0.48244700501223958</v>
      </c>
    </row>
    <row r="34" spans="1:11" s="1" customFormat="1" x14ac:dyDescent="0.2">
      <c r="A34" s="110" t="s">
        <v>96</v>
      </c>
      <c r="B34" s="74"/>
      <c r="C34" s="35"/>
      <c r="D34" s="35">
        <f>D29+D32</f>
        <v>44.225849584766571</v>
      </c>
      <c r="E34" s="73"/>
      <c r="F34" s="35"/>
      <c r="G34" s="35">
        <f>G29+G32</f>
        <v>49.431393200000002</v>
      </c>
      <c r="H34" s="35">
        <f t="shared" si="1"/>
        <v>5.2055436152334309</v>
      </c>
      <c r="I34" s="36">
        <f t="shared" si="2"/>
        <v>0.11770364309805054</v>
      </c>
      <c r="J34" s="36">
        <f t="shared" si="7"/>
        <v>0.50318549174881189</v>
      </c>
      <c r="K34" s="111">
        <f t="shared" si="8"/>
        <v>0.48464165706696838</v>
      </c>
    </row>
    <row r="35" spans="1:11" x14ac:dyDescent="0.2">
      <c r="A35" s="107" t="s">
        <v>42</v>
      </c>
      <c r="B35" s="73">
        <f>C8</f>
        <v>426.20000000000005</v>
      </c>
      <c r="C35" s="34">
        <v>3.5999999999999999E-3</v>
      </c>
      <c r="D35" s="22">
        <f>B35*C35</f>
        <v>1.5343200000000001</v>
      </c>
      <c r="E35" s="73">
        <f>B8</f>
        <v>426.68</v>
      </c>
      <c r="F35" s="34">
        <v>3.5999999999999999E-3</v>
      </c>
      <c r="G35" s="22">
        <f>E35*F35</f>
        <v>1.5360480000000001</v>
      </c>
      <c r="H35" s="22">
        <f t="shared" si="1"/>
        <v>1.7279999999999518E-3</v>
      </c>
      <c r="I35" s="23">
        <f t="shared" si="2"/>
        <v>1.1262318160487718E-3</v>
      </c>
      <c r="J35" s="23">
        <f t="shared" si="7"/>
        <v>1.5636157878507438E-2</v>
      </c>
      <c r="K35" s="108">
        <f t="shared" si="8"/>
        <v>1.5059920424302398E-2</v>
      </c>
    </row>
    <row r="36" spans="1:11" x14ac:dyDescent="0.2">
      <c r="A36" s="107" t="s">
        <v>43</v>
      </c>
      <c r="B36" s="73">
        <f>C8</f>
        <v>426.20000000000005</v>
      </c>
      <c r="C36" s="34">
        <v>2.0999999999999999E-3</v>
      </c>
      <c r="D36" s="22">
        <f>B36*C36</f>
        <v>0.89502000000000004</v>
      </c>
      <c r="E36" s="73">
        <f>B8</f>
        <v>426.68</v>
      </c>
      <c r="F36" s="34">
        <v>2.0999999999999999E-3</v>
      </c>
      <c r="G36" s="22">
        <f>E36*F36</f>
        <v>0.89602799999999994</v>
      </c>
      <c r="H36" s="22">
        <f>G36-D36</f>
        <v>1.0079999999998979E-3</v>
      </c>
      <c r="I36" s="23">
        <f t="shared" si="2"/>
        <v>1.1262318160486892E-3</v>
      </c>
      <c r="J36" s="23">
        <f t="shared" si="7"/>
        <v>9.1210920957960056E-3</v>
      </c>
      <c r="K36" s="108">
        <f t="shared" si="8"/>
        <v>8.7849535808430645E-3</v>
      </c>
    </row>
    <row r="37" spans="1:11" x14ac:dyDescent="0.2">
      <c r="A37" s="107" t="s">
        <v>100</v>
      </c>
      <c r="B37" s="73">
        <f>C8</f>
        <v>426.20000000000005</v>
      </c>
      <c r="C37" s="34">
        <v>1.1000000000000001E-3</v>
      </c>
      <c r="D37" s="22">
        <f>B37*C37</f>
        <v>0.46882000000000007</v>
      </c>
      <c r="E37" s="73">
        <f>B8</f>
        <v>426.68</v>
      </c>
      <c r="F37" s="34">
        <v>1.1000000000000001E-3</v>
      </c>
      <c r="G37" s="22">
        <f>E37*F37</f>
        <v>0.46934800000000004</v>
      </c>
      <c r="H37" s="22">
        <f>G37-D37</f>
        <v>5.2799999999997294E-4</v>
      </c>
      <c r="I37" s="23">
        <f t="shared" si="2"/>
        <v>1.1262318160487454E-3</v>
      </c>
      <c r="J37" s="23">
        <f t="shared" si="7"/>
        <v>4.7777149073217175E-3</v>
      </c>
      <c r="K37" s="108">
        <f t="shared" si="8"/>
        <v>4.6016423518701775E-3</v>
      </c>
    </row>
    <row r="38" spans="1:11" x14ac:dyDescent="0.2">
      <c r="A38" s="107" t="s">
        <v>44</v>
      </c>
      <c r="B38" s="73">
        <v>1</v>
      </c>
      <c r="C38" s="22">
        <v>0.25</v>
      </c>
      <c r="D38" s="22">
        <f>B38*C38</f>
        <v>0.25</v>
      </c>
      <c r="E38" s="73">
        <f t="shared" si="0"/>
        <v>1</v>
      </c>
      <c r="F38" s="22">
        <f>C38</f>
        <v>0.25</v>
      </c>
      <c r="G38" s="22">
        <f>E38*F38</f>
        <v>0.25</v>
      </c>
      <c r="H38" s="22">
        <f t="shared" si="1"/>
        <v>0</v>
      </c>
      <c r="I38" s="23">
        <f t="shared" si="2"/>
        <v>0</v>
      </c>
      <c r="J38" s="23">
        <f t="shared" si="7"/>
        <v>2.5448680442452707E-3</v>
      </c>
      <c r="K38" s="108">
        <f t="shared" si="8"/>
        <v>2.4510823269035856E-3</v>
      </c>
    </row>
    <row r="39" spans="1:11" s="1" customFormat="1" x14ac:dyDescent="0.2">
      <c r="A39" s="110" t="s">
        <v>45</v>
      </c>
      <c r="B39" s="74"/>
      <c r="C39" s="35"/>
      <c r="D39" s="35">
        <f>SUM(D35:D38)</f>
        <v>3.1481600000000003</v>
      </c>
      <c r="E39" s="73"/>
      <c r="F39" s="35"/>
      <c r="G39" s="35">
        <f>SUM(G35:G38)</f>
        <v>3.151424</v>
      </c>
      <c r="H39" s="35">
        <f t="shared" si="1"/>
        <v>3.2639999999997116E-3</v>
      </c>
      <c r="I39" s="36">
        <f t="shared" si="2"/>
        <v>1.036796096767544E-3</v>
      </c>
      <c r="J39" s="36">
        <f t="shared" si="7"/>
        <v>3.2079832925870432E-2</v>
      </c>
      <c r="K39" s="111">
        <f t="shared" si="8"/>
        <v>3.0897598683919225E-2</v>
      </c>
    </row>
    <row r="40" spans="1:11" s="1" customFormat="1" ht="13.5" thickBot="1" x14ac:dyDescent="0.25">
      <c r="A40" s="112" t="s">
        <v>46</v>
      </c>
      <c r="B40" s="113">
        <f>C4</f>
        <v>400</v>
      </c>
      <c r="C40" s="205">
        <v>0</v>
      </c>
      <c r="D40" s="115">
        <f>B40*C40</f>
        <v>0</v>
      </c>
      <c r="E40" s="116">
        <f>B4</f>
        <v>400</v>
      </c>
      <c r="F40" s="205">
        <f>C40</f>
        <v>0</v>
      </c>
      <c r="G40" s="115">
        <f>E40*F40</f>
        <v>0</v>
      </c>
      <c r="H40" s="115">
        <f t="shared" si="1"/>
        <v>0</v>
      </c>
      <c r="I40" s="117">
        <f t="shared" si="2"/>
        <v>0</v>
      </c>
      <c r="J40" s="117">
        <f t="shared" si="7"/>
        <v>0</v>
      </c>
      <c r="K40" s="118">
        <f t="shared" si="8"/>
        <v>0</v>
      </c>
    </row>
    <row r="41" spans="1:11" s="1" customFormat="1" x14ac:dyDescent="0.2">
      <c r="A41" s="37" t="s">
        <v>137</v>
      </c>
      <c r="B41" s="38"/>
      <c r="C41" s="39"/>
      <c r="D41" s="39">
        <f>SUM(D14,D24,D25,D26,D32,D39,D40)</f>
        <v>88.354191584766582</v>
      </c>
      <c r="E41" s="38"/>
      <c r="F41" s="39"/>
      <c r="G41" s="39">
        <f>SUM(G14,G24,G25,G26,G32,G39,G40)</f>
        <v>93.558972000000011</v>
      </c>
      <c r="H41" s="39">
        <f t="shared" si="1"/>
        <v>5.2047804152334294</v>
      </c>
      <c r="I41" s="40">
        <f>IF(ISERROR(H41/D41),0,(H41/D41))</f>
        <v>5.8908132391658957E-2</v>
      </c>
      <c r="J41" s="40">
        <f t="shared" si="7"/>
        <v>0.95238095238095233</v>
      </c>
      <c r="K41" s="41"/>
    </row>
    <row r="42" spans="1:11" x14ac:dyDescent="0.2">
      <c r="A42" s="150" t="s">
        <v>138</v>
      </c>
      <c r="B42" s="43"/>
      <c r="C42" s="26">
        <v>0.13</v>
      </c>
      <c r="D42" s="26">
        <f>D41*C42</f>
        <v>11.486044906019655</v>
      </c>
      <c r="E42" s="26"/>
      <c r="F42" s="26">
        <f>C42</f>
        <v>0.13</v>
      </c>
      <c r="G42" s="26">
        <f>G41*F42</f>
        <v>12.162666360000001</v>
      </c>
      <c r="H42" s="26">
        <f t="shared" si="1"/>
        <v>0.67662145398034568</v>
      </c>
      <c r="I42" s="44">
        <f t="shared" si="2"/>
        <v>5.8908132391658943E-2</v>
      </c>
      <c r="J42" s="44">
        <f t="shared" si="7"/>
        <v>0.1238095238095238</v>
      </c>
      <c r="K42" s="45"/>
    </row>
    <row r="43" spans="1:11" s="1" customFormat="1" x14ac:dyDescent="0.2">
      <c r="A43" s="46" t="s">
        <v>139</v>
      </c>
      <c r="B43" s="24"/>
      <c r="C43" s="25"/>
      <c r="D43" s="25">
        <f>SUM(D41:D42)</f>
        <v>99.840236490786239</v>
      </c>
      <c r="E43" s="25"/>
      <c r="F43" s="25"/>
      <c r="G43" s="25">
        <f>SUM(G41:G42)</f>
        <v>105.72163836000001</v>
      </c>
      <c r="H43" s="25">
        <f t="shared" si="1"/>
        <v>5.8814018692137751</v>
      </c>
      <c r="I43" s="27">
        <f t="shared" si="2"/>
        <v>5.890813239165895E-2</v>
      </c>
      <c r="J43" s="27">
        <f t="shared" si="7"/>
        <v>1.0761904761904761</v>
      </c>
      <c r="K43" s="47"/>
    </row>
    <row r="44" spans="1:11" x14ac:dyDescent="0.2">
      <c r="A44" s="42" t="s">
        <v>140</v>
      </c>
      <c r="B44" s="43"/>
      <c r="C44" s="26">
        <v>-0.08</v>
      </c>
      <c r="D44" s="26">
        <f>D41*C44</f>
        <v>-7.0683353267813267</v>
      </c>
      <c r="E44" s="26"/>
      <c r="F44" s="26">
        <f>C44</f>
        <v>-0.08</v>
      </c>
      <c r="G44" s="26">
        <f>G41*F44</f>
        <v>-7.4847177600000014</v>
      </c>
      <c r="H44" s="26">
        <f t="shared" si="1"/>
        <v>-0.41638243321867474</v>
      </c>
      <c r="I44" s="44">
        <f t="shared" si="2"/>
        <v>5.8908132391659013E-2</v>
      </c>
      <c r="J44" s="44">
        <f t="shared" si="7"/>
        <v>-7.6190476190476183E-2</v>
      </c>
      <c r="K44" s="45"/>
    </row>
    <row r="45" spans="1:11" s="1" customFormat="1" ht="13.5" thickBot="1" x14ac:dyDescent="0.25">
      <c r="A45" s="48" t="s">
        <v>141</v>
      </c>
      <c r="B45" s="49"/>
      <c r="C45" s="50"/>
      <c r="D45" s="50">
        <f>SUM(D43:D44)</f>
        <v>92.771901164004916</v>
      </c>
      <c r="E45" s="50"/>
      <c r="F45" s="50"/>
      <c r="G45" s="50">
        <f>SUM(G43:G44)</f>
        <v>98.236920600000019</v>
      </c>
      <c r="H45" s="50">
        <f t="shared" si="1"/>
        <v>5.465019435995103</v>
      </c>
      <c r="I45" s="51">
        <f t="shared" si="2"/>
        <v>5.8908132391658978E-2</v>
      </c>
      <c r="J45" s="51">
        <f t="shared" si="7"/>
        <v>1</v>
      </c>
      <c r="K45" s="52"/>
    </row>
    <row r="46" spans="1:11" x14ac:dyDescent="0.2">
      <c r="A46" s="53" t="s">
        <v>142</v>
      </c>
      <c r="B46" s="54"/>
      <c r="C46" s="55"/>
      <c r="D46" s="55">
        <f>SUM(D18,D24,D25,D27,D32,D39,D40)</f>
        <v>91.930009584766594</v>
      </c>
      <c r="E46" s="55"/>
      <c r="F46" s="55"/>
      <c r="G46" s="55">
        <f>SUM(G18,G24,G25,G27,G32,G39,G40)</f>
        <v>97.138817200000005</v>
      </c>
      <c r="H46" s="55">
        <f>G46-D46</f>
        <v>5.2088076152334111</v>
      </c>
      <c r="I46" s="56">
        <f>IF(ISERROR(H46/D46),0,(H46/D46))</f>
        <v>5.6660579486076161E-2</v>
      </c>
      <c r="J46" s="56"/>
      <c r="K46" s="57">
        <f>G46/$G$50</f>
        <v>0.95238095238095233</v>
      </c>
    </row>
    <row r="47" spans="1:11" x14ac:dyDescent="0.2">
      <c r="A47" s="58" t="s">
        <v>138</v>
      </c>
      <c r="B47" s="59"/>
      <c r="C47" s="31">
        <v>0.13</v>
      </c>
      <c r="D47" s="31">
        <f>D46*C47</f>
        <v>11.950901246019658</v>
      </c>
      <c r="E47" s="31"/>
      <c r="F47" s="31">
        <f>C47</f>
        <v>0.13</v>
      </c>
      <c r="G47" s="31">
        <f>G46*F47</f>
        <v>12.628046236000001</v>
      </c>
      <c r="H47" s="31">
        <f>G47-D47</f>
        <v>0.67714498998034323</v>
      </c>
      <c r="I47" s="32">
        <f>IF(ISERROR(H47/D47),0,(H47/D47))</f>
        <v>5.666057948607614E-2</v>
      </c>
      <c r="J47" s="32"/>
      <c r="K47" s="60">
        <f>G47/$G$50</f>
        <v>0.1238095238095238</v>
      </c>
    </row>
    <row r="48" spans="1:11" x14ac:dyDescent="0.2">
      <c r="A48" s="61" t="s">
        <v>143</v>
      </c>
      <c r="B48" s="29"/>
      <c r="C48" s="30"/>
      <c r="D48" s="30">
        <f>SUM(D46:D47)</f>
        <v>103.88091083078625</v>
      </c>
      <c r="E48" s="30"/>
      <c r="F48" s="30"/>
      <c r="G48" s="30">
        <f>SUM(G46:G47)</f>
        <v>109.76686343600001</v>
      </c>
      <c r="H48" s="30">
        <f>G48-D48</f>
        <v>5.8859526052137596</v>
      </c>
      <c r="I48" s="33">
        <f>IF(ISERROR(H48/D48),0,(H48/D48))</f>
        <v>5.666057948607621E-2</v>
      </c>
      <c r="J48" s="33"/>
      <c r="K48" s="62">
        <f>G48/$G$50</f>
        <v>1.0761904761904761</v>
      </c>
    </row>
    <row r="49" spans="1:11" x14ac:dyDescent="0.2">
      <c r="A49" s="58" t="s">
        <v>140</v>
      </c>
      <c r="B49" s="59"/>
      <c r="C49" s="31">
        <v>-0.08</v>
      </c>
      <c r="D49" s="31">
        <f>D46*C49</f>
        <v>-7.3544007667813274</v>
      </c>
      <c r="E49" s="31"/>
      <c r="F49" s="31">
        <f>C49</f>
        <v>-0.08</v>
      </c>
      <c r="G49" s="31">
        <f>G46*F49</f>
        <v>-7.7711053760000004</v>
      </c>
      <c r="H49" s="31">
        <f>G49-D49</f>
        <v>-0.41670460921867303</v>
      </c>
      <c r="I49" s="32">
        <f>IF(ISERROR(H49/D49),0,(H49/D49))</f>
        <v>5.6660579486076182E-2</v>
      </c>
      <c r="J49" s="32"/>
      <c r="K49" s="60">
        <f>G49/$G$50</f>
        <v>-7.6190476190476183E-2</v>
      </c>
    </row>
    <row r="50" spans="1:11" ht="13.5" thickBot="1" x14ac:dyDescent="0.25">
      <c r="A50" s="63" t="s">
        <v>144</v>
      </c>
      <c r="B50" s="64"/>
      <c r="C50" s="65"/>
      <c r="D50" s="65">
        <f>SUM(D48:D49)</f>
        <v>96.526510064004924</v>
      </c>
      <c r="E50" s="65"/>
      <c r="F50" s="65"/>
      <c r="G50" s="65">
        <f>SUM(G48:G49)</f>
        <v>101.99575806000001</v>
      </c>
      <c r="H50" s="65">
        <f>G50-D50</f>
        <v>5.4692479959950902</v>
      </c>
      <c r="I50" s="66">
        <f>IF(ISERROR(H50/D50),0,(H50/D50))</f>
        <v>5.6660579486076251E-2</v>
      </c>
      <c r="J50" s="66"/>
      <c r="K50" s="67">
        <f>G50/$G$50</f>
        <v>1</v>
      </c>
    </row>
    <row r="51" spans="1:11" x14ac:dyDescent="0.2">
      <c r="C51" s="68"/>
      <c r="F51" s="69"/>
    </row>
    <row r="52" spans="1:11" x14ac:dyDescent="0.2">
      <c r="F52" s="69"/>
    </row>
    <row r="53" spans="1:11" x14ac:dyDescent="0.2">
      <c r="F53" s="69"/>
    </row>
    <row r="54" spans="1:11" x14ac:dyDescent="0.2">
      <c r="A54" s="70"/>
      <c r="B54" s="71"/>
      <c r="F54" s="69"/>
    </row>
    <row r="55" spans="1:11" x14ac:dyDescent="0.2">
      <c r="B55" s="71"/>
      <c r="F55" s="69"/>
    </row>
    <row r="56" spans="1:11" x14ac:dyDescent="0.2">
      <c r="F56" s="69"/>
    </row>
    <row r="57" spans="1:11" x14ac:dyDescent="0.2">
      <c r="D57" s="72"/>
      <c r="F57" s="69"/>
    </row>
    <row r="58" spans="1:11" x14ac:dyDescent="0.2">
      <c r="F58" s="69"/>
    </row>
    <row r="59" spans="1:11" x14ac:dyDescent="0.2">
      <c r="A59" s="70"/>
      <c r="B59" s="71"/>
      <c r="F59" s="69"/>
    </row>
    <row r="60" spans="1:11" x14ac:dyDescent="0.2">
      <c r="B60" s="72"/>
      <c r="D60" s="72"/>
      <c r="F60" s="69"/>
    </row>
    <row r="61" spans="1:11" x14ac:dyDescent="0.2">
      <c r="F61" s="69"/>
    </row>
    <row r="62" spans="1:11" x14ac:dyDescent="0.2">
      <c r="F62" s="69"/>
    </row>
    <row r="63" spans="1:11" x14ac:dyDescent="0.2">
      <c r="F63" s="69"/>
      <c r="K63"/>
    </row>
    <row r="64" spans="1:11" x14ac:dyDescent="0.2">
      <c r="F64" s="69"/>
      <c r="K64"/>
    </row>
    <row r="65" spans="6:11" x14ac:dyDescent="0.2">
      <c r="F65" s="69"/>
      <c r="K65"/>
    </row>
    <row r="66" spans="6:11" x14ac:dyDescent="0.2">
      <c r="F66" s="69"/>
      <c r="K66"/>
    </row>
    <row r="67" spans="6:11" x14ac:dyDescent="0.2">
      <c r="F67" s="69"/>
      <c r="K67"/>
    </row>
  </sheetData>
  <mergeCells count="1">
    <mergeCell ref="A1:K1"/>
  </mergeCell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Impacts'!$A$3:$A$21</xm:f>
          </x14:formula1>
          <xm:sqref>B3</xm:sqref>
        </x14:dataValidation>
      </x14:dataValidations>
    </ext>
  </extLst>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3">
    <pageSetUpPr fitToPage="1"/>
  </sheetPr>
  <dimension ref="A1:K67"/>
  <sheetViews>
    <sheetView topLeftCell="A19" workbookViewId="0">
      <selection activeCell="C19" sqref="C19"/>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48" t="s">
        <v>112</v>
      </c>
      <c r="B1" s="349"/>
      <c r="C1" s="349"/>
      <c r="D1" s="349"/>
      <c r="E1" s="349"/>
      <c r="F1" s="349"/>
      <c r="G1" s="349"/>
      <c r="H1" s="349"/>
      <c r="I1" s="349"/>
      <c r="J1" s="349"/>
      <c r="K1" s="350"/>
    </row>
    <row r="3" spans="1:11" x14ac:dyDescent="0.2">
      <c r="A3" s="13" t="s">
        <v>13</v>
      </c>
      <c r="B3" s="13" t="s">
        <v>180</v>
      </c>
      <c r="C3" s="13" t="s">
        <v>119</v>
      </c>
    </row>
    <row r="4" spans="1:11" x14ac:dyDescent="0.2">
      <c r="A4" s="15" t="s">
        <v>62</v>
      </c>
      <c r="B4" s="79">
        <f>C4</f>
        <v>694.05105803452705</v>
      </c>
      <c r="C4" s="79">
        <f>'Data for Bill Impacts_HONI Avg '!E27</f>
        <v>694.05105803452705</v>
      </c>
    </row>
    <row r="5" spans="1:11" x14ac:dyDescent="0.2">
      <c r="A5" s="15" t="s">
        <v>16</v>
      </c>
      <c r="B5" s="15">
        <f>VLOOKUP($B$3,'Data for Bill Impacts'!$A$3:$Y$39,5,0)</f>
        <v>0</v>
      </c>
      <c r="C5" s="15">
        <f>B5</f>
        <v>0</v>
      </c>
    </row>
    <row r="6" spans="1:11" x14ac:dyDescent="0.2">
      <c r="A6" s="15" t="s">
        <v>20</v>
      </c>
      <c r="B6" s="15">
        <f>VLOOKUP($B$3,'Data for Bill Impacts'!$A$3:$Y$39,2,0)</f>
        <v>1.0667</v>
      </c>
      <c r="C6" s="15">
        <f>VLOOKUP($C$3,'Data for Bill Impacts'!$A$3:$Y$39,2,0)</f>
        <v>1.0655000000000001</v>
      </c>
    </row>
    <row r="7" spans="1:11" x14ac:dyDescent="0.2">
      <c r="A7" s="15" t="s">
        <v>15</v>
      </c>
      <c r="B7" s="15">
        <f>VLOOKUP($B$3,'Data for Bill Impacts'!$A$3:$Y$39,4,0)</f>
        <v>600</v>
      </c>
      <c r="C7" s="15">
        <f>B7</f>
        <v>600</v>
      </c>
    </row>
    <row r="8" spans="1:11" x14ac:dyDescent="0.2">
      <c r="A8" s="15" t="s">
        <v>82</v>
      </c>
      <c r="B8" s="193">
        <f>B4*B6</f>
        <v>740.34426360543</v>
      </c>
      <c r="C8" s="193">
        <f>C4*C6</f>
        <v>739.5114023357886</v>
      </c>
    </row>
    <row r="9" spans="1:11" x14ac:dyDescent="0.2">
      <c r="A9" s="15" t="s">
        <v>21</v>
      </c>
      <c r="B9" s="16" t="str">
        <f>VLOOKUP($B$3,'Data for Bill Impacts'!$A$3:$Y$39,6,0)</f>
        <v>kWh</v>
      </c>
      <c r="C9" s="16" t="str">
        <f>VLOOKUP($C$3,'Data for Bill Impacts'!$A$3:$Y$39,6,0)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0.10299999999999999</v>
      </c>
      <c r="D12" s="104">
        <f>B12*C12</f>
        <v>61.8</v>
      </c>
      <c r="E12" s="102">
        <f>B12</f>
        <v>600</v>
      </c>
      <c r="F12" s="103">
        <f>C12</f>
        <v>0.10299999999999999</v>
      </c>
      <c r="G12" s="104">
        <f>E12*F12</f>
        <v>61.8</v>
      </c>
      <c r="H12" s="104">
        <f>G12-D12</f>
        <v>0</v>
      </c>
      <c r="I12" s="105">
        <f>IF(ISERROR(H12/D12),0,(H12/D12))</f>
        <v>0</v>
      </c>
      <c r="J12" s="105">
        <f>G12/$G$45</f>
        <v>0.43716239084181091</v>
      </c>
      <c r="K12" s="106"/>
    </row>
    <row r="13" spans="1:11" x14ac:dyDescent="0.2">
      <c r="A13" s="107" t="s">
        <v>32</v>
      </c>
      <c r="B13" s="73">
        <f>IF(B4&gt;B7,(B4)-B7,0)</f>
        <v>94.051058034527045</v>
      </c>
      <c r="C13" s="21">
        <v>0.121</v>
      </c>
      <c r="D13" s="22">
        <f>B13*C13</f>
        <v>11.380178022177772</v>
      </c>
      <c r="E13" s="73">
        <f t="shared" ref="E13:E38" si="0">B13</f>
        <v>94.051058034527045</v>
      </c>
      <c r="F13" s="21">
        <f>C13</f>
        <v>0.121</v>
      </c>
      <c r="G13" s="22">
        <f>E13*F13</f>
        <v>11.380178022177772</v>
      </c>
      <c r="H13" s="22">
        <f t="shared" ref="H13:H45" si="1">G13-D13</f>
        <v>0</v>
      </c>
      <c r="I13" s="23">
        <f t="shared" ref="I13:I45" si="2">IF(ISERROR(H13/D13),0,(H13/D13))</f>
        <v>0</v>
      </c>
      <c r="J13" s="23">
        <f>G13/$G$45</f>
        <v>8.0501388873473551E-2</v>
      </c>
      <c r="K13" s="108"/>
    </row>
    <row r="14" spans="1:11" s="1" customFormat="1" x14ac:dyDescent="0.2">
      <c r="A14" s="46" t="s">
        <v>33</v>
      </c>
      <c r="B14" s="24"/>
      <c r="C14" s="25"/>
      <c r="D14" s="25">
        <f>SUM(D12:D13)</f>
        <v>73.18017802217777</v>
      </c>
      <c r="E14" s="76"/>
      <c r="F14" s="25"/>
      <c r="G14" s="25">
        <f>SUM(G12:G13)</f>
        <v>73.18017802217777</v>
      </c>
      <c r="H14" s="25">
        <f t="shared" si="1"/>
        <v>0</v>
      </c>
      <c r="I14" s="27">
        <f t="shared" si="2"/>
        <v>0</v>
      </c>
      <c r="J14" s="27">
        <f>G14/$G$45</f>
        <v>0.51766377971528443</v>
      </c>
      <c r="K14" s="108"/>
    </row>
    <row r="15" spans="1:11" s="1" customFormat="1" x14ac:dyDescent="0.2">
      <c r="A15" s="109" t="s">
        <v>34</v>
      </c>
      <c r="B15" s="75">
        <f>B4*0.65</f>
        <v>451.13318772244259</v>
      </c>
      <c r="C15" s="28">
        <v>8.6999999999999994E-2</v>
      </c>
      <c r="D15" s="22">
        <f>B15*C15</f>
        <v>39.248587331852505</v>
      </c>
      <c r="E15" s="73">
        <f t="shared" ref="E15:F17" si="3">B15</f>
        <v>451.13318772244259</v>
      </c>
      <c r="F15" s="28">
        <f t="shared" si="3"/>
        <v>8.6999999999999994E-2</v>
      </c>
      <c r="G15" s="22">
        <f>E15*F15</f>
        <v>39.248587331852505</v>
      </c>
      <c r="H15" s="22">
        <f t="shared" si="1"/>
        <v>0</v>
      </c>
      <c r="I15" s="23">
        <f t="shared" si="2"/>
        <v>0</v>
      </c>
      <c r="J15" s="23"/>
      <c r="K15" s="108">
        <f t="shared" ref="K15:K25" si="4">G15/$G$50</f>
        <v>0.2702404675508826</v>
      </c>
    </row>
    <row r="16" spans="1:11" s="1" customFormat="1" x14ac:dyDescent="0.2">
      <c r="A16" s="109" t="s">
        <v>35</v>
      </c>
      <c r="B16" s="75">
        <f>B4*0.17</f>
        <v>117.9886798658696</v>
      </c>
      <c r="C16" s="28">
        <v>0.13200000000000001</v>
      </c>
      <c r="D16" s="22">
        <f>B16*C16</f>
        <v>15.574505742294788</v>
      </c>
      <c r="E16" s="73">
        <f t="shared" si="3"/>
        <v>117.9886798658696</v>
      </c>
      <c r="F16" s="28">
        <f t="shared" si="3"/>
        <v>0.13200000000000001</v>
      </c>
      <c r="G16" s="22">
        <f>E16*F16</f>
        <v>15.574505742294788</v>
      </c>
      <c r="H16" s="22">
        <f t="shared" si="1"/>
        <v>0</v>
      </c>
      <c r="I16" s="23">
        <f t="shared" si="2"/>
        <v>0</v>
      </c>
      <c r="J16" s="23"/>
      <c r="K16" s="108">
        <f t="shared" si="4"/>
        <v>0.10723600516077464</v>
      </c>
    </row>
    <row r="17" spans="1:11" s="1" customFormat="1" x14ac:dyDescent="0.2">
      <c r="A17" s="109" t="s">
        <v>36</v>
      </c>
      <c r="B17" s="75">
        <f>B4*0.18</f>
        <v>124.92919044621486</v>
      </c>
      <c r="C17" s="28">
        <v>0.18</v>
      </c>
      <c r="D17" s="22">
        <f>B17*C17</f>
        <v>22.487254280318673</v>
      </c>
      <c r="E17" s="73">
        <f t="shared" si="3"/>
        <v>124.92919044621486</v>
      </c>
      <c r="F17" s="28">
        <f t="shared" si="3"/>
        <v>0.18</v>
      </c>
      <c r="G17" s="22">
        <f>E17*F17</f>
        <v>22.487254280318673</v>
      </c>
      <c r="H17" s="22">
        <f t="shared" si="1"/>
        <v>0</v>
      </c>
      <c r="I17" s="23">
        <f t="shared" si="2"/>
        <v>0</v>
      </c>
      <c r="J17" s="23"/>
      <c r="K17" s="108">
        <f t="shared" si="4"/>
        <v>0.15483273472411307</v>
      </c>
    </row>
    <row r="18" spans="1:11" s="1" customFormat="1" x14ac:dyDescent="0.2">
      <c r="A18" s="61" t="s">
        <v>37</v>
      </c>
      <c r="B18" s="29"/>
      <c r="C18" s="30"/>
      <c r="D18" s="30">
        <f>SUM(D15:D17)</f>
        <v>77.310347354465961</v>
      </c>
      <c r="E18" s="77"/>
      <c r="F18" s="30"/>
      <c r="G18" s="30">
        <f>SUM(G15:G17)</f>
        <v>77.310347354465961</v>
      </c>
      <c r="H18" s="31">
        <f t="shared" si="1"/>
        <v>0</v>
      </c>
      <c r="I18" s="32">
        <f t="shared" si="2"/>
        <v>0</v>
      </c>
      <c r="J18" s="33">
        <f>G18/$G$45</f>
        <v>0.54687987518267334</v>
      </c>
      <c r="K18" s="62">
        <f t="shared" si="4"/>
        <v>0.53230920743577026</v>
      </c>
    </row>
    <row r="19" spans="1:11" x14ac:dyDescent="0.2">
      <c r="A19" s="107" t="s">
        <v>38</v>
      </c>
      <c r="B19" s="73">
        <v>1</v>
      </c>
      <c r="C19" s="122">
        <f>VLOOKUP($C$3,'Data for Bill Impacts'!$A$3:$Y$39,7,0)</f>
        <v>35.619999999999997</v>
      </c>
      <c r="D19" s="22">
        <f>B19*C19</f>
        <v>35.619999999999997</v>
      </c>
      <c r="E19" s="73">
        <f t="shared" si="0"/>
        <v>1</v>
      </c>
      <c r="F19" s="122">
        <f>VLOOKUP($B$3,'Data for Bill Impacts'!$A$3:$Y$39,17,0)</f>
        <v>40.08</v>
      </c>
      <c r="G19" s="22">
        <f>E19*F19</f>
        <v>40.08</v>
      </c>
      <c r="H19" s="22">
        <f t="shared" si="1"/>
        <v>4.4600000000000009</v>
      </c>
      <c r="I19" s="23">
        <f t="shared" si="2"/>
        <v>0.12521055586749022</v>
      </c>
      <c r="J19" s="23">
        <f>G19/$G$45</f>
        <v>0.28351890978866962</v>
      </c>
      <c r="K19" s="108">
        <f t="shared" si="4"/>
        <v>0.27596503914547765</v>
      </c>
    </row>
    <row r="20" spans="1:11" x14ac:dyDescent="0.2">
      <c r="A20" s="107" t="s">
        <v>188</v>
      </c>
      <c r="B20" s="73">
        <v>1</v>
      </c>
      <c r="C20" s="122">
        <f>'Data for Bill Impacts'!K28</f>
        <v>-0.36</v>
      </c>
      <c r="D20" s="22">
        <f>B20*C20</f>
        <v>-0.36</v>
      </c>
      <c r="E20" s="73">
        <f t="shared" si="0"/>
        <v>1</v>
      </c>
      <c r="F20" s="122">
        <v>0</v>
      </c>
      <c r="G20" s="22">
        <f t="shared" ref="G20" si="5">E20*F20</f>
        <v>0</v>
      </c>
      <c r="H20" s="22">
        <f t="shared" si="1"/>
        <v>0.36</v>
      </c>
      <c r="I20" s="23">
        <f t="shared" si="2"/>
        <v>-1</v>
      </c>
      <c r="J20" s="23">
        <f>G20/$G$45</f>
        <v>0</v>
      </c>
      <c r="K20" s="108">
        <f t="shared" si="4"/>
        <v>0</v>
      </c>
    </row>
    <row r="21" spans="1:11" x14ac:dyDescent="0.2">
      <c r="A21" s="107" t="s">
        <v>39</v>
      </c>
      <c r="B21" s="73">
        <f>IF($C$9="kWh",$C$4,$C$5)</f>
        <v>694.05105803452705</v>
      </c>
      <c r="C21" s="126">
        <f>VLOOKUP($C$3,'Data for Bill Impacts'!$A$3:$Y$39,10,0)</f>
        <v>0</v>
      </c>
      <c r="D21" s="22">
        <f>B21*C21</f>
        <v>0</v>
      </c>
      <c r="E21" s="73">
        <f t="shared" si="0"/>
        <v>694.05105803452705</v>
      </c>
      <c r="F21" s="126">
        <v>0</v>
      </c>
      <c r="G21" s="22">
        <f>E21*F21</f>
        <v>0</v>
      </c>
      <c r="H21" s="22">
        <f t="shared" si="1"/>
        <v>0</v>
      </c>
      <c r="I21" s="23">
        <f t="shared" si="2"/>
        <v>0</v>
      </c>
      <c r="J21" s="23">
        <f>G21/$G$45</f>
        <v>0</v>
      </c>
      <c r="K21" s="108">
        <f t="shared" si="4"/>
        <v>0</v>
      </c>
    </row>
    <row r="22" spans="1:11" x14ac:dyDescent="0.2">
      <c r="A22" s="107" t="s">
        <v>189</v>
      </c>
      <c r="B22" s="73">
        <f>IF($B$9="kWh",$B$4,$B$5)</f>
        <v>694.05105803452705</v>
      </c>
      <c r="C22" s="78">
        <f>'Data for Bill Impacts'!H28</f>
        <v>4.0000000000000002E-4</v>
      </c>
      <c r="D22" s="22">
        <f>B22*C22</f>
        <v>0.27762042321381081</v>
      </c>
      <c r="E22" s="73">
        <f t="shared" si="0"/>
        <v>694.05105803452705</v>
      </c>
      <c r="F22" s="126">
        <v>0</v>
      </c>
      <c r="G22" s="22">
        <f>E22*F22</f>
        <v>0</v>
      </c>
      <c r="H22" s="22">
        <f t="shared" si="1"/>
        <v>-0.27762042321381081</v>
      </c>
      <c r="I22" s="23">
        <f>IF(ISERROR(H22/D22),0,(H22/D22))</f>
        <v>-1</v>
      </c>
      <c r="J22" s="23">
        <f>G22/$G$45</f>
        <v>0</v>
      </c>
      <c r="K22" s="108">
        <f t="shared" si="4"/>
        <v>0</v>
      </c>
    </row>
    <row r="23" spans="1:11" x14ac:dyDescent="0.2">
      <c r="A23" s="107" t="s">
        <v>190</v>
      </c>
      <c r="B23" s="73">
        <f>IF($C$9="kWh",$C$4,$C$5)</f>
        <v>694.05105803452705</v>
      </c>
      <c r="C23" s="126">
        <f>'Data for Bill Impacts'!L28</f>
        <v>0</v>
      </c>
      <c r="D23" s="22">
        <f>B23*C23</f>
        <v>0</v>
      </c>
      <c r="E23" s="73">
        <f t="shared" si="0"/>
        <v>694.05105803452705</v>
      </c>
      <c r="F23" s="126">
        <v>0</v>
      </c>
      <c r="G23" s="22">
        <f>E23*F23</f>
        <v>0</v>
      </c>
      <c r="H23" s="22">
        <f t="shared" si="1"/>
        <v>0</v>
      </c>
      <c r="I23" s="23">
        <f>IF(ISERROR(H23/D23),0,(H23/D23))</f>
        <v>0</v>
      </c>
      <c r="J23" s="23">
        <f t="shared" ref="J23" si="6">G23/$G$45</f>
        <v>0</v>
      </c>
      <c r="K23" s="108">
        <f t="shared" si="4"/>
        <v>0</v>
      </c>
    </row>
    <row r="24" spans="1:11" s="1" customFormat="1" x14ac:dyDescent="0.2">
      <c r="A24" s="110" t="s">
        <v>72</v>
      </c>
      <c r="B24" s="74"/>
      <c r="C24" s="35"/>
      <c r="D24" s="35">
        <f>SUM(D19:D23)</f>
        <v>35.537620423213809</v>
      </c>
      <c r="E24" s="73"/>
      <c r="F24" s="35"/>
      <c r="G24" s="35">
        <f>SUM(G19:G23)</f>
        <v>40.08</v>
      </c>
      <c r="H24" s="35">
        <f t="shared" si="1"/>
        <v>4.542379576786189</v>
      </c>
      <c r="I24" s="36">
        <f t="shared" si="2"/>
        <v>0.12781890072243063</v>
      </c>
      <c r="J24" s="36">
        <f>G24/$G$45</f>
        <v>0.28351890978866962</v>
      </c>
      <c r="K24" s="111">
        <f t="shared" si="4"/>
        <v>0.27596503914547765</v>
      </c>
    </row>
    <row r="25" spans="1:11" s="1" customFormat="1" x14ac:dyDescent="0.2">
      <c r="A25" s="119" t="s">
        <v>73</v>
      </c>
      <c r="B25" s="120">
        <v>1</v>
      </c>
      <c r="C25" s="78">
        <f>VLOOKUP($C$3,'Data for Bill Impacts'!$A$3:$Y$39,9,0)</f>
        <v>0.79</v>
      </c>
      <c r="D25" s="22">
        <f>B25*C25</f>
        <v>0.79</v>
      </c>
      <c r="E25" s="73">
        <v>1</v>
      </c>
      <c r="F25" s="78">
        <f>VLOOKUP($B$3,'Data for Bill Impacts'!$A$3:$Y$39,18,0)</f>
        <v>0.79</v>
      </c>
      <c r="G25" s="22">
        <f>E25*F25</f>
        <v>0.79</v>
      </c>
      <c r="H25" s="22">
        <f t="shared" si="1"/>
        <v>0</v>
      </c>
      <c r="I25" s="23">
        <f>IF(ISERROR(H25/D25),0,(H25/D25))</f>
        <v>0</v>
      </c>
      <c r="J25" s="23">
        <f>G25/$G$45</f>
        <v>5.5883218246768713E-3</v>
      </c>
      <c r="K25" s="108">
        <f t="shared" si="4"/>
        <v>5.4394306617995851E-3</v>
      </c>
    </row>
    <row r="26" spans="1:11" s="1" customFormat="1" x14ac:dyDescent="0.2">
      <c r="A26" s="119" t="s">
        <v>75</v>
      </c>
      <c r="B26" s="120">
        <f>C8-C4</f>
        <v>45.460344301261557</v>
      </c>
      <c r="C26" s="121">
        <f>IF(C4&gt;C7,C13,C12)</f>
        <v>0.121</v>
      </c>
      <c r="D26" s="22">
        <f>B26*C26</f>
        <v>5.5007016604526484</v>
      </c>
      <c r="E26" s="73">
        <f>B8-B4</f>
        <v>46.293205570902956</v>
      </c>
      <c r="F26" s="121">
        <f>IF(B4&gt;C7,F13,F12)</f>
        <v>0.121</v>
      </c>
      <c r="G26" s="22">
        <f>E26*F26</f>
        <v>5.601477874079257</v>
      </c>
      <c r="H26" s="22">
        <f t="shared" si="1"/>
        <v>0.1007762136266086</v>
      </c>
      <c r="I26" s="23">
        <f>IF(ISERROR(H26/D26),0,(H26/D26))</f>
        <v>1.8320610687022027E-2</v>
      </c>
      <c r="J26" s="23">
        <f t="shared" ref="J26:J45" si="7">G26/$G$45</f>
        <v>3.9623874752103438E-2</v>
      </c>
      <c r="K26" s="108">
        <f t="shared" ref="K26:K40" si="8">G26/$G$50</f>
        <v>3.8568165189441346E-2</v>
      </c>
    </row>
    <row r="27" spans="1:11" s="1" customFormat="1" x14ac:dyDescent="0.2">
      <c r="A27" s="119" t="s">
        <v>74</v>
      </c>
      <c r="B27" s="120">
        <f>C8-C4</f>
        <v>45.460344301261557</v>
      </c>
      <c r="C27" s="121">
        <f>0.65*C15+0.17*C16+0.18*C17</f>
        <v>0.11139</v>
      </c>
      <c r="D27" s="22">
        <f>B27*C27</f>
        <v>5.0638277517175254</v>
      </c>
      <c r="E27" s="73">
        <f>B8-B4</f>
        <v>46.293205570902956</v>
      </c>
      <c r="F27" s="121">
        <f>0.65*F15+0.17*F16+0.18*F17</f>
        <v>0.11139</v>
      </c>
      <c r="G27" s="22">
        <f>E27*F27</f>
        <v>5.1566001685428802</v>
      </c>
      <c r="H27" s="22">
        <f t="shared" si="1"/>
        <v>9.2772416825354753E-2</v>
      </c>
      <c r="I27" s="23">
        <f>IF(ISERROR(H27/D27),0,(H27/D27))</f>
        <v>1.8320610687022013E-2</v>
      </c>
      <c r="J27" s="23">
        <f t="shared" si="7"/>
        <v>3.6476887674684315E-2</v>
      </c>
      <c r="K27" s="108">
        <f t="shared" si="8"/>
        <v>3.5505024135965881E-2</v>
      </c>
    </row>
    <row r="28" spans="1:11" s="1" customFormat="1" x14ac:dyDescent="0.2">
      <c r="A28" s="110" t="s">
        <v>78</v>
      </c>
      <c r="B28" s="74"/>
      <c r="C28" s="35"/>
      <c r="D28" s="35">
        <f>SUM(D24,D25:D26)</f>
        <v>41.828322083666457</v>
      </c>
      <c r="E28" s="73"/>
      <c r="F28" s="35"/>
      <c r="G28" s="35">
        <f>SUM(G24,G25:G26)</f>
        <v>46.471477874079255</v>
      </c>
      <c r="H28" s="35">
        <f t="shared" si="1"/>
        <v>4.6431557904127985</v>
      </c>
      <c r="I28" s="36">
        <f>IF(ISERROR(H28/D28),0,(H28/D28))</f>
        <v>0.11100506927161452</v>
      </c>
      <c r="J28" s="36">
        <f t="shared" si="7"/>
        <v>0.32873110636544989</v>
      </c>
      <c r="K28" s="111">
        <f t="shared" si="8"/>
        <v>0.31997263499671857</v>
      </c>
    </row>
    <row r="29" spans="1:11" s="1" customFormat="1" x14ac:dyDescent="0.2">
      <c r="A29" s="110" t="s">
        <v>77</v>
      </c>
      <c r="B29" s="74"/>
      <c r="C29" s="35"/>
      <c r="D29" s="35">
        <f>SUM(D24,D25,D27)</f>
        <v>41.391448174931334</v>
      </c>
      <c r="E29" s="73"/>
      <c r="F29" s="35"/>
      <c r="G29" s="35">
        <f>SUM(G24,G25,G27)</f>
        <v>46.026600168542878</v>
      </c>
      <c r="H29" s="35">
        <f t="shared" si="1"/>
        <v>4.6351519936115437</v>
      </c>
      <c r="I29" s="36">
        <f>IF(ISERROR(H29/D29),0,(H29/D29))</f>
        <v>0.11198332501008787</v>
      </c>
      <c r="J29" s="36">
        <f t="shared" si="7"/>
        <v>0.32558411928803077</v>
      </c>
      <c r="K29" s="111">
        <f t="shared" si="8"/>
        <v>0.31690949394324308</v>
      </c>
    </row>
    <row r="30" spans="1:11" x14ac:dyDescent="0.2">
      <c r="A30" s="107" t="s">
        <v>40</v>
      </c>
      <c r="B30" s="73">
        <f>C8</f>
        <v>739.5114023357886</v>
      </c>
      <c r="C30" s="126">
        <f>VLOOKUP($C$3,'Data for Bill Impacts'!$A$3:$Y$39,15,0)</f>
        <v>6.5444567943617011E-3</v>
      </c>
      <c r="D30" s="22">
        <f>B30*C30</f>
        <v>4.8397004215244017</v>
      </c>
      <c r="E30" s="73">
        <f>B8</f>
        <v>740.34426360543</v>
      </c>
      <c r="F30" s="78">
        <f>VLOOKUP($B$3,'Data for Bill Impacts'!$A$3:$Y$39,24,0)</f>
        <v>7.1000000000000004E-3</v>
      </c>
      <c r="G30" s="22">
        <f>E30*F30</f>
        <v>5.2564442715985535</v>
      </c>
      <c r="H30" s="22">
        <f t="shared" si="1"/>
        <v>0.41674385007415182</v>
      </c>
      <c r="I30" s="23">
        <f t="shared" si="2"/>
        <v>8.6109431116995969E-2</v>
      </c>
      <c r="J30" s="23">
        <f t="shared" si="7"/>
        <v>3.7183167396420143E-2</v>
      </c>
      <c r="K30" s="108">
        <f t="shared" si="8"/>
        <v>3.6192486256929057E-2</v>
      </c>
    </row>
    <row r="31" spans="1:11" x14ac:dyDescent="0.2">
      <c r="A31" s="107" t="s">
        <v>41</v>
      </c>
      <c r="B31" s="73">
        <f>C8</f>
        <v>739.5114023357886</v>
      </c>
      <c r="C31" s="126">
        <f>VLOOKUP($C$3,'Data for Bill Impacts'!$A$3:$Y$39,16,0)</f>
        <v>5.4157299366720292E-3</v>
      </c>
      <c r="D31" s="22">
        <f>B31*C31</f>
        <v>4.004994040140244</v>
      </c>
      <c r="E31" s="73">
        <f>B8</f>
        <v>740.34426360543</v>
      </c>
      <c r="F31" s="78">
        <f>VLOOKUP($B$3,'Data for Bill Impacts'!$A$3:$Y$39,25,0)</f>
        <v>6.0000000000000001E-3</v>
      </c>
      <c r="G31" s="22">
        <f>E31*F31</f>
        <v>4.4420655816325798</v>
      </c>
      <c r="H31" s="22">
        <f t="shared" si="1"/>
        <v>0.43707154149233585</v>
      </c>
      <c r="I31" s="23">
        <f t="shared" si="2"/>
        <v>0.10913163343359951</v>
      </c>
      <c r="J31" s="23">
        <f t="shared" si="7"/>
        <v>3.1422394982890262E-2</v>
      </c>
      <c r="K31" s="108">
        <f t="shared" si="8"/>
        <v>3.0585199653742859E-2</v>
      </c>
    </row>
    <row r="32" spans="1:11" s="1" customFormat="1" x14ac:dyDescent="0.2">
      <c r="A32" s="110" t="s">
        <v>76</v>
      </c>
      <c r="B32" s="74"/>
      <c r="C32" s="35"/>
      <c r="D32" s="35">
        <f>SUM(D30:D31)</f>
        <v>8.8446944616646448</v>
      </c>
      <c r="E32" s="73"/>
      <c r="F32" s="35"/>
      <c r="G32" s="35">
        <f>SUM(G30:G31)</f>
        <v>9.6985098532311333</v>
      </c>
      <c r="H32" s="35">
        <f t="shared" si="1"/>
        <v>0.85381539156648856</v>
      </c>
      <c r="I32" s="36">
        <f t="shared" si="2"/>
        <v>9.6534187276582695E-2</v>
      </c>
      <c r="J32" s="36">
        <f t="shared" si="7"/>
        <v>6.8605562379310411E-2</v>
      </c>
      <c r="K32" s="111">
        <f t="shared" si="8"/>
        <v>6.6777685910671916E-2</v>
      </c>
    </row>
    <row r="33" spans="1:11" s="1" customFormat="1" x14ac:dyDescent="0.2">
      <c r="A33" s="110" t="s">
        <v>95</v>
      </c>
      <c r="B33" s="74"/>
      <c r="C33" s="35"/>
      <c r="D33" s="35">
        <f>D28+D32</f>
        <v>50.673016545331102</v>
      </c>
      <c r="E33" s="73"/>
      <c r="F33" s="35"/>
      <c r="G33" s="35">
        <f>G28+G32</f>
        <v>56.169987727310385</v>
      </c>
      <c r="H33" s="35">
        <f t="shared" si="1"/>
        <v>5.4969711819792835</v>
      </c>
      <c r="I33" s="36">
        <f t="shared" si="2"/>
        <v>0.10847925694460679</v>
      </c>
      <c r="J33" s="36">
        <f t="shared" si="7"/>
        <v>0.39733666874476026</v>
      </c>
      <c r="K33" s="111">
        <f t="shared" si="8"/>
        <v>0.38675032090739048</v>
      </c>
    </row>
    <row r="34" spans="1:11" s="1" customFormat="1" x14ac:dyDescent="0.2">
      <c r="A34" s="110" t="s">
        <v>96</v>
      </c>
      <c r="B34" s="74"/>
      <c r="C34" s="35"/>
      <c r="D34" s="35">
        <f>D29+D32</f>
        <v>50.236142636595979</v>
      </c>
      <c r="E34" s="73"/>
      <c r="F34" s="35"/>
      <c r="G34" s="35">
        <f>G29+G32</f>
        <v>55.725110021774015</v>
      </c>
      <c r="H34" s="35">
        <f t="shared" si="1"/>
        <v>5.4889673851780358</v>
      </c>
      <c r="I34" s="36">
        <f t="shared" si="2"/>
        <v>0.10926331316647385</v>
      </c>
      <c r="J34" s="36">
        <f t="shared" si="7"/>
        <v>0.3941896816673412</v>
      </c>
      <c r="K34" s="111">
        <f t="shared" si="8"/>
        <v>0.38368717985391504</v>
      </c>
    </row>
    <row r="35" spans="1:11" x14ac:dyDescent="0.2">
      <c r="A35" s="107" t="s">
        <v>42</v>
      </c>
      <c r="B35" s="73">
        <f>C8</f>
        <v>739.5114023357886</v>
      </c>
      <c r="C35" s="34">
        <v>3.5999999999999999E-3</v>
      </c>
      <c r="D35" s="22">
        <f>B35*C35</f>
        <v>2.662241048408839</v>
      </c>
      <c r="E35" s="73">
        <f>B8</f>
        <v>740.34426360543</v>
      </c>
      <c r="F35" s="34">
        <v>3.5999999999999999E-3</v>
      </c>
      <c r="G35" s="22">
        <f>E35*F35</f>
        <v>2.6652393489795481</v>
      </c>
      <c r="H35" s="22">
        <f t="shared" si="1"/>
        <v>2.9983005707090449E-3</v>
      </c>
      <c r="I35" s="23">
        <f t="shared" si="2"/>
        <v>1.1262318160487612E-3</v>
      </c>
      <c r="J35" s="23">
        <f t="shared" si="7"/>
        <v>1.8853436989734157E-2</v>
      </c>
      <c r="K35" s="108">
        <f t="shared" si="8"/>
        <v>1.8351119792245716E-2</v>
      </c>
    </row>
    <row r="36" spans="1:11" x14ac:dyDescent="0.2">
      <c r="A36" s="107" t="s">
        <v>43</v>
      </c>
      <c r="B36" s="73">
        <f>C8</f>
        <v>739.5114023357886</v>
      </c>
      <c r="C36" s="34">
        <v>2.0999999999999999E-3</v>
      </c>
      <c r="D36" s="22">
        <f>B36*C36</f>
        <v>1.5529739449051561</v>
      </c>
      <c r="E36" s="73">
        <f>B8</f>
        <v>740.34426360543</v>
      </c>
      <c r="F36" s="34">
        <v>2.0999999999999999E-3</v>
      </c>
      <c r="G36" s="22">
        <f>E36*F36</f>
        <v>1.5547229535714029</v>
      </c>
      <c r="H36" s="22">
        <f>G36-D36</f>
        <v>1.7490086662468318E-3</v>
      </c>
      <c r="I36" s="23">
        <f t="shared" si="2"/>
        <v>1.1262318160486899E-3</v>
      </c>
      <c r="J36" s="23">
        <f t="shared" si="7"/>
        <v>1.099783824401159E-2</v>
      </c>
      <c r="K36" s="108">
        <f t="shared" si="8"/>
        <v>1.0704819878810001E-2</v>
      </c>
    </row>
    <row r="37" spans="1:11" x14ac:dyDescent="0.2">
      <c r="A37" s="107" t="s">
        <v>100</v>
      </c>
      <c r="B37" s="73">
        <f>C8</f>
        <v>739.5114023357886</v>
      </c>
      <c r="C37" s="34">
        <v>1.1000000000000001E-3</v>
      </c>
      <c r="D37" s="22">
        <f>B37*C37</f>
        <v>0.81346254256936756</v>
      </c>
      <c r="E37" s="73">
        <f>B8</f>
        <v>740.34426360543</v>
      </c>
      <c r="F37" s="34">
        <v>1.1000000000000001E-3</v>
      </c>
      <c r="G37" s="22">
        <f>E37*F37</f>
        <v>0.81437868996597307</v>
      </c>
      <c r="H37" s="22">
        <f>G37-D37</f>
        <v>9.1614739660550448E-4</v>
      </c>
      <c r="I37" s="23">
        <f t="shared" si="2"/>
        <v>1.1262318160487157E-3</v>
      </c>
      <c r="J37" s="23">
        <f t="shared" si="7"/>
        <v>5.7607724135298813E-3</v>
      </c>
      <c r="K37" s="108">
        <f t="shared" si="8"/>
        <v>5.6072866031861915E-3</v>
      </c>
    </row>
    <row r="38" spans="1:11" x14ac:dyDescent="0.2">
      <c r="A38" s="107" t="s">
        <v>44</v>
      </c>
      <c r="B38" s="73">
        <v>1</v>
      </c>
      <c r="C38" s="22">
        <v>0.25</v>
      </c>
      <c r="D38" s="22">
        <f>B38*C38</f>
        <v>0.25</v>
      </c>
      <c r="E38" s="73">
        <f t="shared" si="0"/>
        <v>1</v>
      </c>
      <c r="F38" s="22">
        <f>C38</f>
        <v>0.25</v>
      </c>
      <c r="G38" s="22">
        <f>E38*F38</f>
        <v>0.25</v>
      </c>
      <c r="H38" s="22">
        <f t="shared" si="1"/>
        <v>0</v>
      </c>
      <c r="I38" s="23">
        <f t="shared" si="2"/>
        <v>0</v>
      </c>
      <c r="J38" s="23">
        <f t="shared" si="7"/>
        <v>1.7684562736319212E-3</v>
      </c>
      <c r="K38" s="108">
        <f t="shared" si="8"/>
        <v>1.7213388170251849E-3</v>
      </c>
    </row>
    <row r="39" spans="1:11" s="1" customFormat="1" x14ac:dyDescent="0.2">
      <c r="A39" s="110" t="s">
        <v>45</v>
      </c>
      <c r="B39" s="74"/>
      <c r="C39" s="35"/>
      <c r="D39" s="35">
        <f>SUM(D35:D38)</f>
        <v>5.2786775358833626</v>
      </c>
      <c r="E39" s="73"/>
      <c r="F39" s="35"/>
      <c r="G39" s="35">
        <f>SUM(G35:G38)</f>
        <v>5.284340992516924</v>
      </c>
      <c r="H39" s="35">
        <f t="shared" si="1"/>
        <v>5.6634566335613812E-3</v>
      </c>
      <c r="I39" s="36">
        <f t="shared" si="2"/>
        <v>1.0728930863956681E-3</v>
      </c>
      <c r="J39" s="36">
        <f t="shared" si="7"/>
        <v>3.7380503920907547E-2</v>
      </c>
      <c r="K39" s="111">
        <f t="shared" si="8"/>
        <v>3.6384565091267092E-2</v>
      </c>
    </row>
    <row r="40" spans="1:11" s="1" customFormat="1" ht="13.5" thickBot="1" x14ac:dyDescent="0.25">
      <c r="A40" s="112" t="s">
        <v>46</v>
      </c>
      <c r="B40" s="113">
        <f>C4</f>
        <v>694.05105803452705</v>
      </c>
      <c r="C40" s="205">
        <v>0</v>
      </c>
      <c r="D40" s="115">
        <f>B40*C40</f>
        <v>0</v>
      </c>
      <c r="E40" s="116">
        <f>B4</f>
        <v>694.05105803452705</v>
      </c>
      <c r="F40" s="205">
        <f>C40</f>
        <v>0</v>
      </c>
      <c r="G40" s="115">
        <f>E40*F40</f>
        <v>0</v>
      </c>
      <c r="H40" s="115">
        <f t="shared" si="1"/>
        <v>0</v>
      </c>
      <c r="I40" s="117">
        <f t="shared" si="2"/>
        <v>0</v>
      </c>
      <c r="J40" s="117">
        <f t="shared" si="7"/>
        <v>0</v>
      </c>
      <c r="K40" s="118">
        <f t="shared" si="8"/>
        <v>0</v>
      </c>
    </row>
    <row r="41" spans="1:11" s="1" customFormat="1" x14ac:dyDescent="0.2">
      <c r="A41" s="37" t="s">
        <v>137</v>
      </c>
      <c r="B41" s="38"/>
      <c r="C41" s="39"/>
      <c r="D41" s="39">
        <f>SUM(D14,D24,D25,D26,D32,D39,D40)</f>
        <v>129.13187210339225</v>
      </c>
      <c r="E41" s="38"/>
      <c r="F41" s="39"/>
      <c r="G41" s="39">
        <f>SUM(G14,G24,G25,G26,G32,G39,G40)</f>
        <v>134.63450674200507</v>
      </c>
      <c r="H41" s="39">
        <f t="shared" si="1"/>
        <v>5.5026346386128182</v>
      </c>
      <c r="I41" s="40">
        <f>IF(ISERROR(H41/D41),0,(H41/D41))</f>
        <v>4.2612521207831738E-2</v>
      </c>
      <c r="J41" s="40">
        <f t="shared" si="7"/>
        <v>0.95238095238095222</v>
      </c>
      <c r="K41" s="41"/>
    </row>
    <row r="42" spans="1:11" x14ac:dyDescent="0.2">
      <c r="A42" s="150" t="s">
        <v>138</v>
      </c>
      <c r="B42" s="43"/>
      <c r="C42" s="26">
        <v>0.13</v>
      </c>
      <c r="D42" s="26">
        <f>D41*C42</f>
        <v>16.787143373440994</v>
      </c>
      <c r="E42" s="26"/>
      <c r="F42" s="26">
        <f>C42</f>
        <v>0.13</v>
      </c>
      <c r="G42" s="26">
        <f>G41*F42</f>
        <v>17.502485876460661</v>
      </c>
      <c r="H42" s="26">
        <f t="shared" si="1"/>
        <v>0.71534250301966651</v>
      </c>
      <c r="I42" s="44">
        <f t="shared" si="2"/>
        <v>4.2612521207831745E-2</v>
      </c>
      <c r="J42" s="44">
        <f t="shared" si="7"/>
        <v>0.1238095238095238</v>
      </c>
      <c r="K42" s="45"/>
    </row>
    <row r="43" spans="1:11" s="1" customFormat="1" x14ac:dyDescent="0.2">
      <c r="A43" s="46" t="s">
        <v>139</v>
      </c>
      <c r="B43" s="24"/>
      <c r="C43" s="25"/>
      <c r="D43" s="25">
        <f>SUM(D41:D42)</f>
        <v>145.91901547683324</v>
      </c>
      <c r="E43" s="25"/>
      <c r="F43" s="25"/>
      <c r="G43" s="25">
        <f>SUM(G41:G42)</f>
        <v>152.13699261846574</v>
      </c>
      <c r="H43" s="25">
        <f t="shared" si="1"/>
        <v>6.2179771416325025</v>
      </c>
      <c r="I43" s="27">
        <f t="shared" si="2"/>
        <v>4.2612521207831863E-2</v>
      </c>
      <c r="J43" s="27">
        <f t="shared" si="7"/>
        <v>1.0761904761904761</v>
      </c>
      <c r="K43" s="47"/>
    </row>
    <row r="44" spans="1:11" x14ac:dyDescent="0.2">
      <c r="A44" s="42" t="s">
        <v>140</v>
      </c>
      <c r="B44" s="43"/>
      <c r="C44" s="26">
        <v>-0.08</v>
      </c>
      <c r="D44" s="26">
        <f>D41*C44</f>
        <v>-10.33054976827138</v>
      </c>
      <c r="E44" s="26"/>
      <c r="F44" s="26">
        <f>C44</f>
        <v>-0.08</v>
      </c>
      <c r="G44" s="26">
        <f>G41*F44</f>
        <v>-10.770760539360406</v>
      </c>
      <c r="H44" s="26">
        <f t="shared" si="1"/>
        <v>-0.44021077108902595</v>
      </c>
      <c r="I44" s="44">
        <f t="shared" si="2"/>
        <v>4.2612521207831787E-2</v>
      </c>
      <c r="J44" s="44">
        <f t="shared" si="7"/>
        <v>-7.6190476190476183E-2</v>
      </c>
      <c r="K44" s="45"/>
    </row>
    <row r="45" spans="1:11" s="1" customFormat="1" ht="13.5" thickBot="1" x14ac:dyDescent="0.25">
      <c r="A45" s="48" t="s">
        <v>141</v>
      </c>
      <c r="B45" s="49"/>
      <c r="C45" s="50"/>
      <c r="D45" s="50">
        <f>SUM(D43:D44)</f>
        <v>135.58846570856187</v>
      </c>
      <c r="E45" s="50"/>
      <c r="F45" s="50"/>
      <c r="G45" s="50">
        <f>SUM(G43:G44)</f>
        <v>141.36623207910534</v>
      </c>
      <c r="H45" s="50">
        <f t="shared" si="1"/>
        <v>5.7777663705434747</v>
      </c>
      <c r="I45" s="51">
        <f t="shared" si="2"/>
        <v>4.2612521207831856E-2</v>
      </c>
      <c r="J45" s="51">
        <f t="shared" si="7"/>
        <v>1</v>
      </c>
      <c r="K45" s="52"/>
    </row>
    <row r="46" spans="1:11" x14ac:dyDescent="0.2">
      <c r="A46" s="53" t="s">
        <v>142</v>
      </c>
      <c r="B46" s="54"/>
      <c r="C46" s="55"/>
      <c r="D46" s="55">
        <f>SUM(D18,D24,D25,D27,D32,D39,D40)</f>
        <v>132.82516752694531</v>
      </c>
      <c r="E46" s="55"/>
      <c r="F46" s="55"/>
      <c r="G46" s="55">
        <f>SUM(G18,G24,G25,G27,G32,G39,G40)</f>
        <v>138.31979836875689</v>
      </c>
      <c r="H46" s="55">
        <f>G46-D46</f>
        <v>5.4946308418115848</v>
      </c>
      <c r="I46" s="56">
        <f>IF(ISERROR(H46/D46),0,(H46/D46))</f>
        <v>4.1367392521428049E-2</v>
      </c>
      <c r="J46" s="56"/>
      <c r="K46" s="57">
        <f>G46/$G$50</f>
        <v>0.95238095238095233</v>
      </c>
    </row>
    <row r="47" spans="1:11" x14ac:dyDescent="0.2">
      <c r="A47" s="58" t="s">
        <v>138</v>
      </c>
      <c r="B47" s="59"/>
      <c r="C47" s="31">
        <v>0.13</v>
      </c>
      <c r="D47" s="31">
        <f>D46*C47</f>
        <v>17.267271778502892</v>
      </c>
      <c r="E47" s="31"/>
      <c r="F47" s="31">
        <f>C47</f>
        <v>0.13</v>
      </c>
      <c r="G47" s="31">
        <f>G46*F47</f>
        <v>17.981573787938398</v>
      </c>
      <c r="H47" s="31">
        <f>G47-D47</f>
        <v>0.71430200943550659</v>
      </c>
      <c r="I47" s="32">
        <f>IF(ISERROR(H47/D47),0,(H47/D47))</f>
        <v>4.1367392521428077E-2</v>
      </c>
      <c r="J47" s="32"/>
      <c r="K47" s="60">
        <f>G47/$G$50</f>
        <v>0.12380952380952383</v>
      </c>
    </row>
    <row r="48" spans="1:11" x14ac:dyDescent="0.2">
      <c r="A48" s="61" t="s">
        <v>143</v>
      </c>
      <c r="B48" s="29"/>
      <c r="C48" s="30"/>
      <c r="D48" s="30">
        <f>SUM(D46:D47)</f>
        <v>150.09243930544821</v>
      </c>
      <c r="E48" s="30"/>
      <c r="F48" s="30"/>
      <c r="G48" s="30">
        <f>SUM(G46:G47)</f>
        <v>156.30137215669529</v>
      </c>
      <c r="H48" s="30">
        <f>G48-D48</f>
        <v>6.2089328512470843</v>
      </c>
      <c r="I48" s="33">
        <f>IF(ISERROR(H48/D48),0,(H48/D48))</f>
        <v>4.1367392521428001E-2</v>
      </c>
      <c r="J48" s="33"/>
      <c r="K48" s="62">
        <f>G48/$G$50</f>
        <v>1.0761904761904761</v>
      </c>
    </row>
    <row r="49" spans="1:11" x14ac:dyDescent="0.2">
      <c r="A49" s="58" t="s">
        <v>140</v>
      </c>
      <c r="B49" s="59"/>
      <c r="C49" s="31">
        <v>-0.08</v>
      </c>
      <c r="D49" s="31">
        <f>D46*C49</f>
        <v>-10.626013402155625</v>
      </c>
      <c r="E49" s="31"/>
      <c r="F49" s="31">
        <f>C49</f>
        <v>-0.08</v>
      </c>
      <c r="G49" s="31">
        <f>G46*F49</f>
        <v>-11.065583869500552</v>
      </c>
      <c r="H49" s="31">
        <f>G49-D49</f>
        <v>-0.439570467344927</v>
      </c>
      <c r="I49" s="32">
        <f>IF(ISERROR(H49/D49),0,(H49/D49))</f>
        <v>4.1367392521428063E-2</v>
      </c>
      <c r="J49" s="32"/>
      <c r="K49" s="60">
        <f>G49/$G$50</f>
        <v>-7.6190476190476197E-2</v>
      </c>
    </row>
    <row r="50" spans="1:11" ht="13.5" thickBot="1" x14ac:dyDescent="0.25">
      <c r="A50" s="63" t="s">
        <v>144</v>
      </c>
      <c r="B50" s="64"/>
      <c r="C50" s="65"/>
      <c r="D50" s="65">
        <f>SUM(D48:D49)</f>
        <v>139.46642590329259</v>
      </c>
      <c r="E50" s="65"/>
      <c r="F50" s="65"/>
      <c r="G50" s="65">
        <f>SUM(G48:G49)</f>
        <v>145.23578828719474</v>
      </c>
      <c r="H50" s="65">
        <f>G50-D50</f>
        <v>5.7693623839021484</v>
      </c>
      <c r="I50" s="66">
        <f>IF(ISERROR(H50/D50),0,(H50/D50))</f>
        <v>4.1367392521427931E-2</v>
      </c>
      <c r="J50" s="66"/>
      <c r="K50" s="67">
        <f>G50/$G$50</f>
        <v>1</v>
      </c>
    </row>
    <row r="51" spans="1:11" x14ac:dyDescent="0.2">
      <c r="C51" s="68"/>
      <c r="F51" s="69"/>
    </row>
    <row r="52" spans="1:11" x14ac:dyDescent="0.2">
      <c r="F52" s="69"/>
    </row>
    <row r="53" spans="1:11" x14ac:dyDescent="0.2">
      <c r="F53" s="69"/>
    </row>
    <row r="54" spans="1:11" x14ac:dyDescent="0.2">
      <c r="A54" s="70"/>
      <c r="B54" s="71"/>
      <c r="F54" s="69"/>
    </row>
    <row r="55" spans="1:11" x14ac:dyDescent="0.2">
      <c r="B55" s="71"/>
      <c r="F55" s="69"/>
    </row>
    <row r="56" spans="1:11" x14ac:dyDescent="0.2">
      <c r="F56" s="69"/>
    </row>
    <row r="57" spans="1:11" x14ac:dyDescent="0.2">
      <c r="D57" s="72"/>
      <c r="F57" s="69"/>
    </row>
    <row r="58" spans="1:11" x14ac:dyDescent="0.2">
      <c r="F58" s="69"/>
    </row>
    <row r="59" spans="1:11" x14ac:dyDescent="0.2">
      <c r="A59" s="70"/>
      <c r="B59" s="71"/>
      <c r="F59" s="69"/>
    </row>
    <row r="60" spans="1:11" x14ac:dyDescent="0.2">
      <c r="B60" s="72"/>
      <c r="D60" s="72"/>
      <c r="F60" s="69"/>
    </row>
    <row r="61" spans="1:11" x14ac:dyDescent="0.2">
      <c r="F61" s="69"/>
    </row>
    <row r="62" spans="1:11" x14ac:dyDescent="0.2">
      <c r="F62" s="69"/>
    </row>
    <row r="63" spans="1:11" x14ac:dyDescent="0.2">
      <c r="F63" s="69"/>
      <c r="K63"/>
    </row>
    <row r="64" spans="1:11" x14ac:dyDescent="0.2">
      <c r="F64" s="69"/>
      <c r="K64"/>
    </row>
    <row r="65" spans="6:11" x14ac:dyDescent="0.2">
      <c r="F65" s="69"/>
      <c r="K65"/>
    </row>
    <row r="66" spans="6:11" x14ac:dyDescent="0.2">
      <c r="F66" s="69"/>
      <c r="K66"/>
    </row>
    <row r="67" spans="6:11" x14ac:dyDescent="0.2">
      <c r="F67" s="69"/>
      <c r="K67"/>
    </row>
  </sheetData>
  <mergeCells count="1">
    <mergeCell ref="A1:K1"/>
  </mergeCell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Impacts'!$A$3:$A$21</xm:f>
          </x14:formula1>
          <xm:sqref>B3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3">
    <tabColor theme="1" tint="0.499984740745262"/>
    <pageSetUpPr fitToPage="1"/>
  </sheetPr>
  <dimension ref="A1:K68"/>
  <sheetViews>
    <sheetView topLeftCell="A25" zoomScale="110" zoomScaleNormal="110" workbookViewId="0">
      <selection activeCell="C19" sqref="C19"/>
    </sheetView>
  </sheetViews>
  <sheetFormatPr defaultRowHeight="12.75" x14ac:dyDescent="0.2"/>
  <cols>
    <col min="1" max="1" width="64.855468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48" t="s">
        <v>112</v>
      </c>
      <c r="B1" s="349"/>
      <c r="C1" s="349"/>
      <c r="D1" s="349"/>
      <c r="E1" s="349"/>
      <c r="F1" s="349"/>
      <c r="G1" s="349"/>
      <c r="H1" s="349"/>
      <c r="I1" s="349"/>
      <c r="J1" s="349"/>
      <c r="K1" s="350"/>
    </row>
    <row r="3" spans="1:11" x14ac:dyDescent="0.2">
      <c r="A3" s="13" t="s">
        <v>13</v>
      </c>
      <c r="B3" s="13" t="s">
        <v>0</v>
      </c>
    </row>
    <row r="4" spans="1:11" x14ac:dyDescent="0.2">
      <c r="A4" s="15" t="s">
        <v>62</v>
      </c>
      <c r="B4" s="79">
        <f>'Data for Bill Impacts_HONI Avg '!C3</f>
        <v>755</v>
      </c>
    </row>
    <row r="5" spans="1:11" x14ac:dyDescent="0.2">
      <c r="A5" s="15" t="s">
        <v>16</v>
      </c>
      <c r="B5" s="15">
        <f>VLOOKUP($B$3,'Data for Bill Impacts'!$A$3:$Y$15,5,0)</f>
        <v>0</v>
      </c>
    </row>
    <row r="6" spans="1:11" x14ac:dyDescent="0.2">
      <c r="A6" s="15" t="s">
        <v>20</v>
      </c>
      <c r="B6" s="15">
        <f>VLOOKUP($B$3,'Data for Bill Impacts'!$A$3:$Y$15,2,0)</f>
        <v>1.0569999999999999</v>
      </c>
    </row>
    <row r="7" spans="1:11" x14ac:dyDescent="0.2">
      <c r="A7" s="15" t="s">
        <v>15</v>
      </c>
      <c r="B7" s="15">
        <f>VLOOKUP($B$3,'Data for Bill Impacts'!$A$3:$Y$15,4,0)</f>
        <v>600</v>
      </c>
    </row>
    <row r="8" spans="1:11" x14ac:dyDescent="0.2">
      <c r="A8" s="15" t="s">
        <v>82</v>
      </c>
      <c r="B8" s="193">
        <f>B4*B6</f>
        <v>798.03499999999997</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0.10299999999999999</v>
      </c>
      <c r="D12" s="104">
        <f>B12*C12</f>
        <v>61.8</v>
      </c>
      <c r="E12" s="102">
        <f>B12</f>
        <v>600</v>
      </c>
      <c r="F12" s="103">
        <f>C12</f>
        <v>0.10299999999999999</v>
      </c>
      <c r="G12" s="104">
        <f>E12*F12</f>
        <v>61.8</v>
      </c>
      <c r="H12" s="104">
        <f>G12-D12</f>
        <v>0</v>
      </c>
      <c r="I12" s="105">
        <f>IF(ISERROR(H12/D12),0,(H12/D12))</f>
        <v>0</v>
      </c>
      <c r="J12" s="105">
        <f>G12/$G$46</f>
        <v>0.41956195774334692</v>
      </c>
      <c r="K12" s="106"/>
    </row>
    <row r="13" spans="1:11" x14ac:dyDescent="0.2">
      <c r="A13" s="107" t="s">
        <v>32</v>
      </c>
      <c r="B13" s="73">
        <f>IF(B4&gt;B7,(B4)-B7,0)</f>
        <v>155</v>
      </c>
      <c r="C13" s="21">
        <v>0.121</v>
      </c>
      <c r="D13" s="22">
        <f>B13*C13</f>
        <v>18.754999999999999</v>
      </c>
      <c r="E13" s="73">
        <f t="shared" ref="E13" si="0">B13</f>
        <v>155</v>
      </c>
      <c r="F13" s="21">
        <f>C13</f>
        <v>0.121</v>
      </c>
      <c r="G13" s="22">
        <f>E13*F13</f>
        <v>18.754999999999999</v>
      </c>
      <c r="H13" s="22">
        <f t="shared" ref="H13:H46" si="1">G13-D13</f>
        <v>0</v>
      </c>
      <c r="I13" s="23">
        <f t="shared" ref="I13:I46" si="2">IF(ISERROR(H13/D13),0,(H13/D13))</f>
        <v>0</v>
      </c>
      <c r="J13" s="23">
        <f>G13/$G$46</f>
        <v>0.1273282284381306</v>
      </c>
      <c r="K13" s="108"/>
    </row>
    <row r="14" spans="1:11" s="1" customFormat="1" x14ac:dyDescent="0.2">
      <c r="A14" s="46" t="s">
        <v>33</v>
      </c>
      <c r="B14" s="24"/>
      <c r="C14" s="25"/>
      <c r="D14" s="25">
        <f>SUM(D12:D13)</f>
        <v>80.554999999999993</v>
      </c>
      <c r="E14" s="76"/>
      <c r="F14" s="25"/>
      <c r="G14" s="25">
        <f>SUM(G12:G13)</f>
        <v>80.554999999999993</v>
      </c>
      <c r="H14" s="25">
        <f t="shared" si="1"/>
        <v>0</v>
      </c>
      <c r="I14" s="27">
        <f t="shared" si="2"/>
        <v>0</v>
      </c>
      <c r="J14" s="27">
        <f>G14/$G$46</f>
        <v>0.54689018618147744</v>
      </c>
      <c r="K14" s="108"/>
    </row>
    <row r="15" spans="1:11" s="1" customFormat="1" x14ac:dyDescent="0.2">
      <c r="A15" s="109" t="s">
        <v>34</v>
      </c>
      <c r="B15" s="75">
        <f>B4*0.65</f>
        <v>490.75</v>
      </c>
      <c r="C15" s="28">
        <v>8.6999999999999994E-2</v>
      </c>
      <c r="D15" s="22">
        <f>B15*C15</f>
        <v>42.695249999999994</v>
      </c>
      <c r="E15" s="73">
        <f t="shared" ref="E15:F17" si="3">B15</f>
        <v>490.75</v>
      </c>
      <c r="F15" s="28">
        <f t="shared" si="3"/>
        <v>8.6999999999999994E-2</v>
      </c>
      <c r="G15" s="22">
        <f>E15*F15</f>
        <v>42.695249999999994</v>
      </c>
      <c r="H15" s="22">
        <f t="shared" si="1"/>
        <v>0</v>
      </c>
      <c r="I15" s="23">
        <f t="shared" si="2"/>
        <v>0</v>
      </c>
      <c r="J15" s="23"/>
      <c r="K15" s="108">
        <f t="shared" ref="K15:K26" si="4">G15/$G$51</f>
        <v>0.28353129021880941</v>
      </c>
    </row>
    <row r="16" spans="1:11" s="1" customFormat="1" x14ac:dyDescent="0.2">
      <c r="A16" s="109" t="s">
        <v>35</v>
      </c>
      <c r="B16" s="75">
        <f>B4*0.17</f>
        <v>128.35000000000002</v>
      </c>
      <c r="C16" s="28">
        <v>0.13200000000000001</v>
      </c>
      <c r="D16" s="22">
        <f>B16*C16</f>
        <v>16.942200000000003</v>
      </c>
      <c r="E16" s="73">
        <f t="shared" si="3"/>
        <v>128.35000000000002</v>
      </c>
      <c r="F16" s="28">
        <f t="shared" si="3"/>
        <v>0.13200000000000001</v>
      </c>
      <c r="G16" s="22">
        <f>E16*F16</f>
        <v>16.942200000000003</v>
      </c>
      <c r="H16" s="22">
        <f t="shared" si="1"/>
        <v>0</v>
      </c>
      <c r="I16" s="23">
        <f t="shared" si="2"/>
        <v>0</v>
      </c>
      <c r="J16" s="23"/>
      <c r="K16" s="108">
        <f t="shared" si="4"/>
        <v>0.11251002922210585</v>
      </c>
    </row>
    <row r="17" spans="1:11" s="1" customFormat="1" x14ac:dyDescent="0.2">
      <c r="A17" s="109" t="s">
        <v>36</v>
      </c>
      <c r="B17" s="75">
        <f>B4*0.18</f>
        <v>135.9</v>
      </c>
      <c r="C17" s="28">
        <v>0.18</v>
      </c>
      <c r="D17" s="22">
        <f>B17*C17</f>
        <v>24.462</v>
      </c>
      <c r="E17" s="73">
        <f t="shared" si="3"/>
        <v>135.9</v>
      </c>
      <c r="F17" s="28">
        <f t="shared" si="3"/>
        <v>0.18</v>
      </c>
      <c r="G17" s="22">
        <f>E17*F17</f>
        <v>24.462</v>
      </c>
      <c r="H17" s="22">
        <f t="shared" si="1"/>
        <v>0</v>
      </c>
      <c r="I17" s="23">
        <f t="shared" si="2"/>
        <v>0</v>
      </c>
      <c r="J17" s="23"/>
      <c r="K17" s="108">
        <f t="shared" si="4"/>
        <v>0.162447635775233</v>
      </c>
    </row>
    <row r="18" spans="1:11" s="1" customFormat="1" x14ac:dyDescent="0.2">
      <c r="A18" s="61" t="s">
        <v>37</v>
      </c>
      <c r="B18" s="29"/>
      <c r="C18" s="30"/>
      <c r="D18" s="30">
        <f>SUM(D15:D17)</f>
        <v>84.099450000000004</v>
      </c>
      <c r="E18" s="77"/>
      <c r="F18" s="30"/>
      <c r="G18" s="30">
        <f>SUM(G15:G17)</f>
        <v>84.099450000000004</v>
      </c>
      <c r="H18" s="31">
        <f t="shared" si="1"/>
        <v>0</v>
      </c>
      <c r="I18" s="32">
        <f t="shared" si="2"/>
        <v>0</v>
      </c>
      <c r="J18" s="33">
        <f t="shared" ref="J18:J23" si="5">G18/$G$46</f>
        <v>0.57095355804431591</v>
      </c>
      <c r="K18" s="62">
        <f t="shared" si="4"/>
        <v>0.55848895521614828</v>
      </c>
    </row>
    <row r="19" spans="1:11" x14ac:dyDescent="0.2">
      <c r="A19" s="107" t="s">
        <v>38</v>
      </c>
      <c r="B19" s="73">
        <v>1</v>
      </c>
      <c r="C19" s="78">
        <f>VLOOKUP($B$3,'Data for Bill Impacts'!$A$3:$Y$15,7,0)</f>
        <v>35.880000000000003</v>
      </c>
      <c r="D19" s="22">
        <f>B19*C19</f>
        <v>35.880000000000003</v>
      </c>
      <c r="E19" s="73">
        <f t="shared" ref="E19:E41" si="6">B19</f>
        <v>1</v>
      </c>
      <c r="F19" s="78">
        <f>VLOOKUP($B$3,'Data for Bill Impacts'!$A$3:$Y$15,17,0)</f>
        <v>36.72</v>
      </c>
      <c r="G19" s="22">
        <f>E19*F19</f>
        <v>36.72</v>
      </c>
      <c r="H19" s="22">
        <f t="shared" si="1"/>
        <v>0.83999999999999631</v>
      </c>
      <c r="I19" s="23">
        <f t="shared" si="2"/>
        <v>2.3411371237458088E-2</v>
      </c>
      <c r="J19" s="23">
        <f t="shared" si="5"/>
        <v>0.24929312440672652</v>
      </c>
      <c r="K19" s="108">
        <f t="shared" si="4"/>
        <v>0.24385075568909148</v>
      </c>
    </row>
    <row r="20" spans="1:11" hidden="1" x14ac:dyDescent="0.2">
      <c r="A20" s="107" t="s">
        <v>83</v>
      </c>
      <c r="B20" s="73">
        <v>1</v>
      </c>
      <c r="C20" s="78">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145</v>
      </c>
      <c r="B21" s="73">
        <v>1</v>
      </c>
      <c r="C21" s="78">
        <v>0</v>
      </c>
      <c r="D21" s="22">
        <f t="shared" ref="D21:D22" si="8">B21*C21</f>
        <v>0</v>
      </c>
      <c r="E21" s="73">
        <f t="shared" si="6"/>
        <v>1</v>
      </c>
      <c r="F21" s="122">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0.01</v>
      </c>
      <c r="D22" s="22">
        <f t="shared" si="8"/>
        <v>0.01</v>
      </c>
      <c r="E22" s="73">
        <f t="shared" si="6"/>
        <v>1</v>
      </c>
      <c r="F22" s="122">
        <f>VLOOKUP($B$3,'Data for Bill Impacts'!$A$3:$Y$15,22,0)</f>
        <v>0.01</v>
      </c>
      <c r="G22" s="22">
        <f t="shared" si="7"/>
        <v>0.01</v>
      </c>
      <c r="H22" s="22">
        <f t="shared" si="1"/>
        <v>0</v>
      </c>
      <c r="I22" s="23">
        <f t="shared" si="2"/>
        <v>0</v>
      </c>
      <c r="J22" s="23">
        <f t="shared" si="5"/>
        <v>6.7890284424489795E-5</v>
      </c>
      <c r="K22" s="108">
        <f t="shared" si="4"/>
        <v>6.6408157867399646E-5</v>
      </c>
    </row>
    <row r="23" spans="1:11" x14ac:dyDescent="0.2">
      <c r="A23" s="107" t="s">
        <v>39</v>
      </c>
      <c r="B23" s="73">
        <f>IF($B$9="kWh",$B$4,$B$5)</f>
        <v>755</v>
      </c>
      <c r="C23" s="126">
        <f>VLOOKUP($B$3,'Data for Bill Impacts'!$A$3:$Y$15,10,0)</f>
        <v>0</v>
      </c>
      <c r="D23" s="22">
        <f>B23*C23</f>
        <v>0</v>
      </c>
      <c r="E23" s="73">
        <f t="shared" si="6"/>
        <v>755</v>
      </c>
      <c r="F23" s="78">
        <f>VLOOKUP($B$3,'Data for Bill Impacts'!$A$3:$Y$15,19,0)</f>
        <v>0</v>
      </c>
      <c r="G23" s="22">
        <f>E23*F23</f>
        <v>0</v>
      </c>
      <c r="H23" s="22">
        <f t="shared" si="1"/>
        <v>0</v>
      </c>
      <c r="I23" s="23">
        <f t="shared" si="2"/>
        <v>0</v>
      </c>
      <c r="J23" s="23">
        <f t="shared" si="5"/>
        <v>0</v>
      </c>
      <c r="K23" s="108">
        <f t="shared" si="4"/>
        <v>0</v>
      </c>
    </row>
    <row r="24" spans="1:11" x14ac:dyDescent="0.2">
      <c r="A24" s="107" t="s">
        <v>194</v>
      </c>
      <c r="B24" s="73">
        <f>IF($B$9="kWh",$B$4,$B$5)</f>
        <v>755</v>
      </c>
      <c r="C24" s="126">
        <f>VLOOKUP($B$3,'Data for Bill Impacts'!$A$3:$Y$15,14,0)</f>
        <v>2.0000000000000001E-4</v>
      </c>
      <c r="D24" s="22">
        <f>B24*C24</f>
        <v>0.151</v>
      </c>
      <c r="E24" s="73">
        <f t="shared" si="6"/>
        <v>755</v>
      </c>
      <c r="F24" s="126">
        <f>VLOOKUP($B$3,'Data for Bill Impacts'!$A$3:$Y$15,23,0)</f>
        <v>2.0000000000000001E-4</v>
      </c>
      <c r="G24" s="22">
        <f>E24*F24</f>
        <v>0.151</v>
      </c>
      <c r="H24" s="22">
        <f t="shared" si="1"/>
        <v>0</v>
      </c>
      <c r="I24" s="23">
        <f>IF(ISERROR(H24/D24),0,(H24/D24))</f>
        <v>0</v>
      </c>
      <c r="J24" s="23">
        <f t="shared" ref="J24" si="9">G24/$G$46</f>
        <v>1.0251432948097958E-3</v>
      </c>
      <c r="K24" s="108">
        <f t="shared" si="4"/>
        <v>1.0027631837977345E-3</v>
      </c>
    </row>
    <row r="25" spans="1:11" s="1" customFormat="1" x14ac:dyDescent="0.2">
      <c r="A25" s="110" t="s">
        <v>72</v>
      </c>
      <c r="B25" s="74"/>
      <c r="C25" s="35"/>
      <c r="D25" s="35">
        <f>SUM(D19:D24)</f>
        <v>36.041000000000004</v>
      </c>
      <c r="E25" s="73"/>
      <c r="F25" s="35"/>
      <c r="G25" s="35">
        <f>SUM(G19:G24)</f>
        <v>36.881</v>
      </c>
      <c r="H25" s="35">
        <f t="shared" si="1"/>
        <v>0.83999999999999631</v>
      </c>
      <c r="I25" s="36">
        <f t="shared" si="2"/>
        <v>2.3306789489747681E-2</v>
      </c>
      <c r="J25" s="36">
        <f>G25/$G$46</f>
        <v>0.25038615798596081</v>
      </c>
      <c r="K25" s="111">
        <f t="shared" si="4"/>
        <v>0.2449199270307566</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G26/$G$46</f>
        <v>5.3633324695346943E-3</v>
      </c>
      <c r="K26" s="108">
        <f t="shared" si="4"/>
        <v>5.2462444715245717E-3</v>
      </c>
    </row>
    <row r="27" spans="1:11" s="1" customFormat="1" x14ac:dyDescent="0.2">
      <c r="A27" s="119" t="s">
        <v>75</v>
      </c>
      <c r="B27" s="120">
        <f>B8-B4</f>
        <v>43.034999999999968</v>
      </c>
      <c r="C27" s="121">
        <f>IF(B4&gt;B7,C13,C12)</f>
        <v>0.121</v>
      </c>
      <c r="D27" s="22">
        <f>B27*C27</f>
        <v>5.2072349999999963</v>
      </c>
      <c r="E27" s="73">
        <f>B27</f>
        <v>43.034999999999968</v>
      </c>
      <c r="F27" s="121">
        <f>C27</f>
        <v>0.121</v>
      </c>
      <c r="G27" s="22">
        <f>E27*F27</f>
        <v>5.2072349999999963</v>
      </c>
      <c r="H27" s="22">
        <f t="shared" si="1"/>
        <v>0</v>
      </c>
      <c r="I27" s="23">
        <f>IF(ISERROR(H27/D27),0,(H27/D27))</f>
        <v>0</v>
      </c>
      <c r="J27" s="23">
        <f t="shared" ref="J27:J46" si="10">G27/$G$46</f>
        <v>3.5352066521515783E-2</v>
      </c>
      <c r="K27" s="108">
        <f t="shared" ref="K27:K41" si="11">G27/$G$51</f>
        <v>3.4580288393264852E-2</v>
      </c>
    </row>
    <row r="28" spans="1:11" s="1" customFormat="1" x14ac:dyDescent="0.2">
      <c r="A28" s="119" t="s">
        <v>74</v>
      </c>
      <c r="B28" s="120">
        <f>B8-B4</f>
        <v>43.034999999999968</v>
      </c>
      <c r="C28" s="121">
        <f>0.65*C15+0.17*C16+0.18*C17</f>
        <v>0.11139</v>
      </c>
      <c r="D28" s="22">
        <f>B28*C28</f>
        <v>4.7936686499999963</v>
      </c>
      <c r="E28" s="73">
        <f>B28</f>
        <v>43.034999999999968</v>
      </c>
      <c r="F28" s="121">
        <f>C28</f>
        <v>0.11139</v>
      </c>
      <c r="G28" s="22">
        <f>E28*F28</f>
        <v>4.7936686499999963</v>
      </c>
      <c r="H28" s="22">
        <f t="shared" si="1"/>
        <v>0</v>
      </c>
      <c r="I28" s="23">
        <f>IF(ISERROR(H28/D28),0,(H28/D28))</f>
        <v>0</v>
      </c>
      <c r="J28" s="23">
        <f t="shared" si="10"/>
        <v>3.2544352808525974E-2</v>
      </c>
      <c r="K28" s="108">
        <f t="shared" si="11"/>
        <v>3.1833870447320424E-2</v>
      </c>
    </row>
    <row r="29" spans="1:11" s="1" customFormat="1" x14ac:dyDescent="0.2">
      <c r="A29" s="110" t="s">
        <v>78</v>
      </c>
      <c r="B29" s="74"/>
      <c r="C29" s="35"/>
      <c r="D29" s="35">
        <f>SUM(D25,D26:D27)</f>
        <v>42.038235</v>
      </c>
      <c r="E29" s="73"/>
      <c r="F29" s="35"/>
      <c r="G29" s="35">
        <f>SUM(G25,G26:G27)</f>
        <v>42.878234999999997</v>
      </c>
      <c r="H29" s="35">
        <f t="shared" si="1"/>
        <v>0.83999999999999631</v>
      </c>
      <c r="I29" s="36">
        <f>IF(ISERROR(H29/D29),0,(H29/D29))</f>
        <v>1.9981809417069871E-2</v>
      </c>
      <c r="J29" s="36">
        <f t="shared" si="10"/>
        <v>0.29110155697701129</v>
      </c>
      <c r="K29" s="111">
        <f t="shared" si="11"/>
        <v>0.28474645989554603</v>
      </c>
    </row>
    <row r="30" spans="1:11" s="1" customFormat="1" x14ac:dyDescent="0.2">
      <c r="A30" s="110" t="s">
        <v>77</v>
      </c>
      <c r="B30" s="74"/>
      <c r="C30" s="35"/>
      <c r="D30" s="35">
        <f>SUM(D25,D26,D28)</f>
        <v>41.624668649999997</v>
      </c>
      <c r="E30" s="73"/>
      <c r="F30" s="35"/>
      <c r="G30" s="35">
        <f>SUM(G25,G26,G28)</f>
        <v>42.464668649999993</v>
      </c>
      <c r="H30" s="35">
        <f t="shared" si="1"/>
        <v>0.83999999999999631</v>
      </c>
      <c r="I30" s="36">
        <f>IF(ISERROR(H30/D30),0,(H30/D30))</f>
        <v>2.0180340822965239E-2</v>
      </c>
      <c r="J30" s="36">
        <f t="shared" si="10"/>
        <v>0.28829384326402147</v>
      </c>
      <c r="K30" s="111">
        <f t="shared" si="11"/>
        <v>0.2820000419496016</v>
      </c>
    </row>
    <row r="31" spans="1:11" x14ac:dyDescent="0.2">
      <c r="A31" s="107" t="s">
        <v>40</v>
      </c>
      <c r="B31" s="73">
        <f>B8</f>
        <v>798.03499999999997</v>
      </c>
      <c r="C31" s="126">
        <f>VLOOKUP($B$3,'Data for Bill Impacts'!$A$3:$Y$15,15,0)</f>
        <v>7.8279999999999999E-3</v>
      </c>
      <c r="D31" s="22">
        <f>B31*C31</f>
        <v>6.2470179799999999</v>
      </c>
      <c r="E31" s="73">
        <f t="shared" si="6"/>
        <v>798.03499999999997</v>
      </c>
      <c r="F31" s="78">
        <f>VLOOKUP($B$3,'Data for Bill Impacts'!$A$3:$Y$15,24,0)</f>
        <v>7.7000000000000002E-3</v>
      </c>
      <c r="G31" s="22">
        <f>E31*F31</f>
        <v>6.1448694999999995</v>
      </c>
      <c r="H31" s="22">
        <f t="shared" si="1"/>
        <v>-0.10214848000000032</v>
      </c>
      <c r="I31" s="23">
        <f t="shared" si="2"/>
        <v>-1.6351558507920336E-2</v>
      </c>
      <c r="J31" s="23">
        <f t="shared" si="10"/>
        <v>4.1717693810637238E-2</v>
      </c>
      <c r="K31" s="108">
        <f t="shared" si="11"/>
        <v>4.0806946383056909E-2</v>
      </c>
    </row>
    <row r="32" spans="1:11" x14ac:dyDescent="0.2">
      <c r="A32" s="107" t="s">
        <v>41</v>
      </c>
      <c r="B32" s="73">
        <f>B8</f>
        <v>798.03499999999997</v>
      </c>
      <c r="C32" s="126">
        <f>VLOOKUP($B$3,'Data for Bill Impacts'!$A$3:$Y$15,16,0)</f>
        <v>6.4380000000000001E-3</v>
      </c>
      <c r="D32" s="22">
        <f>B32*C32</f>
        <v>5.1377493300000001</v>
      </c>
      <c r="E32" s="73">
        <f t="shared" si="6"/>
        <v>798.03499999999997</v>
      </c>
      <c r="F32" s="78">
        <f>VLOOKUP($B$3,'Data for Bill Impacts'!$A$3:$Y$15,25,0)</f>
        <v>6.3E-3</v>
      </c>
      <c r="G32" s="22">
        <f>E32*F32</f>
        <v>5.0276205000000003</v>
      </c>
      <c r="H32" s="22">
        <f t="shared" si="1"/>
        <v>-0.11012882999999984</v>
      </c>
      <c r="I32" s="23">
        <f t="shared" si="2"/>
        <v>-2.1435228331780024E-2</v>
      </c>
      <c r="J32" s="23">
        <f t="shared" si="10"/>
        <v>3.4132658572339561E-2</v>
      </c>
      <c r="K32" s="108">
        <f t="shared" si="11"/>
        <v>3.3387501586137472E-2</v>
      </c>
    </row>
    <row r="33" spans="1:11" s="1" customFormat="1" x14ac:dyDescent="0.2">
      <c r="A33" s="110" t="s">
        <v>76</v>
      </c>
      <c r="B33" s="74"/>
      <c r="C33" s="35"/>
      <c r="D33" s="35">
        <f>SUM(D31:D32)</f>
        <v>11.384767310000001</v>
      </c>
      <c r="E33" s="73"/>
      <c r="F33" s="35"/>
      <c r="G33" s="35">
        <f>SUM(G31:G32)</f>
        <v>11.17249</v>
      </c>
      <c r="H33" s="35">
        <f t="shared" si="1"/>
        <v>-0.21227731000000105</v>
      </c>
      <c r="I33" s="36">
        <f t="shared" si="2"/>
        <v>-1.8645731108930415E-2</v>
      </c>
      <c r="J33" s="36">
        <f t="shared" si="10"/>
        <v>7.5850352382976799E-2</v>
      </c>
      <c r="K33" s="111">
        <f t="shared" si="11"/>
        <v>7.4194447969194374E-2</v>
      </c>
    </row>
    <row r="34" spans="1:11" s="1" customFormat="1" x14ac:dyDescent="0.2">
      <c r="A34" s="110" t="s">
        <v>95</v>
      </c>
      <c r="B34" s="74"/>
      <c r="C34" s="35"/>
      <c r="D34" s="35">
        <f>D29+D33</f>
        <v>53.423002310000001</v>
      </c>
      <c r="E34" s="73"/>
      <c r="F34" s="35"/>
      <c r="G34" s="35">
        <f>G29+G33</f>
        <v>54.050725</v>
      </c>
      <c r="H34" s="35">
        <f t="shared" si="1"/>
        <v>0.62772268999999881</v>
      </c>
      <c r="I34" s="36">
        <f t="shared" si="2"/>
        <v>1.1750045165142251E-2</v>
      </c>
      <c r="J34" s="36">
        <f t="shared" si="10"/>
        <v>0.36695190935998812</v>
      </c>
      <c r="K34" s="111">
        <f t="shared" si="11"/>
        <v>0.35894090786474042</v>
      </c>
    </row>
    <row r="35" spans="1:11" s="1" customFormat="1" x14ac:dyDescent="0.2">
      <c r="A35" s="110" t="s">
        <v>96</v>
      </c>
      <c r="B35" s="74"/>
      <c r="C35" s="35"/>
      <c r="D35" s="35">
        <f>D30+D33</f>
        <v>53.009435959999998</v>
      </c>
      <c r="E35" s="73"/>
      <c r="F35" s="35"/>
      <c r="G35" s="35">
        <f>G30+G33</f>
        <v>53.637158649999989</v>
      </c>
      <c r="H35" s="35">
        <f t="shared" si="1"/>
        <v>0.6277226899999917</v>
      </c>
      <c r="I35" s="36">
        <f t="shared" si="2"/>
        <v>1.1841716076240849E-2</v>
      </c>
      <c r="J35" s="36">
        <f t="shared" si="10"/>
        <v>0.36414419564699824</v>
      </c>
      <c r="K35" s="111">
        <f t="shared" si="11"/>
        <v>0.35619448991879593</v>
      </c>
    </row>
    <row r="36" spans="1:11" x14ac:dyDescent="0.2">
      <c r="A36" s="107" t="s">
        <v>42</v>
      </c>
      <c r="B36" s="73">
        <f>B8</f>
        <v>798.03499999999997</v>
      </c>
      <c r="C36" s="34">
        <v>3.5999999999999999E-3</v>
      </c>
      <c r="D36" s="22">
        <f>B36*C36</f>
        <v>2.8729259999999996</v>
      </c>
      <c r="E36" s="73">
        <f t="shared" si="6"/>
        <v>798.03499999999997</v>
      </c>
      <c r="F36" s="34">
        <v>3.5999999999999999E-3</v>
      </c>
      <c r="G36" s="22">
        <f>E36*F36</f>
        <v>2.8729259999999996</v>
      </c>
      <c r="H36" s="22">
        <f t="shared" si="1"/>
        <v>0</v>
      </c>
      <c r="I36" s="23">
        <f t="shared" si="2"/>
        <v>0</v>
      </c>
      <c r="J36" s="23">
        <f t="shared" si="10"/>
        <v>1.9504376327051175E-2</v>
      </c>
      <c r="K36" s="108">
        <f t="shared" si="11"/>
        <v>1.9078572334935696E-2</v>
      </c>
    </row>
    <row r="37" spans="1:11" x14ac:dyDescent="0.2">
      <c r="A37" s="107" t="s">
        <v>43</v>
      </c>
      <c r="B37" s="73">
        <f>B8</f>
        <v>798.03499999999997</v>
      </c>
      <c r="C37" s="34">
        <v>2.0999999999999999E-3</v>
      </c>
      <c r="D37" s="22">
        <f>B37*C37</f>
        <v>1.6758734999999998</v>
      </c>
      <c r="E37" s="73">
        <f t="shared" si="6"/>
        <v>798.03499999999997</v>
      </c>
      <c r="F37" s="34">
        <v>2.0999999999999999E-3</v>
      </c>
      <c r="G37" s="22">
        <f>E37*F37</f>
        <v>1.6758734999999998</v>
      </c>
      <c r="H37" s="22">
        <f>G37-D37</f>
        <v>0</v>
      </c>
      <c r="I37" s="23">
        <f t="shared" si="2"/>
        <v>0</v>
      </c>
      <c r="J37" s="23">
        <f t="shared" si="10"/>
        <v>1.1377552857446519E-2</v>
      </c>
      <c r="K37" s="108">
        <f t="shared" si="11"/>
        <v>1.1129167195379156E-2</v>
      </c>
    </row>
    <row r="38" spans="1:11" x14ac:dyDescent="0.2">
      <c r="A38" s="107" t="s">
        <v>100</v>
      </c>
      <c r="B38" s="73">
        <f>B8</f>
        <v>798.03499999999997</v>
      </c>
      <c r="C38" s="34">
        <v>1.1000000000000001E-3</v>
      </c>
      <c r="D38" s="22">
        <f>B38*C38</f>
        <v>0.87783849999999997</v>
      </c>
      <c r="E38" s="73">
        <f t="shared" si="6"/>
        <v>798.03499999999997</v>
      </c>
      <c r="F38" s="34">
        <v>1.1000000000000001E-3</v>
      </c>
      <c r="G38" s="22">
        <f>E38*F38</f>
        <v>0.87783849999999997</v>
      </c>
      <c r="H38" s="22">
        <f>G38-D38</f>
        <v>0</v>
      </c>
      <c r="I38" s="23">
        <f t="shared" si="2"/>
        <v>0</v>
      </c>
      <c r="J38" s="23">
        <f t="shared" si="10"/>
        <v>5.9596705443767479E-3</v>
      </c>
      <c r="K38" s="108">
        <f t="shared" si="11"/>
        <v>5.82956376900813E-3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10"/>
        <v>1.6972571106122448E-3</v>
      </c>
      <c r="K39" s="108">
        <f t="shared" si="11"/>
        <v>1.6602039466849911E-3</v>
      </c>
    </row>
    <row r="40" spans="1:11" s="1" customFormat="1" x14ac:dyDescent="0.2">
      <c r="A40" s="110" t="s">
        <v>45</v>
      </c>
      <c r="B40" s="74"/>
      <c r="C40" s="35"/>
      <c r="D40" s="35">
        <f>SUM(D36:D39)</f>
        <v>5.6766379999999996</v>
      </c>
      <c r="E40" s="73"/>
      <c r="F40" s="35"/>
      <c r="G40" s="35">
        <f>SUM(G36:G39)</f>
        <v>5.6766379999999996</v>
      </c>
      <c r="H40" s="35">
        <f t="shared" si="1"/>
        <v>0</v>
      </c>
      <c r="I40" s="36">
        <f t="shared" si="2"/>
        <v>0</v>
      </c>
      <c r="J40" s="36">
        <f t="shared" si="10"/>
        <v>3.8538856839486685E-2</v>
      </c>
      <c r="K40" s="111">
        <f t="shared" si="11"/>
        <v>3.7697507246007976E-2</v>
      </c>
    </row>
    <row r="41" spans="1:11" s="1" customFormat="1" ht="13.5" thickBot="1" x14ac:dyDescent="0.25">
      <c r="A41" s="112" t="s">
        <v>46</v>
      </c>
      <c r="B41" s="113">
        <f>B4</f>
        <v>755</v>
      </c>
      <c r="C41" s="114">
        <v>0</v>
      </c>
      <c r="D41" s="115">
        <f>B41*C41</f>
        <v>0</v>
      </c>
      <c r="E41" s="116">
        <f t="shared" si="6"/>
        <v>755</v>
      </c>
      <c r="F41" s="114">
        <f>C41</f>
        <v>0</v>
      </c>
      <c r="G41" s="115">
        <f>E41*F41</f>
        <v>0</v>
      </c>
      <c r="H41" s="115">
        <f t="shared" si="1"/>
        <v>0</v>
      </c>
      <c r="I41" s="117">
        <f t="shared" si="2"/>
        <v>0</v>
      </c>
      <c r="J41" s="117">
        <f t="shared" si="10"/>
        <v>0</v>
      </c>
      <c r="K41" s="118">
        <f t="shared" si="11"/>
        <v>0</v>
      </c>
    </row>
    <row r="42" spans="1:11" s="1" customFormat="1" x14ac:dyDescent="0.2">
      <c r="A42" s="37" t="s">
        <v>137</v>
      </c>
      <c r="B42" s="38"/>
      <c r="C42" s="39"/>
      <c r="D42" s="39">
        <f>SUM(D14,D25,D26,D27,D33,D40,D41)</f>
        <v>139.65464031000002</v>
      </c>
      <c r="E42" s="38"/>
      <c r="F42" s="39"/>
      <c r="G42" s="39">
        <f>SUM(G14,G25,G26,G27,G33,G40,G41)</f>
        <v>140.282363</v>
      </c>
      <c r="H42" s="39">
        <f t="shared" si="1"/>
        <v>0.6277226899999846</v>
      </c>
      <c r="I42" s="40">
        <f>IF(ISERROR(H42/D42),0,(H42/D42))</f>
        <v>4.4948215727496762E-3</v>
      </c>
      <c r="J42" s="40">
        <f t="shared" si="10"/>
        <v>0.95238095238095233</v>
      </c>
      <c r="K42" s="41"/>
    </row>
    <row r="43" spans="1:11" x14ac:dyDescent="0.2">
      <c r="A43" s="150" t="s">
        <v>138</v>
      </c>
      <c r="B43" s="43"/>
      <c r="C43" s="26">
        <v>0.13</v>
      </c>
      <c r="D43" s="26">
        <f>D42*C43</f>
        <v>18.155103240300004</v>
      </c>
      <c r="E43" s="26"/>
      <c r="F43" s="26">
        <f>C43</f>
        <v>0.13</v>
      </c>
      <c r="G43" s="26">
        <f>G42*F43</f>
        <v>18.236707190000001</v>
      </c>
      <c r="H43" s="26">
        <f t="shared" si="1"/>
        <v>8.1603949699996292E-2</v>
      </c>
      <c r="I43" s="44">
        <f t="shared" si="2"/>
        <v>4.4948215727495817E-3</v>
      </c>
      <c r="J43" s="44">
        <f t="shared" si="10"/>
        <v>0.12380952380952381</v>
      </c>
      <c r="K43" s="45"/>
    </row>
    <row r="44" spans="1:11" s="1" customFormat="1" x14ac:dyDescent="0.2">
      <c r="A44" s="46" t="s">
        <v>139</v>
      </c>
      <c r="B44" s="24"/>
      <c r="C44" s="25"/>
      <c r="D44" s="25">
        <f>SUM(D42:D43)</f>
        <v>157.80974355030003</v>
      </c>
      <c r="E44" s="25"/>
      <c r="F44" s="25"/>
      <c r="G44" s="25">
        <f>SUM(G42:G43)</f>
        <v>158.51907019000001</v>
      </c>
      <c r="H44" s="25">
        <f t="shared" si="1"/>
        <v>0.70932663969998089</v>
      </c>
      <c r="I44" s="27">
        <f t="shared" si="2"/>
        <v>4.4948215727496649E-3</v>
      </c>
      <c r="J44" s="27">
        <f t="shared" si="10"/>
        <v>1.0761904761904761</v>
      </c>
      <c r="K44" s="47"/>
    </row>
    <row r="45" spans="1:11" x14ac:dyDescent="0.2">
      <c r="A45" s="42" t="s">
        <v>140</v>
      </c>
      <c r="B45" s="43"/>
      <c r="C45" s="26">
        <v>-0.08</v>
      </c>
      <c r="D45" s="26">
        <f>D42*C45</f>
        <v>-11.172371224800001</v>
      </c>
      <c r="E45" s="26"/>
      <c r="F45" s="26">
        <f>C45</f>
        <v>-0.08</v>
      </c>
      <c r="G45" s="26">
        <f>G42*F45</f>
        <v>-11.222589040000001</v>
      </c>
      <c r="H45" s="26">
        <f t="shared" si="1"/>
        <v>-5.0217815199999905E-2</v>
      </c>
      <c r="I45" s="44">
        <f t="shared" si="2"/>
        <v>4.4948215727497777E-3</v>
      </c>
      <c r="J45" s="44">
        <f t="shared" si="10"/>
        <v>-7.6190476190476197E-2</v>
      </c>
      <c r="K45" s="45"/>
    </row>
    <row r="46" spans="1:11" s="1" customFormat="1" ht="13.5" thickBot="1" x14ac:dyDescent="0.25">
      <c r="A46" s="48" t="s">
        <v>141</v>
      </c>
      <c r="B46" s="49"/>
      <c r="C46" s="50"/>
      <c r="D46" s="50">
        <f>SUM(D44:D45)</f>
        <v>146.63737232550002</v>
      </c>
      <c r="E46" s="50"/>
      <c r="F46" s="50"/>
      <c r="G46" s="50">
        <f>SUM(G44:G45)</f>
        <v>147.29648115000001</v>
      </c>
      <c r="H46" s="50">
        <f t="shared" si="1"/>
        <v>0.65910882449998098</v>
      </c>
      <c r="I46" s="51">
        <f t="shared" si="2"/>
        <v>4.4948215727496563E-3</v>
      </c>
      <c r="J46" s="51">
        <f t="shared" si="10"/>
        <v>1</v>
      </c>
      <c r="K46" s="52"/>
    </row>
    <row r="47" spans="1:11" x14ac:dyDescent="0.2">
      <c r="A47" s="53" t="s">
        <v>142</v>
      </c>
      <c r="B47" s="54"/>
      <c r="C47" s="55"/>
      <c r="D47" s="55">
        <f>SUM(D18,D25,D26,D28,D33,D40,D41)</f>
        <v>142.78552396000001</v>
      </c>
      <c r="E47" s="55"/>
      <c r="F47" s="55"/>
      <c r="G47" s="55">
        <f>SUM(G18,G25,G26,G28,G33,G40,G41)</f>
        <v>143.41324665000002</v>
      </c>
      <c r="H47" s="55">
        <f>G47-D47</f>
        <v>0.62772269000001302</v>
      </c>
      <c r="I47" s="56">
        <f>IF(ISERROR(H47/D47),0,(H47/D47))</f>
        <v>4.3962628184623497E-3</v>
      </c>
      <c r="J47" s="56"/>
      <c r="K47" s="57">
        <f>G47/$G$51</f>
        <v>0.95238095238095233</v>
      </c>
    </row>
    <row r="48" spans="1:11" x14ac:dyDescent="0.2">
      <c r="A48" s="58" t="s">
        <v>138</v>
      </c>
      <c r="B48" s="59"/>
      <c r="C48" s="31">
        <v>0.13</v>
      </c>
      <c r="D48" s="31">
        <f>D47*C48</f>
        <v>18.562118114800001</v>
      </c>
      <c r="E48" s="31"/>
      <c r="F48" s="31">
        <f>C48</f>
        <v>0.13</v>
      </c>
      <c r="G48" s="31">
        <f>G47*F48</f>
        <v>18.643722064500004</v>
      </c>
      <c r="H48" s="31">
        <f>G48-D48</f>
        <v>8.1603949700003398E-2</v>
      </c>
      <c r="I48" s="32">
        <f>IF(ISERROR(H48/D48),0,(H48/D48))</f>
        <v>4.3962628184624417E-3</v>
      </c>
      <c r="J48" s="32"/>
      <c r="K48" s="60">
        <f>G48/$G$51</f>
        <v>0.12380952380952381</v>
      </c>
    </row>
    <row r="49" spans="1:11" x14ac:dyDescent="0.2">
      <c r="A49" s="61" t="s">
        <v>143</v>
      </c>
      <c r="B49" s="29"/>
      <c r="C49" s="30"/>
      <c r="D49" s="30">
        <f>SUM(D47:D48)</f>
        <v>161.34764207480001</v>
      </c>
      <c r="E49" s="30"/>
      <c r="F49" s="30"/>
      <c r="G49" s="30">
        <f>SUM(G47:G48)</f>
        <v>162.05696871450002</v>
      </c>
      <c r="H49" s="30">
        <f>G49-D49</f>
        <v>0.70932663970000931</v>
      </c>
      <c r="I49" s="33">
        <f>IF(ISERROR(H49/D49),0,(H49/D49))</f>
        <v>4.3962628184623168E-3</v>
      </c>
      <c r="J49" s="33"/>
      <c r="K49" s="62">
        <f>G49/$G$51</f>
        <v>1.0761904761904761</v>
      </c>
    </row>
    <row r="50" spans="1:11" x14ac:dyDescent="0.2">
      <c r="A50" s="58" t="s">
        <v>140</v>
      </c>
      <c r="B50" s="59"/>
      <c r="C50" s="31">
        <v>-0.08</v>
      </c>
      <c r="D50" s="31">
        <f>D47*C50</f>
        <v>-11.422841916800001</v>
      </c>
      <c r="E50" s="31"/>
      <c r="F50" s="31">
        <f>C50</f>
        <v>-0.08</v>
      </c>
      <c r="G50" s="31">
        <f>G47*F50</f>
        <v>-11.473059732000001</v>
      </c>
      <c r="H50" s="31">
        <f>G50-D50</f>
        <v>-5.0217815199999905E-2</v>
      </c>
      <c r="I50" s="32">
        <f>IF(ISERROR(H50/D50),0,(H50/D50))</f>
        <v>4.39626281846225E-3</v>
      </c>
      <c r="J50" s="32"/>
      <c r="K50" s="60">
        <f>G50/$G$51</f>
        <v>-7.6190476190476183E-2</v>
      </c>
    </row>
    <row r="51" spans="1:11" ht="13.5" thickBot="1" x14ac:dyDescent="0.25">
      <c r="A51" s="63" t="s">
        <v>144</v>
      </c>
      <c r="B51" s="64"/>
      <c r="C51" s="65"/>
      <c r="D51" s="65">
        <f>SUM(D49:D50)</f>
        <v>149.92480015800001</v>
      </c>
      <c r="E51" s="65"/>
      <c r="F51" s="65"/>
      <c r="G51" s="65">
        <f>SUM(G49:G50)</f>
        <v>150.58390898250002</v>
      </c>
      <c r="H51" s="65">
        <f>G51-D51</f>
        <v>0.6591088245000094</v>
      </c>
      <c r="I51" s="66">
        <f>IF(ISERROR(H51/D51),0,(H51/D51))</f>
        <v>4.3962628184623211E-3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c r="K64"/>
    </row>
    <row r="65" spans="6:11" x14ac:dyDescent="0.2">
      <c r="F65" s="69"/>
      <c r="K65"/>
    </row>
    <row r="66" spans="6:11" x14ac:dyDescent="0.2">
      <c r="F66" s="69"/>
      <c r="K66"/>
    </row>
    <row r="67" spans="6:11" x14ac:dyDescent="0.2">
      <c r="F67" s="69"/>
      <c r="K67"/>
    </row>
    <row r="68" spans="6:11" x14ac:dyDescent="0.2">
      <c r="F68" s="69"/>
      <c r="K68"/>
    </row>
  </sheetData>
  <mergeCells count="1">
    <mergeCell ref="A1:K1"/>
  </mergeCell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1">
    <pageSetUpPr fitToPage="1"/>
  </sheetPr>
  <dimension ref="A1:K67"/>
  <sheetViews>
    <sheetView topLeftCell="A19" workbookViewId="0">
      <selection activeCell="C19" sqref="C19"/>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48" t="s">
        <v>110</v>
      </c>
      <c r="B1" s="349"/>
      <c r="C1" s="349"/>
      <c r="D1" s="349"/>
      <c r="E1" s="349"/>
      <c r="F1" s="349"/>
      <c r="G1" s="349"/>
      <c r="H1" s="349"/>
      <c r="I1" s="349"/>
      <c r="J1" s="349"/>
      <c r="K1" s="350"/>
    </row>
    <row r="3" spans="1:11" x14ac:dyDescent="0.2">
      <c r="A3" s="13" t="s">
        <v>13</v>
      </c>
      <c r="B3" s="13" t="s">
        <v>180</v>
      </c>
      <c r="C3" s="13" t="s">
        <v>119</v>
      </c>
    </row>
    <row r="4" spans="1:11" x14ac:dyDescent="0.2">
      <c r="A4" s="15" t="s">
        <v>62</v>
      </c>
      <c r="B4" s="79">
        <v>750</v>
      </c>
      <c r="C4" s="79">
        <f>B4</f>
        <v>750</v>
      </c>
    </row>
    <row r="5" spans="1:11" x14ac:dyDescent="0.2">
      <c r="A5" s="15" t="s">
        <v>16</v>
      </c>
      <c r="B5" s="15">
        <f>VLOOKUP($B$3,'Data for Bill Impacts'!$A$3:$Y$39,5,0)</f>
        <v>0</v>
      </c>
      <c r="C5" s="15">
        <f>B5</f>
        <v>0</v>
      </c>
    </row>
    <row r="6" spans="1:11" x14ac:dyDescent="0.2">
      <c r="A6" s="15" t="s">
        <v>20</v>
      </c>
      <c r="B6" s="15">
        <f>VLOOKUP($B$3,'Data for Bill Impacts'!$A$3:$Y$39,2,0)</f>
        <v>1.0667</v>
      </c>
      <c r="C6" s="15">
        <f>VLOOKUP($C$3,'Data for Bill Impacts'!$A$3:$Y$39,2,0)</f>
        <v>1.0655000000000001</v>
      </c>
    </row>
    <row r="7" spans="1:11" x14ac:dyDescent="0.2">
      <c r="A7" s="15" t="s">
        <v>15</v>
      </c>
      <c r="B7" s="15">
        <f>VLOOKUP($B$3,'Data for Bill Impacts'!$A$3:$Y$39,4,0)</f>
        <v>600</v>
      </c>
      <c r="C7" s="15">
        <f>B7</f>
        <v>600</v>
      </c>
    </row>
    <row r="8" spans="1:11" x14ac:dyDescent="0.2">
      <c r="A8" s="15" t="s">
        <v>82</v>
      </c>
      <c r="B8" s="15">
        <f>B4*B6</f>
        <v>800.02499999999998</v>
      </c>
      <c r="C8" s="15">
        <f>C4*C6</f>
        <v>799.12500000000011</v>
      </c>
    </row>
    <row r="9" spans="1:11" x14ac:dyDescent="0.2">
      <c r="A9" s="15" t="s">
        <v>21</v>
      </c>
      <c r="B9" s="16" t="str">
        <f>VLOOKUP($B$3,'Data for Bill Impacts'!$A$3:$Y$39,6,0)</f>
        <v>kWh</v>
      </c>
      <c r="C9" s="16" t="str">
        <f>VLOOKUP($C$3,'Data for Bill Impacts'!$A$3:$Y$39,6,0)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0.10299999999999999</v>
      </c>
      <c r="D12" s="104">
        <f>B12*C12</f>
        <v>61.8</v>
      </c>
      <c r="E12" s="102">
        <f>B12</f>
        <v>600</v>
      </c>
      <c r="F12" s="103">
        <f>C12</f>
        <v>0.10299999999999999</v>
      </c>
      <c r="G12" s="104">
        <f>E12*F12</f>
        <v>61.8</v>
      </c>
      <c r="H12" s="104">
        <f>G12-D12</f>
        <v>0</v>
      </c>
      <c r="I12" s="105">
        <f>IF(ISERROR(H12/D12),0,(H12/D12))</f>
        <v>0</v>
      </c>
      <c r="J12" s="105">
        <f>G12/$G$45</f>
        <v>0.41146318147431582</v>
      </c>
      <c r="K12" s="106"/>
    </row>
    <row r="13" spans="1:11" x14ac:dyDescent="0.2">
      <c r="A13" s="107" t="s">
        <v>32</v>
      </c>
      <c r="B13" s="73">
        <f>IF(B4&gt;B7,(B4)-B7,0)</f>
        <v>150</v>
      </c>
      <c r="C13" s="21">
        <v>0.121</v>
      </c>
      <c r="D13" s="22">
        <f>B13*C13</f>
        <v>18.149999999999999</v>
      </c>
      <c r="E13" s="73">
        <f t="shared" ref="E13:E38" si="0">B13</f>
        <v>150</v>
      </c>
      <c r="F13" s="21">
        <f>C13</f>
        <v>0.121</v>
      </c>
      <c r="G13" s="22">
        <f>E13*F13</f>
        <v>18.149999999999999</v>
      </c>
      <c r="H13" s="22">
        <f t="shared" ref="H13:H45" si="1">G13-D13</f>
        <v>0</v>
      </c>
      <c r="I13" s="23">
        <f t="shared" ref="I13:I45" si="2">IF(ISERROR(H13/D13),0,(H13/D13))</f>
        <v>0</v>
      </c>
      <c r="J13" s="23">
        <f>G13/$G$45</f>
        <v>0.12084234213201993</v>
      </c>
      <c r="K13" s="108"/>
    </row>
    <row r="14" spans="1:11" s="1" customFormat="1" x14ac:dyDescent="0.2">
      <c r="A14" s="46" t="s">
        <v>33</v>
      </c>
      <c r="B14" s="24"/>
      <c r="C14" s="25"/>
      <c r="D14" s="25">
        <f>SUM(D12:D13)</f>
        <v>79.949999999999989</v>
      </c>
      <c r="E14" s="76"/>
      <c r="F14" s="25"/>
      <c r="G14" s="25">
        <f>SUM(G12:G13)</f>
        <v>79.949999999999989</v>
      </c>
      <c r="H14" s="25">
        <f t="shared" si="1"/>
        <v>0</v>
      </c>
      <c r="I14" s="27">
        <f t="shared" si="2"/>
        <v>0</v>
      </c>
      <c r="J14" s="27">
        <f>G14/$G$45</f>
        <v>0.53230552360633565</v>
      </c>
      <c r="K14" s="108"/>
    </row>
    <row r="15" spans="1:11" s="1" customFormat="1" x14ac:dyDescent="0.2">
      <c r="A15" s="109" t="s">
        <v>34</v>
      </c>
      <c r="B15" s="75">
        <f>B4*0.65</f>
        <v>487.5</v>
      </c>
      <c r="C15" s="28">
        <v>8.6999999999999994E-2</v>
      </c>
      <c r="D15" s="22">
        <f>B15*C15</f>
        <v>42.412499999999994</v>
      </c>
      <c r="E15" s="73">
        <f t="shared" ref="E15:F17" si="3">B15</f>
        <v>487.5</v>
      </c>
      <c r="F15" s="28">
        <f t="shared" si="3"/>
        <v>8.6999999999999994E-2</v>
      </c>
      <c r="G15" s="22">
        <f>E15*F15</f>
        <v>42.412499999999994</v>
      </c>
      <c r="H15" s="22">
        <f t="shared" si="1"/>
        <v>0</v>
      </c>
      <c r="I15" s="23">
        <f t="shared" si="2"/>
        <v>0</v>
      </c>
      <c r="J15" s="23"/>
      <c r="K15" s="108">
        <f t="shared" ref="K15:K25" si="4">G15/$G$50</f>
        <v>0.27636946486658465</v>
      </c>
    </row>
    <row r="16" spans="1:11" s="1" customFormat="1" x14ac:dyDescent="0.2">
      <c r="A16" s="109" t="s">
        <v>35</v>
      </c>
      <c r="B16" s="75">
        <f>B4*0.17</f>
        <v>127.50000000000001</v>
      </c>
      <c r="C16" s="28">
        <v>0.13200000000000001</v>
      </c>
      <c r="D16" s="22">
        <f>B16*C16</f>
        <v>16.830000000000002</v>
      </c>
      <c r="E16" s="73">
        <f t="shared" si="3"/>
        <v>127.50000000000001</v>
      </c>
      <c r="F16" s="28">
        <f t="shared" si="3"/>
        <v>0.13200000000000001</v>
      </c>
      <c r="G16" s="22">
        <f>E16*F16</f>
        <v>16.830000000000002</v>
      </c>
      <c r="H16" s="22">
        <f t="shared" si="1"/>
        <v>0</v>
      </c>
      <c r="I16" s="23">
        <f t="shared" si="2"/>
        <v>0</v>
      </c>
      <c r="J16" s="23"/>
      <c r="K16" s="108">
        <f t="shared" si="4"/>
        <v>0.10966809534228401</v>
      </c>
    </row>
    <row r="17" spans="1:11" s="1" customFormat="1" x14ac:dyDescent="0.2">
      <c r="A17" s="109" t="s">
        <v>36</v>
      </c>
      <c r="B17" s="75">
        <f>B4*0.18</f>
        <v>135</v>
      </c>
      <c r="C17" s="28">
        <v>0.18</v>
      </c>
      <c r="D17" s="22">
        <f>B17*C17</f>
        <v>24.3</v>
      </c>
      <c r="E17" s="73">
        <f t="shared" si="3"/>
        <v>135</v>
      </c>
      <c r="F17" s="28">
        <f t="shared" si="3"/>
        <v>0.18</v>
      </c>
      <c r="G17" s="22">
        <f>E17*F17</f>
        <v>24.3</v>
      </c>
      <c r="H17" s="22">
        <f t="shared" si="1"/>
        <v>0</v>
      </c>
      <c r="I17" s="23">
        <f t="shared" si="2"/>
        <v>0</v>
      </c>
      <c r="J17" s="23"/>
      <c r="K17" s="108">
        <f t="shared" si="4"/>
        <v>0.15834430878297692</v>
      </c>
    </row>
    <row r="18" spans="1:11" s="1" customFormat="1" x14ac:dyDescent="0.2">
      <c r="A18" s="61" t="s">
        <v>37</v>
      </c>
      <c r="B18" s="29"/>
      <c r="C18" s="30"/>
      <c r="D18" s="30">
        <f>SUM(D15:D17)</f>
        <v>83.54249999999999</v>
      </c>
      <c r="E18" s="77"/>
      <c r="F18" s="30"/>
      <c r="G18" s="30">
        <f>SUM(G15:G17)</f>
        <v>83.54249999999999</v>
      </c>
      <c r="H18" s="31">
        <f t="shared" si="1"/>
        <v>0</v>
      </c>
      <c r="I18" s="32">
        <f t="shared" si="2"/>
        <v>0</v>
      </c>
      <c r="J18" s="33">
        <f>G18/$G$45</f>
        <v>0.55622431777213632</v>
      </c>
      <c r="K18" s="62">
        <f t="shared" si="4"/>
        <v>0.54438186899184549</v>
      </c>
    </row>
    <row r="19" spans="1:11" x14ac:dyDescent="0.2">
      <c r="A19" s="107" t="s">
        <v>38</v>
      </c>
      <c r="B19" s="73">
        <v>1</v>
      </c>
      <c r="C19" s="122">
        <f>VLOOKUP($C$3,'Data for Bill Impacts'!$A$3:$Y$39,7,0)</f>
        <v>35.619999999999997</v>
      </c>
      <c r="D19" s="22">
        <f>B19*C19</f>
        <v>35.619999999999997</v>
      </c>
      <c r="E19" s="73">
        <f t="shared" si="0"/>
        <v>1</v>
      </c>
      <c r="F19" s="122">
        <f>VLOOKUP($B$3,'Data for Bill Impacts'!$A$3:$Y$39,17,0)</f>
        <v>40.08</v>
      </c>
      <c r="G19" s="22">
        <f>E19*F19</f>
        <v>40.08</v>
      </c>
      <c r="H19" s="22">
        <f t="shared" si="1"/>
        <v>4.4600000000000009</v>
      </c>
      <c r="I19" s="23">
        <f t="shared" si="2"/>
        <v>0.12521055586749022</v>
      </c>
      <c r="J19" s="23">
        <f>G19/$G$45</f>
        <v>0.26685184973285725</v>
      </c>
      <c r="K19" s="108">
        <f t="shared" si="4"/>
        <v>0.26117036609142857</v>
      </c>
    </row>
    <row r="20" spans="1:11" x14ac:dyDescent="0.2">
      <c r="A20" s="107" t="s">
        <v>188</v>
      </c>
      <c r="B20" s="73">
        <v>1</v>
      </c>
      <c r="C20" s="122">
        <f>'Data for Bill Impacts'!K28</f>
        <v>-0.36</v>
      </c>
      <c r="D20" s="22">
        <f>B20*C20</f>
        <v>-0.36</v>
      </c>
      <c r="E20" s="73">
        <f t="shared" si="0"/>
        <v>1</v>
      </c>
      <c r="F20" s="122">
        <v>0</v>
      </c>
      <c r="G20" s="22">
        <f t="shared" ref="G20" si="5">E20*F20</f>
        <v>0</v>
      </c>
      <c r="H20" s="22">
        <f t="shared" si="1"/>
        <v>0.36</v>
      </c>
      <c r="I20" s="23">
        <f t="shared" si="2"/>
        <v>-1</v>
      </c>
      <c r="J20" s="23">
        <f>G20/$G$45</f>
        <v>0</v>
      </c>
      <c r="K20" s="108">
        <f t="shared" si="4"/>
        <v>0</v>
      </c>
    </row>
    <row r="21" spans="1:11" x14ac:dyDescent="0.2">
      <c r="A21" s="107" t="s">
        <v>39</v>
      </c>
      <c r="B21" s="73">
        <f>IF($C$9="kWh",$C$4,$C$5)</f>
        <v>750</v>
      </c>
      <c r="C21" s="126">
        <f>VLOOKUP($C$3,'Data for Bill Impacts'!$A$3:$Y$39,10,0)</f>
        <v>0</v>
      </c>
      <c r="D21" s="22">
        <f>B21*C21</f>
        <v>0</v>
      </c>
      <c r="E21" s="73">
        <f t="shared" si="0"/>
        <v>750</v>
      </c>
      <c r="F21" s="126">
        <v>0</v>
      </c>
      <c r="G21" s="22">
        <f>E21*F21</f>
        <v>0</v>
      </c>
      <c r="H21" s="22">
        <f t="shared" si="1"/>
        <v>0</v>
      </c>
      <c r="I21" s="23">
        <f t="shared" si="2"/>
        <v>0</v>
      </c>
      <c r="J21" s="23">
        <f>G21/$G$45</f>
        <v>0</v>
      </c>
      <c r="K21" s="108">
        <f t="shared" si="4"/>
        <v>0</v>
      </c>
    </row>
    <row r="22" spans="1:11" x14ac:dyDescent="0.2">
      <c r="A22" s="107" t="s">
        <v>189</v>
      </c>
      <c r="B22" s="73">
        <f>IF($B$9="kWh",$B$4,$B$5)</f>
        <v>750</v>
      </c>
      <c r="C22" s="78">
        <f>'Data for Bill Impacts'!H28</f>
        <v>4.0000000000000002E-4</v>
      </c>
      <c r="D22" s="22">
        <f>B22*C22</f>
        <v>0.3</v>
      </c>
      <c r="E22" s="73">
        <f t="shared" si="0"/>
        <v>750</v>
      </c>
      <c r="F22" s="126">
        <v>0</v>
      </c>
      <c r="G22" s="22">
        <f>E22*F22</f>
        <v>0</v>
      </c>
      <c r="H22" s="22">
        <f t="shared" si="1"/>
        <v>-0.3</v>
      </c>
      <c r="I22" s="23">
        <f>IF(ISERROR(H22/D22),0,(H22/D22))</f>
        <v>-1</v>
      </c>
      <c r="J22" s="23">
        <f>G22/$G$45</f>
        <v>0</v>
      </c>
      <c r="K22" s="108">
        <f t="shared" si="4"/>
        <v>0</v>
      </c>
    </row>
    <row r="23" spans="1:11" x14ac:dyDescent="0.2">
      <c r="A23" s="107" t="s">
        <v>190</v>
      </c>
      <c r="B23" s="73">
        <f>IF($C$9="kWh",$C$4,$C$5)</f>
        <v>750</v>
      </c>
      <c r="C23" s="126">
        <f>'Data for Bill Impacts'!L28</f>
        <v>0</v>
      </c>
      <c r="D23" s="22">
        <f>B23*C23</f>
        <v>0</v>
      </c>
      <c r="E23" s="73">
        <f t="shared" si="0"/>
        <v>750</v>
      </c>
      <c r="F23" s="126">
        <v>0</v>
      </c>
      <c r="G23" s="22">
        <f>E23*F23</f>
        <v>0</v>
      </c>
      <c r="H23" s="22">
        <f t="shared" si="1"/>
        <v>0</v>
      </c>
      <c r="I23" s="23">
        <f>IF(ISERROR(H23/D23),0,(H23/D23))</f>
        <v>0</v>
      </c>
      <c r="J23" s="23">
        <f t="shared" ref="J23" si="6">G23/$G$45</f>
        <v>0</v>
      </c>
      <c r="K23" s="108">
        <f t="shared" si="4"/>
        <v>0</v>
      </c>
    </row>
    <row r="24" spans="1:11" s="1" customFormat="1" x14ac:dyDescent="0.2">
      <c r="A24" s="110" t="s">
        <v>72</v>
      </c>
      <c r="B24" s="74"/>
      <c r="C24" s="35"/>
      <c r="D24" s="35">
        <f>SUM(D19:D23)</f>
        <v>35.559999999999995</v>
      </c>
      <c r="E24" s="73"/>
      <c r="F24" s="35"/>
      <c r="G24" s="35">
        <f>SUM(G19:G23)</f>
        <v>40.08</v>
      </c>
      <c r="H24" s="35">
        <f t="shared" si="1"/>
        <v>4.5200000000000031</v>
      </c>
      <c r="I24" s="36">
        <f t="shared" si="2"/>
        <v>0.12710911136107997</v>
      </c>
      <c r="J24" s="36">
        <f>G24/$G$45</f>
        <v>0.26685184973285725</v>
      </c>
      <c r="K24" s="111">
        <f t="shared" si="4"/>
        <v>0.26117036609142857</v>
      </c>
    </row>
    <row r="25" spans="1:11" s="1" customFormat="1" x14ac:dyDescent="0.2">
      <c r="A25" s="119" t="s">
        <v>73</v>
      </c>
      <c r="B25" s="120">
        <v>1</v>
      </c>
      <c r="C25" s="78">
        <f>VLOOKUP($C$3,'Data for Bill Impacts'!$A$3:$Y$39,9,0)</f>
        <v>0.79</v>
      </c>
      <c r="D25" s="22">
        <f>B25*C25</f>
        <v>0.79</v>
      </c>
      <c r="E25" s="73">
        <v>1</v>
      </c>
      <c r="F25" s="78">
        <f>VLOOKUP($B$3,'Data for Bill Impacts'!$A$3:$Y$39,18,0)</f>
        <v>0.79</v>
      </c>
      <c r="G25" s="22">
        <f>E25*F25</f>
        <v>0.79</v>
      </c>
      <c r="H25" s="22">
        <f t="shared" si="1"/>
        <v>0</v>
      </c>
      <c r="I25" s="23">
        <f>IF(ISERROR(H25/D25),0,(H25/D25))</f>
        <v>0</v>
      </c>
      <c r="J25" s="23">
        <f>G25/$G$45</f>
        <v>5.2598044233771761E-3</v>
      </c>
      <c r="K25" s="108">
        <f t="shared" si="4"/>
        <v>5.1478190921214716E-3</v>
      </c>
    </row>
    <row r="26" spans="1:11" s="1" customFormat="1" x14ac:dyDescent="0.2">
      <c r="A26" s="119" t="s">
        <v>75</v>
      </c>
      <c r="B26" s="120">
        <f>C8-C4</f>
        <v>49.125000000000114</v>
      </c>
      <c r="C26" s="121">
        <f>IF(C4&gt;C7,C13,C12)</f>
        <v>0.121</v>
      </c>
      <c r="D26" s="22">
        <f>B26*C26</f>
        <v>5.9441250000000139</v>
      </c>
      <c r="E26" s="73">
        <f>B8-B4</f>
        <v>50.024999999999977</v>
      </c>
      <c r="F26" s="121">
        <f>IF(B4&gt;C7,F13,F12)</f>
        <v>0.121</v>
      </c>
      <c r="G26" s="22">
        <f>E26*F26</f>
        <v>6.0530249999999972</v>
      </c>
      <c r="H26" s="22">
        <f t="shared" si="1"/>
        <v>0.10889999999998334</v>
      </c>
      <c r="I26" s="23">
        <f>IF(ISERROR(H26/D26),0,(H26/D26))</f>
        <v>1.8320610687020056E-2</v>
      </c>
      <c r="J26" s="23">
        <f t="shared" ref="J26:J45" si="7">G26/$G$45</f>
        <v>4.0300921101028633E-2</v>
      </c>
      <c r="K26" s="108">
        <f t="shared" ref="K26:K40" si="8">G26/$G$50</f>
        <v>3.9442883114036147E-2</v>
      </c>
    </row>
    <row r="27" spans="1:11" s="1" customFormat="1" x14ac:dyDescent="0.2">
      <c r="A27" s="119" t="s">
        <v>74</v>
      </c>
      <c r="B27" s="120">
        <f>C8-C4</f>
        <v>49.125000000000114</v>
      </c>
      <c r="C27" s="121">
        <f>0.65*C15+0.17*C16+0.18*C17</f>
        <v>0.11139</v>
      </c>
      <c r="D27" s="22">
        <f>B27*C27</f>
        <v>5.4720337500000129</v>
      </c>
      <c r="E27" s="73">
        <f>B8-B4</f>
        <v>50.024999999999977</v>
      </c>
      <c r="F27" s="121">
        <f>0.65*F15+0.17*F16+0.18*F17</f>
        <v>0.11139</v>
      </c>
      <c r="G27" s="22">
        <f>E27*F27</f>
        <v>5.5722847499999979</v>
      </c>
      <c r="H27" s="22">
        <f t="shared" si="1"/>
        <v>0.10025099999998499</v>
      </c>
      <c r="I27" s="23">
        <f>IF(ISERROR(H27/D27),0,(H27/D27))</f>
        <v>1.8320610687020115E-2</v>
      </c>
      <c r="J27" s="23">
        <f t="shared" si="7"/>
        <v>3.7100161995401483E-2</v>
      </c>
      <c r="K27" s="108">
        <f t="shared" si="8"/>
        <v>3.6310270661756086E-2</v>
      </c>
    </row>
    <row r="28" spans="1:11" s="1" customFormat="1" x14ac:dyDescent="0.2">
      <c r="A28" s="110" t="s">
        <v>78</v>
      </c>
      <c r="B28" s="74"/>
      <c r="C28" s="35"/>
      <c r="D28" s="35">
        <f>SUM(D24,D25:D26)</f>
        <v>42.294125000000008</v>
      </c>
      <c r="E28" s="73"/>
      <c r="F28" s="35"/>
      <c r="G28" s="35">
        <f>SUM(G24,G25:G26)</f>
        <v>46.923024999999996</v>
      </c>
      <c r="H28" s="35">
        <f t="shared" si="1"/>
        <v>4.6288999999999874</v>
      </c>
      <c r="I28" s="36">
        <f>IF(ISERROR(H28/D28),0,(H28/D28))</f>
        <v>0.10944546080572624</v>
      </c>
      <c r="J28" s="36">
        <f t="shared" si="7"/>
        <v>0.31241257525726301</v>
      </c>
      <c r="K28" s="111">
        <f t="shared" si="8"/>
        <v>0.3057610682975862</v>
      </c>
    </row>
    <row r="29" spans="1:11" s="1" customFormat="1" x14ac:dyDescent="0.2">
      <c r="A29" s="110" t="s">
        <v>77</v>
      </c>
      <c r="B29" s="74"/>
      <c r="C29" s="35"/>
      <c r="D29" s="35">
        <f>SUM(D24,D25,D27)</f>
        <v>41.82203375000001</v>
      </c>
      <c r="E29" s="73"/>
      <c r="F29" s="35"/>
      <c r="G29" s="35">
        <f>SUM(G24,G25,G27)</f>
        <v>46.442284749999999</v>
      </c>
      <c r="H29" s="35">
        <f t="shared" si="1"/>
        <v>4.620250999999989</v>
      </c>
      <c r="I29" s="36">
        <f>IF(ISERROR(H29/D29),0,(H29/D29))</f>
        <v>0.11047408711920874</v>
      </c>
      <c r="J29" s="36">
        <f t="shared" si="7"/>
        <v>0.3092118161516359</v>
      </c>
      <c r="K29" s="111">
        <f t="shared" si="8"/>
        <v>0.30262845584530612</v>
      </c>
    </row>
    <row r="30" spans="1:11" x14ac:dyDescent="0.2">
      <c r="A30" s="107" t="s">
        <v>40</v>
      </c>
      <c r="B30" s="73">
        <f>C8</f>
        <v>799.12500000000011</v>
      </c>
      <c r="C30" s="126">
        <f>VLOOKUP($C$3,'Data for Bill Impacts'!$A$3:$Y$39,15,0)</f>
        <v>6.5444567943617011E-3</v>
      </c>
      <c r="D30" s="22">
        <f>B30*C30</f>
        <v>5.2298390357942948</v>
      </c>
      <c r="E30" s="73">
        <f>B8</f>
        <v>800.02499999999998</v>
      </c>
      <c r="F30" s="78">
        <f>VLOOKUP($B$3,'Data for Bill Impacts'!$A$3:$Y$39,24,0)</f>
        <v>7.1000000000000004E-3</v>
      </c>
      <c r="G30" s="22">
        <f>E30*F30</f>
        <v>5.6801775000000001</v>
      </c>
      <c r="H30" s="22">
        <f t="shared" si="1"/>
        <v>0.45033846420570534</v>
      </c>
      <c r="I30" s="23">
        <f t="shared" si="2"/>
        <v>8.6109431116995955E-2</v>
      </c>
      <c r="J30" s="23">
        <f t="shared" si="7"/>
        <v>3.7818509797553815E-2</v>
      </c>
      <c r="K30" s="108">
        <f t="shared" si="8"/>
        <v>3.7013324279922544E-2</v>
      </c>
    </row>
    <row r="31" spans="1:11" x14ac:dyDescent="0.2">
      <c r="A31" s="107" t="s">
        <v>41</v>
      </c>
      <c r="B31" s="73">
        <f>C8</f>
        <v>799.12500000000011</v>
      </c>
      <c r="C31" s="126">
        <f>VLOOKUP($C$3,'Data for Bill Impacts'!$A$3:$Y$39,16,0)</f>
        <v>5.4157299366720292E-3</v>
      </c>
      <c r="D31" s="22">
        <f>B31*C31</f>
        <v>4.327845185643036</v>
      </c>
      <c r="E31" s="73">
        <f>B8</f>
        <v>800.02499999999998</v>
      </c>
      <c r="F31" s="78">
        <f>VLOOKUP($B$3,'Data for Bill Impacts'!$A$3:$Y$39,25,0)</f>
        <v>6.0000000000000001E-3</v>
      </c>
      <c r="G31" s="22">
        <f>E31*F31</f>
        <v>4.8001500000000004</v>
      </c>
      <c r="H31" s="22">
        <f t="shared" si="1"/>
        <v>0.47230481435696436</v>
      </c>
      <c r="I31" s="23">
        <f t="shared" si="2"/>
        <v>0.10913163343359954</v>
      </c>
      <c r="J31" s="23">
        <f t="shared" si="7"/>
        <v>3.1959304054270832E-2</v>
      </c>
      <c r="K31" s="108">
        <f t="shared" si="8"/>
        <v>3.1278865588666938E-2</v>
      </c>
    </row>
    <row r="32" spans="1:11" s="1" customFormat="1" x14ac:dyDescent="0.2">
      <c r="A32" s="110" t="s">
        <v>76</v>
      </c>
      <c r="B32" s="74"/>
      <c r="C32" s="35"/>
      <c r="D32" s="35">
        <f>SUM(D30:D31)</f>
        <v>9.5576842214373308</v>
      </c>
      <c r="E32" s="73"/>
      <c r="F32" s="35"/>
      <c r="G32" s="35">
        <f>SUM(G30:G31)</f>
        <v>10.480327500000001</v>
      </c>
      <c r="H32" s="35">
        <f t="shared" si="1"/>
        <v>0.92264327856267059</v>
      </c>
      <c r="I32" s="36">
        <f t="shared" si="2"/>
        <v>9.6534187276582681E-2</v>
      </c>
      <c r="J32" s="36">
        <f t="shared" si="7"/>
        <v>6.9777813851824647E-2</v>
      </c>
      <c r="K32" s="111">
        <f t="shared" si="8"/>
        <v>6.8292189868589495E-2</v>
      </c>
    </row>
    <row r="33" spans="1:11" s="1" customFormat="1" x14ac:dyDescent="0.2">
      <c r="A33" s="110" t="s">
        <v>95</v>
      </c>
      <c r="B33" s="74"/>
      <c r="C33" s="35"/>
      <c r="D33" s="35">
        <f>D28+D32</f>
        <v>51.851809221437335</v>
      </c>
      <c r="E33" s="73"/>
      <c r="F33" s="35"/>
      <c r="G33" s="35">
        <f>G28+G32</f>
        <v>57.403352499999997</v>
      </c>
      <c r="H33" s="35">
        <f t="shared" si="1"/>
        <v>5.5515432785626615</v>
      </c>
      <c r="I33" s="36">
        <f t="shared" si="2"/>
        <v>0.10706556553994766</v>
      </c>
      <c r="J33" s="36">
        <f t="shared" si="7"/>
        <v>0.3821903891090877</v>
      </c>
      <c r="K33" s="111">
        <f t="shared" si="8"/>
        <v>0.37405325816617568</v>
      </c>
    </row>
    <row r="34" spans="1:11" s="1" customFormat="1" x14ac:dyDescent="0.2">
      <c r="A34" s="110" t="s">
        <v>96</v>
      </c>
      <c r="B34" s="74"/>
      <c r="C34" s="35"/>
      <c r="D34" s="35">
        <f>D29+D32</f>
        <v>51.379717971437344</v>
      </c>
      <c r="E34" s="73"/>
      <c r="F34" s="35"/>
      <c r="G34" s="35">
        <f>G29+G32</f>
        <v>56.92261225</v>
      </c>
      <c r="H34" s="35">
        <f t="shared" si="1"/>
        <v>5.542894278562656</v>
      </c>
      <c r="I34" s="36">
        <f t="shared" si="2"/>
        <v>0.10788097905955854</v>
      </c>
      <c r="J34" s="36">
        <f t="shared" si="7"/>
        <v>0.37898963000346053</v>
      </c>
      <c r="K34" s="111">
        <f t="shared" si="8"/>
        <v>0.37092064571389566</v>
      </c>
    </row>
    <row r="35" spans="1:11" x14ac:dyDescent="0.2">
      <c r="A35" s="107" t="s">
        <v>42</v>
      </c>
      <c r="B35" s="73">
        <f>C8</f>
        <v>799.12500000000011</v>
      </c>
      <c r="C35" s="34">
        <v>3.5999999999999999E-3</v>
      </c>
      <c r="D35" s="22">
        <f>B35*C35</f>
        <v>2.8768500000000001</v>
      </c>
      <c r="E35" s="73">
        <f>B8</f>
        <v>800.02499999999998</v>
      </c>
      <c r="F35" s="34">
        <v>3.5999999999999999E-3</v>
      </c>
      <c r="G35" s="22">
        <f>E35*F35</f>
        <v>2.88009</v>
      </c>
      <c r="H35" s="22">
        <f t="shared" si="1"/>
        <v>3.2399999999999096E-3</v>
      </c>
      <c r="I35" s="23">
        <f t="shared" si="2"/>
        <v>1.1262318160487718E-3</v>
      </c>
      <c r="J35" s="23">
        <f t="shared" si="7"/>
        <v>1.9175582432562496E-2</v>
      </c>
      <c r="K35" s="108">
        <f t="shared" si="8"/>
        <v>1.8767319353200165E-2</v>
      </c>
    </row>
    <row r="36" spans="1:11" x14ac:dyDescent="0.2">
      <c r="A36" s="107" t="s">
        <v>43</v>
      </c>
      <c r="B36" s="73">
        <f>C8</f>
        <v>799.12500000000011</v>
      </c>
      <c r="C36" s="34">
        <v>2.0999999999999999E-3</v>
      </c>
      <c r="D36" s="22">
        <f>B36*C36</f>
        <v>1.6781625000000002</v>
      </c>
      <c r="E36" s="73">
        <f>B8</f>
        <v>800.02499999999998</v>
      </c>
      <c r="F36" s="34">
        <v>2.0999999999999999E-3</v>
      </c>
      <c r="G36" s="22">
        <f>E36*F36</f>
        <v>1.6800524999999999</v>
      </c>
      <c r="H36" s="22">
        <f>G36-D36</f>
        <v>1.8899999999997252E-3</v>
      </c>
      <c r="I36" s="23">
        <f t="shared" si="2"/>
        <v>1.1262318160486396E-3</v>
      </c>
      <c r="J36" s="23">
        <f t="shared" si="7"/>
        <v>1.1185756418994788E-2</v>
      </c>
      <c r="K36" s="108">
        <f t="shared" si="8"/>
        <v>1.0947602956033428E-2</v>
      </c>
    </row>
    <row r="37" spans="1:11" x14ac:dyDescent="0.2">
      <c r="A37" s="107" t="s">
        <v>100</v>
      </c>
      <c r="B37" s="73">
        <f>C8</f>
        <v>799.12500000000011</v>
      </c>
      <c r="C37" s="34">
        <v>1.1000000000000001E-3</v>
      </c>
      <c r="D37" s="22">
        <f>B37*C37</f>
        <v>0.87903750000000014</v>
      </c>
      <c r="E37" s="73">
        <f>B8</f>
        <v>800.02499999999998</v>
      </c>
      <c r="F37" s="34">
        <v>1.1000000000000001E-3</v>
      </c>
      <c r="G37" s="22">
        <f>E37*F37</f>
        <v>0.88002750000000007</v>
      </c>
      <c r="H37" s="22">
        <f>G37-D37</f>
        <v>9.8999999999993538E-4</v>
      </c>
      <c r="I37" s="23">
        <f t="shared" si="2"/>
        <v>1.1262318160487298E-3</v>
      </c>
      <c r="J37" s="23">
        <f t="shared" si="7"/>
        <v>5.8592057432829856E-3</v>
      </c>
      <c r="K37" s="108">
        <f t="shared" si="8"/>
        <v>5.7344586912556061E-3</v>
      </c>
    </row>
    <row r="38" spans="1:11" x14ac:dyDescent="0.2">
      <c r="A38" s="107" t="s">
        <v>44</v>
      </c>
      <c r="B38" s="73">
        <v>1</v>
      </c>
      <c r="C38" s="22">
        <v>0.25</v>
      </c>
      <c r="D38" s="22">
        <f>B38*C38</f>
        <v>0.25</v>
      </c>
      <c r="E38" s="73">
        <f t="shared" si="0"/>
        <v>1</v>
      </c>
      <c r="F38" s="22">
        <f>C38</f>
        <v>0.25</v>
      </c>
      <c r="G38" s="22">
        <f>E38*F38</f>
        <v>0.25</v>
      </c>
      <c r="H38" s="22">
        <f t="shared" si="1"/>
        <v>0</v>
      </c>
      <c r="I38" s="23">
        <f t="shared" si="2"/>
        <v>0</v>
      </c>
      <c r="J38" s="23">
        <f t="shared" si="7"/>
        <v>1.6644950706889798E-3</v>
      </c>
      <c r="K38" s="108">
        <f t="shared" si="8"/>
        <v>1.6290566747219847E-3</v>
      </c>
    </row>
    <row r="39" spans="1:11" s="1" customFormat="1" x14ac:dyDescent="0.2">
      <c r="A39" s="110" t="s">
        <v>45</v>
      </c>
      <c r="B39" s="74"/>
      <c r="C39" s="35"/>
      <c r="D39" s="35">
        <f>SUM(D35:D38)</f>
        <v>5.68405</v>
      </c>
      <c r="E39" s="73"/>
      <c r="F39" s="35"/>
      <c r="G39" s="35">
        <f>SUM(G35:G38)</f>
        <v>5.6901699999999993</v>
      </c>
      <c r="H39" s="35">
        <f t="shared" si="1"/>
        <v>6.1199999999992372E-3</v>
      </c>
      <c r="I39" s="36">
        <f t="shared" si="2"/>
        <v>1.0766970733894383E-3</v>
      </c>
      <c r="J39" s="36">
        <f t="shared" si="7"/>
        <v>3.7885039665529245E-2</v>
      </c>
      <c r="K39" s="111">
        <f t="shared" si="8"/>
        <v>3.7078437675211177E-2</v>
      </c>
    </row>
    <row r="40" spans="1:11" s="1" customFormat="1" ht="13.5" thickBot="1" x14ac:dyDescent="0.25">
      <c r="A40" s="112" t="s">
        <v>46</v>
      </c>
      <c r="B40" s="113">
        <f>C4</f>
        <v>750</v>
      </c>
      <c r="C40" s="205">
        <v>0</v>
      </c>
      <c r="D40" s="115">
        <f>B40*C40</f>
        <v>0</v>
      </c>
      <c r="E40" s="116">
        <f>B4</f>
        <v>750</v>
      </c>
      <c r="F40" s="205">
        <f>C40</f>
        <v>0</v>
      </c>
      <c r="G40" s="115">
        <f>E40*F40</f>
        <v>0</v>
      </c>
      <c r="H40" s="115">
        <f t="shared" si="1"/>
        <v>0</v>
      </c>
      <c r="I40" s="117">
        <f t="shared" si="2"/>
        <v>0</v>
      </c>
      <c r="J40" s="117">
        <f t="shared" si="7"/>
        <v>0</v>
      </c>
      <c r="K40" s="118">
        <f t="shared" si="8"/>
        <v>0</v>
      </c>
    </row>
    <row r="41" spans="1:11" s="1" customFormat="1" x14ac:dyDescent="0.2">
      <c r="A41" s="37" t="s">
        <v>137</v>
      </c>
      <c r="B41" s="38"/>
      <c r="C41" s="39"/>
      <c r="D41" s="39">
        <f>SUM(D14,D24,D25,D26,D32,D39,D40)</f>
        <v>137.48585922143735</v>
      </c>
      <c r="E41" s="38"/>
      <c r="F41" s="39"/>
      <c r="G41" s="39">
        <f>SUM(G14,G24,G25,G26,G32,G39,G40)</f>
        <v>143.04352249999997</v>
      </c>
      <c r="H41" s="39">
        <f t="shared" si="1"/>
        <v>5.5576632785626146</v>
      </c>
      <c r="I41" s="40">
        <f>IF(ISERROR(H41/D41),0,(H41/D41))</f>
        <v>4.0423526536000592E-2</v>
      </c>
      <c r="J41" s="40">
        <f t="shared" si="7"/>
        <v>0.95238095238095244</v>
      </c>
      <c r="K41" s="41"/>
    </row>
    <row r="42" spans="1:11" x14ac:dyDescent="0.2">
      <c r="A42" s="150" t="s">
        <v>138</v>
      </c>
      <c r="B42" s="43"/>
      <c r="C42" s="26">
        <v>0.13</v>
      </c>
      <c r="D42" s="26">
        <f>D41*C42</f>
        <v>17.873161698786856</v>
      </c>
      <c r="E42" s="26"/>
      <c r="F42" s="26">
        <f>C42</f>
        <v>0.13</v>
      </c>
      <c r="G42" s="26">
        <f>G41*F42</f>
        <v>18.595657924999998</v>
      </c>
      <c r="H42" s="26">
        <f t="shared" si="1"/>
        <v>0.72249622621314202</v>
      </c>
      <c r="I42" s="44">
        <f t="shared" si="2"/>
        <v>4.042352653600071E-2</v>
      </c>
      <c r="J42" s="44">
        <f t="shared" si="7"/>
        <v>0.12380952380952384</v>
      </c>
      <c r="K42" s="45"/>
    </row>
    <row r="43" spans="1:11" s="1" customFormat="1" x14ac:dyDescent="0.2">
      <c r="A43" s="46" t="s">
        <v>139</v>
      </c>
      <c r="B43" s="24"/>
      <c r="C43" s="25"/>
      <c r="D43" s="25">
        <f>SUM(D41:D42)</f>
        <v>155.3590209202242</v>
      </c>
      <c r="E43" s="25"/>
      <c r="F43" s="25"/>
      <c r="G43" s="25">
        <f>SUM(G41:G42)</f>
        <v>161.63918042499995</v>
      </c>
      <c r="H43" s="25">
        <f t="shared" si="1"/>
        <v>6.280159504775753</v>
      </c>
      <c r="I43" s="27">
        <f t="shared" si="2"/>
        <v>4.0423526536000585E-2</v>
      </c>
      <c r="J43" s="27">
        <f t="shared" si="7"/>
        <v>1.0761904761904761</v>
      </c>
      <c r="K43" s="47"/>
    </row>
    <row r="44" spans="1:11" x14ac:dyDescent="0.2">
      <c r="A44" s="42" t="s">
        <v>140</v>
      </c>
      <c r="B44" s="43"/>
      <c r="C44" s="26">
        <v>-0.08</v>
      </c>
      <c r="D44" s="26">
        <f>D41*C44</f>
        <v>-10.998868737714988</v>
      </c>
      <c r="E44" s="26"/>
      <c r="F44" s="26">
        <f>C44</f>
        <v>-0.08</v>
      </c>
      <c r="G44" s="26">
        <f>G41*F44</f>
        <v>-11.443481799999997</v>
      </c>
      <c r="H44" s="26">
        <f t="shared" si="1"/>
        <v>-0.44461306228500952</v>
      </c>
      <c r="I44" s="44">
        <f t="shared" si="2"/>
        <v>4.0423526536000627E-2</v>
      </c>
      <c r="J44" s="44">
        <f t="shared" si="7"/>
        <v>-7.6190476190476197E-2</v>
      </c>
      <c r="K44" s="45"/>
    </row>
    <row r="45" spans="1:11" s="1" customFormat="1" ht="13.5" thickBot="1" x14ac:dyDescent="0.25">
      <c r="A45" s="48" t="s">
        <v>141</v>
      </c>
      <c r="B45" s="49"/>
      <c r="C45" s="50"/>
      <c r="D45" s="50">
        <f>SUM(D43:D44)</f>
        <v>144.36015218250921</v>
      </c>
      <c r="E45" s="50"/>
      <c r="F45" s="50"/>
      <c r="G45" s="50">
        <f>SUM(G43:G44)</f>
        <v>150.19569862499995</v>
      </c>
      <c r="H45" s="50">
        <f t="shared" si="1"/>
        <v>5.8355464424907382</v>
      </c>
      <c r="I45" s="51">
        <f t="shared" si="2"/>
        <v>4.0423526536000544E-2</v>
      </c>
      <c r="J45" s="51">
        <f t="shared" si="7"/>
        <v>1</v>
      </c>
      <c r="K45" s="52"/>
    </row>
    <row r="46" spans="1:11" x14ac:dyDescent="0.2">
      <c r="A46" s="53" t="s">
        <v>142</v>
      </c>
      <c r="B46" s="54"/>
      <c r="C46" s="55"/>
      <c r="D46" s="55">
        <f>SUM(D18,D24,D25,D27,D32,D39,D40)</f>
        <v>140.60626797143735</v>
      </c>
      <c r="E46" s="55"/>
      <c r="F46" s="55"/>
      <c r="G46" s="55">
        <f>SUM(G18,G24,G25,G27,G32,G39,G40)</f>
        <v>146.15528225</v>
      </c>
      <c r="H46" s="55">
        <f>G46-D46</f>
        <v>5.5490142785626517</v>
      </c>
      <c r="I46" s="56">
        <f>IF(ISERROR(H46/D46),0,(H46/D46))</f>
        <v>3.9464914037046162E-2</v>
      </c>
      <c r="J46" s="56"/>
      <c r="K46" s="57">
        <f>G46/$G$50</f>
        <v>0.95238095238095244</v>
      </c>
    </row>
    <row r="47" spans="1:11" x14ac:dyDescent="0.2">
      <c r="A47" s="58" t="s">
        <v>138</v>
      </c>
      <c r="B47" s="59"/>
      <c r="C47" s="31">
        <v>0.13</v>
      </c>
      <c r="D47" s="31">
        <f>D46*C47</f>
        <v>18.278814836286855</v>
      </c>
      <c r="E47" s="31"/>
      <c r="F47" s="31">
        <f>C47</f>
        <v>0.13</v>
      </c>
      <c r="G47" s="31">
        <f>G46*F47</f>
        <v>19.000186692500002</v>
      </c>
      <c r="H47" s="31">
        <f>G47-D47</f>
        <v>0.72137185621314615</v>
      </c>
      <c r="I47" s="32">
        <f>IF(ISERROR(H47/D47),0,(H47/D47))</f>
        <v>3.9464914037046238E-2</v>
      </c>
      <c r="J47" s="32"/>
      <c r="K47" s="60">
        <f>G47/$G$50</f>
        <v>0.12380952380952383</v>
      </c>
    </row>
    <row r="48" spans="1:11" x14ac:dyDescent="0.2">
      <c r="A48" s="61" t="s">
        <v>143</v>
      </c>
      <c r="B48" s="29"/>
      <c r="C48" s="30"/>
      <c r="D48" s="30">
        <f>SUM(D46:D47)</f>
        <v>158.88508280772419</v>
      </c>
      <c r="E48" s="30"/>
      <c r="F48" s="30"/>
      <c r="G48" s="30">
        <f>SUM(G46:G47)</f>
        <v>165.15546894249999</v>
      </c>
      <c r="H48" s="30">
        <f>G48-D48</f>
        <v>6.270386134775805</v>
      </c>
      <c r="I48" s="33">
        <f>IF(ISERROR(H48/D48),0,(H48/D48))</f>
        <v>3.9464914037046217E-2</v>
      </c>
      <c r="J48" s="33"/>
      <c r="K48" s="62">
        <f>G48/$G$50</f>
        <v>1.0761904761904761</v>
      </c>
    </row>
    <row r="49" spans="1:11" x14ac:dyDescent="0.2">
      <c r="A49" s="58" t="s">
        <v>140</v>
      </c>
      <c r="B49" s="59"/>
      <c r="C49" s="31">
        <v>-0.08</v>
      </c>
      <c r="D49" s="31">
        <f>D46*C49</f>
        <v>-11.248501437714989</v>
      </c>
      <c r="E49" s="31"/>
      <c r="F49" s="31">
        <f>C49</f>
        <v>-0.08</v>
      </c>
      <c r="G49" s="31">
        <f>G46*F49</f>
        <v>-11.692422580000001</v>
      </c>
      <c r="H49" s="31">
        <f>G49-D49</f>
        <v>-0.44392114228501178</v>
      </c>
      <c r="I49" s="32">
        <f>IF(ISERROR(H49/D49),0,(H49/D49))</f>
        <v>3.9464914037046127E-2</v>
      </c>
      <c r="J49" s="32"/>
      <c r="K49" s="60">
        <f>G49/$G$50</f>
        <v>-7.6190476190476197E-2</v>
      </c>
    </row>
    <row r="50" spans="1:11" ht="13.5" thickBot="1" x14ac:dyDescent="0.25">
      <c r="A50" s="63" t="s">
        <v>144</v>
      </c>
      <c r="B50" s="64"/>
      <c r="C50" s="65"/>
      <c r="D50" s="65">
        <f>SUM(D48:D49)</f>
        <v>147.6365813700092</v>
      </c>
      <c r="E50" s="65"/>
      <c r="F50" s="65"/>
      <c r="G50" s="65">
        <f>SUM(G48:G49)</f>
        <v>153.46304636249999</v>
      </c>
      <c r="H50" s="65">
        <f>G50-D50</f>
        <v>5.8264649924907985</v>
      </c>
      <c r="I50" s="66">
        <f>IF(ISERROR(H50/D50),0,(H50/D50))</f>
        <v>3.9464914037046259E-2</v>
      </c>
      <c r="J50" s="66"/>
      <c r="K50" s="67">
        <f>G50/$G$50</f>
        <v>1</v>
      </c>
    </row>
    <row r="51" spans="1:11" x14ac:dyDescent="0.2">
      <c r="C51" s="68"/>
      <c r="F51" s="69"/>
    </row>
    <row r="52" spans="1:11" x14ac:dyDescent="0.2">
      <c r="F52" s="69"/>
    </row>
    <row r="53" spans="1:11" x14ac:dyDescent="0.2">
      <c r="F53" s="69"/>
    </row>
    <row r="54" spans="1:11" x14ac:dyDescent="0.2">
      <c r="A54" s="70"/>
      <c r="B54" s="71"/>
      <c r="F54" s="69"/>
    </row>
    <row r="55" spans="1:11" x14ac:dyDescent="0.2">
      <c r="B55" s="71"/>
      <c r="F55" s="69"/>
    </row>
    <row r="56" spans="1:11" x14ac:dyDescent="0.2">
      <c r="F56" s="69"/>
    </row>
    <row r="57" spans="1:11" x14ac:dyDescent="0.2">
      <c r="D57" s="72"/>
      <c r="F57" s="69"/>
    </row>
    <row r="58" spans="1:11" x14ac:dyDescent="0.2">
      <c r="F58" s="69"/>
    </row>
    <row r="59" spans="1:11" x14ac:dyDescent="0.2">
      <c r="A59" s="70"/>
      <c r="B59" s="71"/>
      <c r="F59" s="69"/>
    </row>
    <row r="60" spans="1:11" x14ac:dyDescent="0.2">
      <c r="B60" s="72"/>
      <c r="D60" s="72"/>
      <c r="F60" s="69"/>
    </row>
    <row r="61" spans="1:11" x14ac:dyDescent="0.2">
      <c r="F61" s="69"/>
    </row>
    <row r="62" spans="1:11" x14ac:dyDescent="0.2">
      <c r="F62" s="69"/>
    </row>
    <row r="63" spans="1:11" x14ac:dyDescent="0.2">
      <c r="F63" s="69"/>
      <c r="K63"/>
    </row>
    <row r="64" spans="1:11" x14ac:dyDescent="0.2">
      <c r="F64" s="69"/>
      <c r="K64"/>
    </row>
    <row r="65" spans="6:11" x14ac:dyDescent="0.2">
      <c r="F65" s="69"/>
      <c r="K65"/>
    </row>
    <row r="66" spans="6:11" x14ac:dyDescent="0.2">
      <c r="F66" s="69"/>
      <c r="K66"/>
    </row>
    <row r="67" spans="6:11" x14ac:dyDescent="0.2">
      <c r="F67" s="69"/>
      <c r="K67"/>
    </row>
  </sheetData>
  <mergeCells count="1">
    <mergeCell ref="A1:K1"/>
  </mergeCell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Impacts'!$A$3:$A$21</xm:f>
          </x14:formula1>
          <xm:sqref>B3</xm:sqref>
        </x14:dataValidation>
      </x14:dataValidations>
    </ext>
  </extLst>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4">
    <pageSetUpPr fitToPage="1"/>
  </sheetPr>
  <dimension ref="A1:K67"/>
  <sheetViews>
    <sheetView topLeftCell="A19" workbookViewId="0">
      <selection activeCell="C19" sqref="C19"/>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48" t="s">
        <v>111</v>
      </c>
      <c r="B1" s="349"/>
      <c r="C1" s="349"/>
      <c r="D1" s="349"/>
      <c r="E1" s="349"/>
      <c r="F1" s="349"/>
      <c r="G1" s="349"/>
      <c r="H1" s="349"/>
      <c r="I1" s="349"/>
      <c r="J1" s="349"/>
      <c r="K1" s="350"/>
    </row>
    <row r="3" spans="1:11" x14ac:dyDescent="0.2">
      <c r="A3" s="13" t="s">
        <v>13</v>
      </c>
      <c r="B3" s="13" t="s">
        <v>180</v>
      </c>
      <c r="C3" s="13" t="s">
        <v>119</v>
      </c>
    </row>
    <row r="4" spans="1:11" x14ac:dyDescent="0.2">
      <c r="A4" s="15" t="s">
        <v>62</v>
      </c>
      <c r="B4" s="15">
        <v>1800</v>
      </c>
      <c r="C4" s="15">
        <f>B4</f>
        <v>1800</v>
      </c>
    </row>
    <row r="5" spans="1:11" x14ac:dyDescent="0.2">
      <c r="A5" s="15" t="s">
        <v>16</v>
      </c>
      <c r="B5" s="15">
        <f>VLOOKUP($B$3,'Data for Bill Impacts'!$A$3:$Y$39,5,0)</f>
        <v>0</v>
      </c>
      <c r="C5" s="15">
        <f>B5</f>
        <v>0</v>
      </c>
    </row>
    <row r="6" spans="1:11" x14ac:dyDescent="0.2">
      <c r="A6" s="15" t="s">
        <v>20</v>
      </c>
      <c r="B6" s="15">
        <f>VLOOKUP($B$3,'Data for Bill Impacts'!$A$3:$Y$39,2,0)</f>
        <v>1.0667</v>
      </c>
      <c r="C6" s="15">
        <f>VLOOKUP($C$3,'Data for Bill Impacts'!$A$3:$Y$39,2,0)</f>
        <v>1.0655000000000001</v>
      </c>
    </row>
    <row r="7" spans="1:11" x14ac:dyDescent="0.2">
      <c r="A7" s="15" t="s">
        <v>15</v>
      </c>
      <c r="B7" s="15">
        <f>VLOOKUP($B$3,'Data for Bill Impacts'!$A$3:$Y$39,4,0)</f>
        <v>600</v>
      </c>
      <c r="C7" s="15">
        <f>B7</f>
        <v>600</v>
      </c>
    </row>
    <row r="8" spans="1:11" x14ac:dyDescent="0.2">
      <c r="A8" s="15" t="s">
        <v>82</v>
      </c>
      <c r="B8" s="15">
        <f>B4*B6</f>
        <v>1920.06</v>
      </c>
      <c r="C8" s="15">
        <f>C4*C6</f>
        <v>1917.9</v>
      </c>
    </row>
    <row r="9" spans="1:11" x14ac:dyDescent="0.2">
      <c r="A9" s="15" t="s">
        <v>21</v>
      </c>
      <c r="B9" s="16" t="str">
        <f>VLOOKUP($B$3,'Data for Bill Impacts'!$A$3:$Y$39,6,0)</f>
        <v>kWh</v>
      </c>
      <c r="C9" s="16" t="str">
        <f>VLOOKUP($C$3,'Data for Bill Impacts'!$A$3:$Y$39,6,0)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0.10299999999999999</v>
      </c>
      <c r="D12" s="104">
        <f>B12*C12</f>
        <v>61.8</v>
      </c>
      <c r="E12" s="102">
        <f>B12</f>
        <v>600</v>
      </c>
      <c r="F12" s="103">
        <f>C12</f>
        <v>0.10299999999999999</v>
      </c>
      <c r="G12" s="104">
        <f>E12*F12</f>
        <v>61.8</v>
      </c>
      <c r="H12" s="104">
        <f>G12-D12</f>
        <v>0</v>
      </c>
      <c r="I12" s="105">
        <f>IF(ISERROR(H12/D12),0,(H12/D12))</f>
        <v>0</v>
      </c>
      <c r="J12" s="105">
        <f>G12/$G$45</f>
        <v>0.19563197689334885</v>
      </c>
      <c r="K12" s="106"/>
    </row>
    <row r="13" spans="1:11" x14ac:dyDescent="0.2">
      <c r="A13" s="107" t="s">
        <v>32</v>
      </c>
      <c r="B13" s="73">
        <f>IF(B4&gt;B7,(B4)-B7,0)</f>
        <v>1200</v>
      </c>
      <c r="C13" s="21">
        <v>0.121</v>
      </c>
      <c r="D13" s="22">
        <f>B13*C13</f>
        <v>145.19999999999999</v>
      </c>
      <c r="E13" s="73">
        <f t="shared" ref="E13:E38" si="0">B13</f>
        <v>1200</v>
      </c>
      <c r="F13" s="21">
        <f>C13</f>
        <v>0.121</v>
      </c>
      <c r="G13" s="22">
        <f>E13*F13</f>
        <v>145.19999999999999</v>
      </c>
      <c r="H13" s="22">
        <f t="shared" ref="H13:H45" si="1">G13-D13</f>
        <v>0</v>
      </c>
      <c r="I13" s="23">
        <f t="shared" ref="I13:I45" si="2">IF(ISERROR(H13/D13),0,(H13/D13))</f>
        <v>0</v>
      </c>
      <c r="J13" s="23">
        <f>G13/$G$45</f>
        <v>0.45964017872029533</v>
      </c>
      <c r="K13" s="108"/>
    </row>
    <row r="14" spans="1:11" s="1" customFormat="1" x14ac:dyDescent="0.2">
      <c r="A14" s="46" t="s">
        <v>33</v>
      </c>
      <c r="B14" s="24"/>
      <c r="C14" s="25"/>
      <c r="D14" s="25">
        <f>SUM(D12:D13)</f>
        <v>207</v>
      </c>
      <c r="E14" s="76"/>
      <c r="F14" s="25"/>
      <c r="G14" s="25">
        <f>SUM(G12:G13)</f>
        <v>207</v>
      </c>
      <c r="H14" s="25">
        <f t="shared" si="1"/>
        <v>0</v>
      </c>
      <c r="I14" s="27">
        <f t="shared" si="2"/>
        <v>0</v>
      </c>
      <c r="J14" s="27">
        <f>G14/$G$45</f>
        <v>0.65527215561364427</v>
      </c>
      <c r="K14" s="108"/>
    </row>
    <row r="15" spans="1:11" s="1" customFormat="1" x14ac:dyDescent="0.2">
      <c r="A15" s="109" t="s">
        <v>34</v>
      </c>
      <c r="B15" s="75">
        <f>B4*0.65</f>
        <v>1170</v>
      </c>
      <c r="C15" s="28">
        <v>8.6999999999999994E-2</v>
      </c>
      <c r="D15" s="22">
        <f>B15*C15</f>
        <v>101.78999999999999</v>
      </c>
      <c r="E15" s="73">
        <f t="shared" ref="E15:F17" si="3">B15</f>
        <v>1170</v>
      </c>
      <c r="F15" s="28">
        <f t="shared" si="3"/>
        <v>8.6999999999999994E-2</v>
      </c>
      <c r="G15" s="22">
        <f>E15*F15</f>
        <v>101.78999999999999</v>
      </c>
      <c r="H15" s="22">
        <f t="shared" si="1"/>
        <v>0</v>
      </c>
      <c r="I15" s="23">
        <f t="shared" si="2"/>
        <v>0</v>
      </c>
      <c r="J15" s="23"/>
      <c r="K15" s="108">
        <f t="shared" ref="K15:K25" si="4">G15/$G$50</f>
        <v>0.33063202811940251</v>
      </c>
    </row>
    <row r="16" spans="1:11" s="1" customFormat="1" x14ac:dyDescent="0.2">
      <c r="A16" s="109" t="s">
        <v>35</v>
      </c>
      <c r="B16" s="75">
        <f>B4*0.17</f>
        <v>306</v>
      </c>
      <c r="C16" s="28">
        <v>0.13200000000000001</v>
      </c>
      <c r="D16" s="22">
        <f>B16*C16</f>
        <v>40.392000000000003</v>
      </c>
      <c r="E16" s="73">
        <f t="shared" si="3"/>
        <v>306</v>
      </c>
      <c r="F16" s="28">
        <f t="shared" si="3"/>
        <v>0.13200000000000001</v>
      </c>
      <c r="G16" s="22">
        <f>E16*F16</f>
        <v>40.392000000000003</v>
      </c>
      <c r="H16" s="22">
        <f t="shared" si="1"/>
        <v>0</v>
      </c>
      <c r="I16" s="23">
        <f t="shared" si="2"/>
        <v>0</v>
      </c>
      <c r="J16" s="23"/>
      <c r="K16" s="108">
        <f t="shared" si="4"/>
        <v>0.13120040160918467</v>
      </c>
    </row>
    <row r="17" spans="1:11" s="1" customFormat="1" x14ac:dyDescent="0.2">
      <c r="A17" s="109" t="s">
        <v>36</v>
      </c>
      <c r="B17" s="75">
        <f>B4*0.18</f>
        <v>324</v>
      </c>
      <c r="C17" s="28">
        <v>0.18</v>
      </c>
      <c r="D17" s="22">
        <f>B17*C17</f>
        <v>58.32</v>
      </c>
      <c r="E17" s="73">
        <f t="shared" si="3"/>
        <v>324</v>
      </c>
      <c r="F17" s="28">
        <f t="shared" si="3"/>
        <v>0.18</v>
      </c>
      <c r="G17" s="22">
        <f>E17*F17</f>
        <v>58.32</v>
      </c>
      <c r="H17" s="22">
        <f t="shared" si="1"/>
        <v>0</v>
      </c>
      <c r="I17" s="23">
        <f t="shared" si="2"/>
        <v>0</v>
      </c>
      <c r="J17" s="23"/>
      <c r="K17" s="108">
        <f t="shared" si="4"/>
        <v>0.18943373494374255</v>
      </c>
    </row>
    <row r="18" spans="1:11" s="1" customFormat="1" x14ac:dyDescent="0.2">
      <c r="A18" s="61" t="s">
        <v>37</v>
      </c>
      <c r="B18" s="29"/>
      <c r="C18" s="30"/>
      <c r="D18" s="30">
        <f>SUM(D15:D17)</f>
        <v>200.50199999999998</v>
      </c>
      <c r="E18" s="77"/>
      <c r="F18" s="30"/>
      <c r="G18" s="30">
        <f>SUM(G15:G17)</f>
        <v>200.50199999999998</v>
      </c>
      <c r="H18" s="31">
        <f t="shared" si="1"/>
        <v>0</v>
      </c>
      <c r="I18" s="32">
        <f t="shared" si="2"/>
        <v>0</v>
      </c>
      <c r="J18" s="33">
        <f>G18/$G$45</f>
        <v>0.63470230794612015</v>
      </c>
      <c r="K18" s="62">
        <f t="shared" si="4"/>
        <v>0.65126616467232967</v>
      </c>
    </row>
    <row r="19" spans="1:11" x14ac:dyDescent="0.2">
      <c r="A19" s="107" t="s">
        <v>38</v>
      </c>
      <c r="B19" s="73">
        <v>1</v>
      </c>
      <c r="C19" s="122">
        <f>VLOOKUP($C$3,'Data for Bill Impacts'!$A$3:$Y$39,7,0)</f>
        <v>35.619999999999997</v>
      </c>
      <c r="D19" s="22">
        <f>B19*C19</f>
        <v>35.619999999999997</v>
      </c>
      <c r="E19" s="73">
        <f t="shared" si="0"/>
        <v>1</v>
      </c>
      <c r="F19" s="122">
        <f>VLOOKUP($B$3,'Data for Bill Impacts'!$A$3:$Y$39,17,0)</f>
        <v>40.08</v>
      </c>
      <c r="G19" s="22">
        <f>E19*F19</f>
        <v>40.08</v>
      </c>
      <c r="H19" s="22">
        <f t="shared" si="1"/>
        <v>4.4600000000000009</v>
      </c>
      <c r="I19" s="23">
        <f t="shared" si="2"/>
        <v>0.12521055586749022</v>
      </c>
      <c r="J19" s="23">
        <f>G19/$G$45</f>
        <v>0.12687588404345343</v>
      </c>
      <c r="K19" s="108">
        <f t="shared" si="4"/>
        <v>0.13018697010537039</v>
      </c>
    </row>
    <row r="20" spans="1:11" x14ac:dyDescent="0.2">
      <c r="A20" s="107" t="s">
        <v>188</v>
      </c>
      <c r="B20" s="73">
        <v>1</v>
      </c>
      <c r="C20" s="122">
        <f>'Data for Bill Impacts'!K28</f>
        <v>-0.36</v>
      </c>
      <c r="D20" s="22">
        <f>B20*C20</f>
        <v>-0.36</v>
      </c>
      <c r="E20" s="73">
        <f t="shared" si="0"/>
        <v>1</v>
      </c>
      <c r="F20" s="122">
        <v>0</v>
      </c>
      <c r="G20" s="22">
        <f t="shared" ref="G20" si="5">E20*F20</f>
        <v>0</v>
      </c>
      <c r="H20" s="22">
        <f t="shared" si="1"/>
        <v>0.36</v>
      </c>
      <c r="I20" s="23">
        <f t="shared" si="2"/>
        <v>-1</v>
      </c>
      <c r="J20" s="23">
        <f>G20/$G$45</f>
        <v>0</v>
      </c>
      <c r="K20" s="108">
        <f t="shared" si="4"/>
        <v>0</v>
      </c>
    </row>
    <row r="21" spans="1:11" x14ac:dyDescent="0.2">
      <c r="A21" s="107" t="s">
        <v>39</v>
      </c>
      <c r="B21" s="73">
        <f>IF($C$9="kWh",$C$4,$C$5)</f>
        <v>1800</v>
      </c>
      <c r="C21" s="126">
        <f>VLOOKUP($C$3,'Data for Bill Impacts'!$A$3:$Y$39,10,0)</f>
        <v>0</v>
      </c>
      <c r="D21" s="22">
        <f>B21*C21</f>
        <v>0</v>
      </c>
      <c r="E21" s="73">
        <f t="shared" si="0"/>
        <v>1800</v>
      </c>
      <c r="F21" s="126">
        <v>0</v>
      </c>
      <c r="G21" s="22">
        <f>E21*F21</f>
        <v>0</v>
      </c>
      <c r="H21" s="22">
        <f t="shared" si="1"/>
        <v>0</v>
      </c>
      <c r="I21" s="23">
        <f t="shared" si="2"/>
        <v>0</v>
      </c>
      <c r="J21" s="23">
        <f>G21/$G$45</f>
        <v>0</v>
      </c>
      <c r="K21" s="108">
        <f t="shared" si="4"/>
        <v>0</v>
      </c>
    </row>
    <row r="22" spans="1:11" x14ac:dyDescent="0.2">
      <c r="A22" s="107" t="s">
        <v>189</v>
      </c>
      <c r="B22" s="73">
        <f>IF($B$9="kWh",$B$4,$B$5)</f>
        <v>1800</v>
      </c>
      <c r="C22" s="78">
        <f>'Data for Bill Impacts'!H28</f>
        <v>4.0000000000000002E-4</v>
      </c>
      <c r="D22" s="22">
        <f>B22*C22</f>
        <v>0.72000000000000008</v>
      </c>
      <c r="E22" s="73">
        <f t="shared" si="0"/>
        <v>1800</v>
      </c>
      <c r="F22" s="126">
        <v>0</v>
      </c>
      <c r="G22" s="22">
        <f>E22*F22</f>
        <v>0</v>
      </c>
      <c r="H22" s="22">
        <f t="shared" si="1"/>
        <v>-0.72000000000000008</v>
      </c>
      <c r="I22" s="23">
        <f>IF(ISERROR(H22/D22),0,(H22/D22))</f>
        <v>-1</v>
      </c>
      <c r="J22" s="23">
        <f>G22/$G$45</f>
        <v>0</v>
      </c>
      <c r="K22" s="108">
        <f t="shared" si="4"/>
        <v>0</v>
      </c>
    </row>
    <row r="23" spans="1:11" x14ac:dyDescent="0.2">
      <c r="A23" s="107" t="s">
        <v>190</v>
      </c>
      <c r="B23" s="73">
        <f>IF($C$9="kWh",$C$4,$C$5)</f>
        <v>1800</v>
      </c>
      <c r="C23" s="126">
        <f>'Data for Bill Impacts'!L28</f>
        <v>0</v>
      </c>
      <c r="D23" s="22">
        <f>B23*C23</f>
        <v>0</v>
      </c>
      <c r="E23" s="73">
        <f t="shared" si="0"/>
        <v>1800</v>
      </c>
      <c r="F23" s="126">
        <v>0</v>
      </c>
      <c r="G23" s="22">
        <f>E23*F23</f>
        <v>0</v>
      </c>
      <c r="H23" s="22">
        <f t="shared" si="1"/>
        <v>0</v>
      </c>
      <c r="I23" s="23">
        <f>IF(ISERROR(H23/D23),0,(H23/D23))</f>
        <v>0</v>
      </c>
      <c r="J23" s="23">
        <f t="shared" ref="J23" si="6">G23/$G$45</f>
        <v>0</v>
      </c>
      <c r="K23" s="108">
        <f t="shared" si="4"/>
        <v>0</v>
      </c>
    </row>
    <row r="24" spans="1:11" s="1" customFormat="1" x14ac:dyDescent="0.2">
      <c r="A24" s="110" t="s">
        <v>72</v>
      </c>
      <c r="B24" s="74"/>
      <c r="C24" s="35"/>
      <c r="D24" s="35">
        <f>SUM(D19:D23)</f>
        <v>35.979999999999997</v>
      </c>
      <c r="E24" s="73"/>
      <c r="F24" s="35"/>
      <c r="G24" s="35">
        <f>SUM(G19:G23)</f>
        <v>40.08</v>
      </c>
      <c r="H24" s="35">
        <f t="shared" si="1"/>
        <v>4.1000000000000014</v>
      </c>
      <c r="I24" s="36">
        <f t="shared" si="2"/>
        <v>0.11395219566425797</v>
      </c>
      <c r="J24" s="36">
        <f>G24/$G$45</f>
        <v>0.12687588404345343</v>
      </c>
      <c r="K24" s="111">
        <f t="shared" si="4"/>
        <v>0.13018697010537039</v>
      </c>
    </row>
    <row r="25" spans="1:11" s="1" customFormat="1" x14ac:dyDescent="0.2">
      <c r="A25" s="119" t="s">
        <v>73</v>
      </c>
      <c r="B25" s="120">
        <v>1</v>
      </c>
      <c r="C25" s="78">
        <f>VLOOKUP($C$3,'Data for Bill Impacts'!$A$3:$Y$39,9,0)</f>
        <v>0.79</v>
      </c>
      <c r="D25" s="22">
        <f>B25*C25</f>
        <v>0.79</v>
      </c>
      <c r="E25" s="73">
        <v>1</v>
      </c>
      <c r="F25" s="78">
        <f>VLOOKUP($B$3,'Data for Bill Impacts'!$A$3:$Y$39,18,0)</f>
        <v>0.79</v>
      </c>
      <c r="G25" s="22">
        <f>E25*F25</f>
        <v>0.79</v>
      </c>
      <c r="H25" s="22">
        <f t="shared" si="1"/>
        <v>0</v>
      </c>
      <c r="I25" s="23">
        <f>IF(ISERROR(H25/D25),0,(H25/D25))</f>
        <v>0</v>
      </c>
      <c r="J25" s="23">
        <f>G25/$G$45</f>
        <v>2.5007971156269515E-3</v>
      </c>
      <c r="K25" s="108">
        <f t="shared" si="4"/>
        <v>2.5660605385040575E-3</v>
      </c>
    </row>
    <row r="26" spans="1:11" s="1" customFormat="1" x14ac:dyDescent="0.2">
      <c r="A26" s="119" t="s">
        <v>75</v>
      </c>
      <c r="B26" s="120">
        <f>C8-C4</f>
        <v>117.90000000000009</v>
      </c>
      <c r="C26" s="121">
        <f>IF(C4&gt;C7,C13,C12)</f>
        <v>0.121</v>
      </c>
      <c r="D26" s="22">
        <f>B26*C26</f>
        <v>14.265900000000011</v>
      </c>
      <c r="E26" s="73">
        <f>B8-B4</f>
        <v>120.05999999999995</v>
      </c>
      <c r="F26" s="121">
        <f>IF(B4&gt;C7,F13,F12)</f>
        <v>0.121</v>
      </c>
      <c r="G26" s="22">
        <f>E26*F26</f>
        <v>14.527259999999993</v>
      </c>
      <c r="H26" s="22">
        <f t="shared" si="1"/>
        <v>0.26135999999998205</v>
      </c>
      <c r="I26" s="23">
        <f>IF(ISERROR(H26/D26),0,(H26/D26))</f>
        <v>1.8320610687021628E-2</v>
      </c>
      <c r="J26" s="23">
        <f t="shared" ref="J26:J45" si="7">G26/$G$45</f>
        <v>4.598699988096553E-2</v>
      </c>
      <c r="K26" s="108">
        <f t="shared" ref="K26:K40" si="8">G26/$G$50</f>
        <v>4.7187124833656245E-2</v>
      </c>
    </row>
    <row r="27" spans="1:11" s="1" customFormat="1" x14ac:dyDescent="0.2">
      <c r="A27" s="119" t="s">
        <v>74</v>
      </c>
      <c r="B27" s="120">
        <f>C8-C4</f>
        <v>117.90000000000009</v>
      </c>
      <c r="C27" s="121">
        <f>0.65*C15+0.17*C16+0.18*C17</f>
        <v>0.11139</v>
      </c>
      <c r="D27" s="22">
        <f>B27*C27</f>
        <v>13.13288100000001</v>
      </c>
      <c r="E27" s="73">
        <f>B8-B4</f>
        <v>120.05999999999995</v>
      </c>
      <c r="F27" s="121">
        <f>0.65*F15+0.17*F16+0.18*F17</f>
        <v>0.11139</v>
      </c>
      <c r="G27" s="22">
        <f>E27*F27</f>
        <v>13.373483399999994</v>
      </c>
      <c r="H27" s="22">
        <f t="shared" si="1"/>
        <v>0.24060239999998423</v>
      </c>
      <c r="I27" s="23">
        <f>IF(ISERROR(H27/D27),0,(H27/D27))</f>
        <v>1.8320610687021687E-2</v>
      </c>
      <c r="J27" s="23">
        <f t="shared" si="7"/>
        <v>4.2334643940006203E-2</v>
      </c>
      <c r="K27" s="108">
        <f t="shared" si="8"/>
        <v>4.3439453183644373E-2</v>
      </c>
    </row>
    <row r="28" spans="1:11" s="1" customFormat="1" x14ac:dyDescent="0.2">
      <c r="A28" s="110" t="s">
        <v>78</v>
      </c>
      <c r="B28" s="74"/>
      <c r="C28" s="35"/>
      <c r="D28" s="35">
        <f>SUM(D24,D25:D26)</f>
        <v>51.035900000000005</v>
      </c>
      <c r="E28" s="73"/>
      <c r="F28" s="35"/>
      <c r="G28" s="35">
        <f>SUM(G24,G25:G26)</f>
        <v>55.397259999999989</v>
      </c>
      <c r="H28" s="35">
        <f t="shared" si="1"/>
        <v>4.3613599999999835</v>
      </c>
      <c r="I28" s="36">
        <f>IF(ISERROR(H28/D28),0,(H28/D28))</f>
        <v>8.5456707925205252E-2</v>
      </c>
      <c r="J28" s="36">
        <f t="shared" si="7"/>
        <v>0.1753636810400459</v>
      </c>
      <c r="K28" s="111">
        <f t="shared" si="8"/>
        <v>0.1799401554775307</v>
      </c>
    </row>
    <row r="29" spans="1:11" s="1" customFormat="1" x14ac:dyDescent="0.2">
      <c r="A29" s="110" t="s">
        <v>77</v>
      </c>
      <c r="B29" s="74"/>
      <c r="C29" s="35"/>
      <c r="D29" s="35">
        <f>SUM(D24,D25,D27)</f>
        <v>49.902881000000008</v>
      </c>
      <c r="E29" s="73"/>
      <c r="F29" s="35"/>
      <c r="G29" s="35">
        <f>SUM(G24,G25,G27)</f>
        <v>54.243483399999988</v>
      </c>
      <c r="H29" s="35">
        <f t="shared" si="1"/>
        <v>4.3406023999999803</v>
      </c>
      <c r="I29" s="36">
        <f>IF(ISERROR(H29/D29),0,(H29/D29))</f>
        <v>8.6980998151188496E-2</v>
      </c>
      <c r="J29" s="36">
        <f t="shared" si="7"/>
        <v>0.17171132509908657</v>
      </c>
      <c r="K29" s="111">
        <f t="shared" si="8"/>
        <v>0.17619248382751881</v>
      </c>
    </row>
    <row r="30" spans="1:11" x14ac:dyDescent="0.2">
      <c r="A30" s="107" t="s">
        <v>40</v>
      </c>
      <c r="B30" s="73">
        <f>C8</f>
        <v>1917.9</v>
      </c>
      <c r="C30" s="126">
        <f>VLOOKUP($C$3,'Data for Bill Impacts'!$A$3:$Y$39,15,0)</f>
        <v>6.5444567943617011E-3</v>
      </c>
      <c r="D30" s="22">
        <f>B30*C30</f>
        <v>12.551613685906307</v>
      </c>
      <c r="E30" s="73">
        <f>B8</f>
        <v>1920.06</v>
      </c>
      <c r="F30" s="78">
        <f>VLOOKUP($B$3,'Data for Bill Impacts'!$A$3:$Y$39,24,0)</f>
        <v>7.1000000000000004E-3</v>
      </c>
      <c r="G30" s="22">
        <f>E30*F30</f>
        <v>13.632426000000001</v>
      </c>
      <c r="H30" s="22">
        <f t="shared" si="1"/>
        <v>1.0808123140936932</v>
      </c>
      <c r="I30" s="23">
        <f t="shared" si="2"/>
        <v>8.6109431116995983E-2</v>
      </c>
      <c r="J30" s="23">
        <f t="shared" si="7"/>
        <v>4.3154343822528939E-2</v>
      </c>
      <c r="K30" s="108">
        <f t="shared" si="8"/>
        <v>4.428054481351483E-2</v>
      </c>
    </row>
    <row r="31" spans="1:11" x14ac:dyDescent="0.2">
      <c r="A31" s="107" t="s">
        <v>41</v>
      </c>
      <c r="B31" s="73">
        <f>C8</f>
        <v>1917.9</v>
      </c>
      <c r="C31" s="126">
        <f>VLOOKUP($C$3,'Data for Bill Impacts'!$A$3:$Y$39,16,0)</f>
        <v>5.4157299366720292E-3</v>
      </c>
      <c r="D31" s="22">
        <f>B31*C31</f>
        <v>10.386828445543285</v>
      </c>
      <c r="E31" s="73">
        <f>B8</f>
        <v>1920.06</v>
      </c>
      <c r="F31" s="78">
        <f>VLOOKUP($B$3,'Data for Bill Impacts'!$A$3:$Y$39,25,0)</f>
        <v>6.0000000000000001E-3</v>
      </c>
      <c r="G31" s="22">
        <f>E31*F31</f>
        <v>11.52036</v>
      </c>
      <c r="H31" s="22">
        <f t="shared" si="1"/>
        <v>1.1335315544567148</v>
      </c>
      <c r="I31" s="23">
        <f t="shared" si="2"/>
        <v>0.10913163343359959</v>
      </c>
      <c r="J31" s="23">
        <f t="shared" si="7"/>
        <v>3.6468459568334312E-2</v>
      </c>
      <c r="K31" s="108">
        <f t="shared" si="8"/>
        <v>3.7420178715646332E-2</v>
      </c>
    </row>
    <row r="32" spans="1:11" s="1" customFormat="1" x14ac:dyDescent="0.2">
      <c r="A32" s="110" t="s">
        <v>76</v>
      </c>
      <c r="B32" s="74"/>
      <c r="C32" s="35"/>
      <c r="D32" s="35">
        <f>SUM(D30:D31)</f>
        <v>22.938442131449591</v>
      </c>
      <c r="E32" s="73"/>
      <c r="F32" s="35"/>
      <c r="G32" s="35">
        <f>SUM(G30:G31)</f>
        <v>25.152785999999999</v>
      </c>
      <c r="H32" s="35">
        <f t="shared" si="1"/>
        <v>2.214343868550408</v>
      </c>
      <c r="I32" s="36">
        <f t="shared" si="2"/>
        <v>9.6534187276582625E-2</v>
      </c>
      <c r="J32" s="36">
        <f t="shared" si="7"/>
        <v>7.9622803390863237E-2</v>
      </c>
      <c r="K32" s="111">
        <f t="shared" si="8"/>
        <v>8.1700723529161148E-2</v>
      </c>
    </row>
    <row r="33" spans="1:11" s="1" customFormat="1" x14ac:dyDescent="0.2">
      <c r="A33" s="110" t="s">
        <v>95</v>
      </c>
      <c r="B33" s="74"/>
      <c r="C33" s="35"/>
      <c r="D33" s="35">
        <f>D28+D32</f>
        <v>73.974342131449589</v>
      </c>
      <c r="E33" s="73"/>
      <c r="F33" s="35"/>
      <c r="G33" s="35">
        <f>G28+G32</f>
        <v>80.55004599999998</v>
      </c>
      <c r="H33" s="35">
        <f t="shared" si="1"/>
        <v>6.5757038685503915</v>
      </c>
      <c r="I33" s="36">
        <f t="shared" si="2"/>
        <v>8.8891684320296024E-2</v>
      </c>
      <c r="J33" s="36">
        <f t="shared" si="7"/>
        <v>0.2549864844309091</v>
      </c>
      <c r="K33" s="111">
        <f t="shared" si="8"/>
        <v>0.26164087900669181</v>
      </c>
    </row>
    <row r="34" spans="1:11" s="1" customFormat="1" x14ac:dyDescent="0.2">
      <c r="A34" s="110" t="s">
        <v>96</v>
      </c>
      <c r="B34" s="74"/>
      <c r="C34" s="35"/>
      <c r="D34" s="35">
        <f>D29+D32</f>
        <v>72.841323131449599</v>
      </c>
      <c r="E34" s="73"/>
      <c r="F34" s="35"/>
      <c r="G34" s="35">
        <f>G29+G32</f>
        <v>79.396269399999994</v>
      </c>
      <c r="H34" s="35">
        <f t="shared" si="1"/>
        <v>6.5549462685503954</v>
      </c>
      <c r="I34" s="36">
        <f t="shared" si="2"/>
        <v>8.9989390455213536E-2</v>
      </c>
      <c r="J34" s="36">
        <f t="shared" si="7"/>
        <v>0.25133412848994985</v>
      </c>
      <c r="K34" s="111">
        <f t="shared" si="8"/>
        <v>0.25789320735667998</v>
      </c>
    </row>
    <row r="35" spans="1:11" x14ac:dyDescent="0.2">
      <c r="A35" s="107" t="s">
        <v>42</v>
      </c>
      <c r="B35" s="73">
        <f>C8</f>
        <v>1917.9</v>
      </c>
      <c r="C35" s="34">
        <v>3.5999999999999999E-3</v>
      </c>
      <c r="D35" s="22">
        <f>B35*C35</f>
        <v>6.9044400000000001</v>
      </c>
      <c r="E35" s="73">
        <f>B8</f>
        <v>1920.06</v>
      </c>
      <c r="F35" s="34">
        <v>3.5999999999999999E-3</v>
      </c>
      <c r="G35" s="22">
        <f>E35*F35</f>
        <v>6.9122159999999999</v>
      </c>
      <c r="H35" s="22">
        <f t="shared" si="1"/>
        <v>7.7759999999997831E-3</v>
      </c>
      <c r="I35" s="23">
        <f t="shared" si="2"/>
        <v>1.1262318160487718E-3</v>
      </c>
      <c r="J35" s="23">
        <f t="shared" si="7"/>
        <v>2.1881075741000587E-2</v>
      </c>
      <c r="K35" s="108">
        <f t="shared" si="8"/>
        <v>2.2452107229387799E-2</v>
      </c>
    </row>
    <row r="36" spans="1:11" x14ac:dyDescent="0.2">
      <c r="A36" s="107" t="s">
        <v>43</v>
      </c>
      <c r="B36" s="73">
        <f>C8</f>
        <v>1917.9</v>
      </c>
      <c r="C36" s="34">
        <v>2.0999999999999999E-3</v>
      </c>
      <c r="D36" s="22">
        <f>B36*C36</f>
        <v>4.02759</v>
      </c>
      <c r="E36" s="73">
        <f>B8</f>
        <v>1920.06</v>
      </c>
      <c r="F36" s="34">
        <v>2.0999999999999999E-3</v>
      </c>
      <c r="G36" s="22">
        <f>E36*F36</f>
        <v>4.0321259999999999</v>
      </c>
      <c r="H36" s="22">
        <f>G36-D36</f>
        <v>4.5359999999998735E-3</v>
      </c>
      <c r="I36" s="23">
        <f t="shared" si="2"/>
        <v>1.1262318160487721E-3</v>
      </c>
      <c r="J36" s="23">
        <f t="shared" si="7"/>
        <v>1.2763960848917009E-2</v>
      </c>
      <c r="K36" s="108">
        <f t="shared" si="8"/>
        <v>1.3097062550476216E-2</v>
      </c>
    </row>
    <row r="37" spans="1:11" x14ac:dyDescent="0.2">
      <c r="A37" s="107" t="s">
        <v>100</v>
      </c>
      <c r="B37" s="73">
        <f>C8</f>
        <v>1917.9</v>
      </c>
      <c r="C37" s="34">
        <v>1.1000000000000001E-3</v>
      </c>
      <c r="D37" s="22">
        <f>B37*C37</f>
        <v>2.1096900000000001</v>
      </c>
      <c r="E37" s="73">
        <f>B8</f>
        <v>1920.06</v>
      </c>
      <c r="F37" s="34">
        <v>1.1000000000000001E-3</v>
      </c>
      <c r="G37" s="22">
        <f>E37*F37</f>
        <v>2.112066</v>
      </c>
      <c r="H37" s="22">
        <f>G37-D37</f>
        <v>2.3759999999999337E-3</v>
      </c>
      <c r="I37" s="23">
        <f t="shared" si="2"/>
        <v>1.1262318160487718E-3</v>
      </c>
      <c r="J37" s="23">
        <f t="shared" si="7"/>
        <v>6.6858842541946233E-3</v>
      </c>
      <c r="K37" s="108">
        <f t="shared" si="8"/>
        <v>6.8603660978684942E-3</v>
      </c>
    </row>
    <row r="38" spans="1:11" x14ac:dyDescent="0.2">
      <c r="A38" s="107" t="s">
        <v>44</v>
      </c>
      <c r="B38" s="73">
        <v>1</v>
      </c>
      <c r="C38" s="22">
        <v>0.25</v>
      </c>
      <c r="D38" s="22">
        <f>B38*C38</f>
        <v>0.25</v>
      </c>
      <c r="E38" s="73">
        <f t="shared" si="0"/>
        <v>1</v>
      </c>
      <c r="F38" s="22">
        <f>C38</f>
        <v>0.25</v>
      </c>
      <c r="G38" s="22">
        <f>E38*F38</f>
        <v>0.25</v>
      </c>
      <c r="H38" s="22">
        <f t="shared" si="1"/>
        <v>0</v>
      </c>
      <c r="I38" s="23">
        <f t="shared" si="2"/>
        <v>0</v>
      </c>
      <c r="J38" s="23">
        <f t="shared" si="7"/>
        <v>7.9139149228700989E-4</v>
      </c>
      <c r="K38" s="108">
        <f t="shared" si="8"/>
        <v>8.1204447421014472E-4</v>
      </c>
    </row>
    <row r="39" spans="1:11" s="1" customFormat="1" x14ac:dyDescent="0.2">
      <c r="A39" s="110" t="s">
        <v>45</v>
      </c>
      <c r="B39" s="74"/>
      <c r="C39" s="35"/>
      <c r="D39" s="35">
        <f>SUM(D35:D38)</f>
        <v>13.291720000000002</v>
      </c>
      <c r="E39" s="73"/>
      <c r="F39" s="35"/>
      <c r="G39" s="35">
        <f>SUM(G35:G38)</f>
        <v>13.306407999999999</v>
      </c>
      <c r="H39" s="35">
        <f t="shared" si="1"/>
        <v>1.4687999999997814E-2</v>
      </c>
      <c r="I39" s="36">
        <f t="shared" si="2"/>
        <v>1.1050488574840436E-3</v>
      </c>
      <c r="J39" s="36">
        <f t="shared" si="7"/>
        <v>4.212231233639923E-2</v>
      </c>
      <c r="K39" s="111">
        <f t="shared" si="8"/>
        <v>4.3221580351942651E-2</v>
      </c>
    </row>
    <row r="40" spans="1:11" s="1" customFormat="1" ht="13.5" thickBot="1" x14ac:dyDescent="0.25">
      <c r="A40" s="112" t="s">
        <v>46</v>
      </c>
      <c r="B40" s="113">
        <f>C4</f>
        <v>1800</v>
      </c>
      <c r="C40" s="205">
        <v>0</v>
      </c>
      <c r="D40" s="115">
        <f>B40*C40</f>
        <v>0</v>
      </c>
      <c r="E40" s="116">
        <f>B4</f>
        <v>1800</v>
      </c>
      <c r="F40" s="205">
        <f>C40</f>
        <v>0</v>
      </c>
      <c r="G40" s="115">
        <f>E40*F40</f>
        <v>0</v>
      </c>
      <c r="H40" s="115">
        <f t="shared" si="1"/>
        <v>0</v>
      </c>
      <c r="I40" s="117">
        <f t="shared" si="2"/>
        <v>0</v>
      </c>
      <c r="J40" s="117">
        <f t="shared" si="7"/>
        <v>0</v>
      </c>
      <c r="K40" s="118">
        <f t="shared" si="8"/>
        <v>0</v>
      </c>
    </row>
    <row r="41" spans="1:11" s="1" customFormat="1" x14ac:dyDescent="0.2">
      <c r="A41" s="37" t="s">
        <v>137</v>
      </c>
      <c r="B41" s="38"/>
      <c r="C41" s="39"/>
      <c r="D41" s="39">
        <f>SUM(D14,D24,D25,D26,D32,D39,D40)</f>
        <v>294.26606213144959</v>
      </c>
      <c r="E41" s="38"/>
      <c r="F41" s="39"/>
      <c r="G41" s="39">
        <f>SUM(G14,G24,G25,G26,G32,G39,G40)</f>
        <v>300.85645399999993</v>
      </c>
      <c r="H41" s="39">
        <f t="shared" si="1"/>
        <v>6.5903918685503413</v>
      </c>
      <c r="I41" s="40">
        <f>IF(ISERROR(H41/D41),0,(H41/D41))</f>
        <v>2.2396031063909749E-2</v>
      </c>
      <c r="J41" s="40">
        <f t="shared" si="7"/>
        <v>0.95238095238095244</v>
      </c>
      <c r="K41" s="41"/>
    </row>
    <row r="42" spans="1:11" x14ac:dyDescent="0.2">
      <c r="A42" s="150" t="s">
        <v>138</v>
      </c>
      <c r="B42" s="43"/>
      <c r="C42" s="26">
        <v>0.13</v>
      </c>
      <c r="D42" s="26">
        <f>D41*C42</f>
        <v>38.254588077088449</v>
      </c>
      <c r="E42" s="26"/>
      <c r="F42" s="26">
        <f>C42</f>
        <v>0.13</v>
      </c>
      <c r="G42" s="26">
        <f>G41*F42</f>
        <v>39.111339019999996</v>
      </c>
      <c r="H42" s="26">
        <f t="shared" si="1"/>
        <v>0.85675094291154608</v>
      </c>
      <c r="I42" s="44">
        <f t="shared" si="2"/>
        <v>2.2396031063909791E-2</v>
      </c>
      <c r="J42" s="44">
        <f t="shared" si="7"/>
        <v>0.12380952380952383</v>
      </c>
      <c r="K42" s="45"/>
    </row>
    <row r="43" spans="1:11" s="1" customFormat="1" x14ac:dyDescent="0.2">
      <c r="A43" s="46" t="s">
        <v>139</v>
      </c>
      <c r="B43" s="24"/>
      <c r="C43" s="25"/>
      <c r="D43" s="25">
        <f>SUM(D41:D42)</f>
        <v>332.52065020853803</v>
      </c>
      <c r="E43" s="25"/>
      <c r="F43" s="25"/>
      <c r="G43" s="25">
        <f>SUM(G41:G42)</f>
        <v>339.96779301999993</v>
      </c>
      <c r="H43" s="25">
        <f t="shared" si="1"/>
        <v>7.4471428114619016</v>
      </c>
      <c r="I43" s="27">
        <f t="shared" si="2"/>
        <v>2.2396031063909798E-2</v>
      </c>
      <c r="J43" s="27">
        <f t="shared" si="7"/>
        <v>1.0761904761904764</v>
      </c>
      <c r="K43" s="47"/>
    </row>
    <row r="44" spans="1:11" x14ac:dyDescent="0.2">
      <c r="A44" s="42" t="s">
        <v>140</v>
      </c>
      <c r="B44" s="43"/>
      <c r="C44" s="26">
        <v>-0.08</v>
      </c>
      <c r="D44" s="26">
        <f>D41*C44</f>
        <v>-23.541284970515967</v>
      </c>
      <c r="E44" s="26"/>
      <c r="F44" s="26">
        <f>C44</f>
        <v>-0.08</v>
      </c>
      <c r="G44" s="26">
        <f>G41*F44</f>
        <v>-24.068516319999993</v>
      </c>
      <c r="H44" s="26">
        <f t="shared" si="1"/>
        <v>-0.52723134948402617</v>
      </c>
      <c r="I44" s="44">
        <f t="shared" si="2"/>
        <v>2.2396031063909701E-2</v>
      </c>
      <c r="J44" s="44">
        <f t="shared" si="7"/>
        <v>-7.6190476190476183E-2</v>
      </c>
      <c r="K44" s="45"/>
    </row>
    <row r="45" spans="1:11" s="1" customFormat="1" ht="13.5" thickBot="1" x14ac:dyDescent="0.25">
      <c r="A45" s="48" t="s">
        <v>141</v>
      </c>
      <c r="B45" s="49"/>
      <c r="C45" s="50"/>
      <c r="D45" s="50">
        <f>SUM(D43:D44)</f>
        <v>308.97936523802207</v>
      </c>
      <c r="E45" s="50"/>
      <c r="F45" s="50"/>
      <c r="G45" s="50">
        <f>SUM(G43:G44)</f>
        <v>315.89927669999992</v>
      </c>
      <c r="H45" s="50">
        <f t="shared" si="1"/>
        <v>6.919911461977847</v>
      </c>
      <c r="I45" s="51">
        <f t="shared" si="2"/>
        <v>2.2396031063909711E-2</v>
      </c>
      <c r="J45" s="51">
        <f t="shared" si="7"/>
        <v>1</v>
      </c>
      <c r="K45" s="52"/>
    </row>
    <row r="46" spans="1:11" x14ac:dyDescent="0.2">
      <c r="A46" s="53" t="s">
        <v>142</v>
      </c>
      <c r="B46" s="54"/>
      <c r="C46" s="55"/>
      <c r="D46" s="55">
        <f>SUM(D18,D24,D25,D27,D32,D39,D40)</f>
        <v>286.63504313144955</v>
      </c>
      <c r="E46" s="55"/>
      <c r="F46" s="55"/>
      <c r="G46" s="55">
        <f>SUM(G18,G24,G25,G27,G32,G39,G40)</f>
        <v>293.20467739999998</v>
      </c>
      <c r="H46" s="55">
        <f>G46-D46</f>
        <v>6.5696342685504305</v>
      </c>
      <c r="I46" s="56">
        <f>IF(ISERROR(H46/D46),0,(H46/D46))</f>
        <v>2.2919857239987317E-2</v>
      </c>
      <c r="J46" s="56"/>
      <c r="K46" s="57">
        <f>G46/$G$50</f>
        <v>0.95238095238095233</v>
      </c>
    </row>
    <row r="47" spans="1:11" x14ac:dyDescent="0.2">
      <c r="A47" s="58" t="s">
        <v>138</v>
      </c>
      <c r="B47" s="59"/>
      <c r="C47" s="31">
        <v>0.13</v>
      </c>
      <c r="D47" s="31">
        <f>D46*C47</f>
        <v>37.262555607088444</v>
      </c>
      <c r="E47" s="31"/>
      <c r="F47" s="31">
        <f>C47</f>
        <v>0.13</v>
      </c>
      <c r="G47" s="31">
        <f>G46*F47</f>
        <v>38.116608061999997</v>
      </c>
      <c r="H47" s="31">
        <f>G47-D47</f>
        <v>0.85405245491155313</v>
      </c>
      <c r="I47" s="32">
        <f>IF(ISERROR(H47/D47),0,(H47/D47))</f>
        <v>2.2919857239987237E-2</v>
      </c>
      <c r="J47" s="32"/>
      <c r="K47" s="60">
        <f>G47/$G$50</f>
        <v>0.1238095238095238</v>
      </c>
    </row>
    <row r="48" spans="1:11" x14ac:dyDescent="0.2">
      <c r="A48" s="61" t="s">
        <v>143</v>
      </c>
      <c r="B48" s="29"/>
      <c r="C48" s="30"/>
      <c r="D48" s="30">
        <f>SUM(D46:D47)</f>
        <v>323.89759873853802</v>
      </c>
      <c r="E48" s="30"/>
      <c r="F48" s="30"/>
      <c r="G48" s="30">
        <f>SUM(G46:G47)</f>
        <v>331.32128546199999</v>
      </c>
      <c r="H48" s="30">
        <f>G48-D48</f>
        <v>7.4236867234619694</v>
      </c>
      <c r="I48" s="33">
        <f>IF(ISERROR(H48/D48),0,(H48/D48))</f>
        <v>2.2919857239987261E-2</v>
      </c>
      <c r="J48" s="33"/>
      <c r="K48" s="62">
        <f>G48/$G$50</f>
        <v>1.0761904761904761</v>
      </c>
    </row>
    <row r="49" spans="1:11" x14ac:dyDescent="0.2">
      <c r="A49" s="58" t="s">
        <v>140</v>
      </c>
      <c r="B49" s="59"/>
      <c r="C49" s="31">
        <v>-0.08</v>
      </c>
      <c r="D49" s="31">
        <f>D46*C49</f>
        <v>-22.930803450515963</v>
      </c>
      <c r="E49" s="31"/>
      <c r="F49" s="31">
        <f>C49</f>
        <v>-0.08</v>
      </c>
      <c r="G49" s="31">
        <f>G46*F49</f>
        <v>-23.456374191999998</v>
      </c>
      <c r="H49" s="31">
        <f>G49-D49</f>
        <v>-0.52557074148403515</v>
      </c>
      <c r="I49" s="32">
        <f>IF(ISERROR(H49/D49),0,(H49/D49))</f>
        <v>2.2919857239987348E-2</v>
      </c>
      <c r="J49" s="32"/>
      <c r="K49" s="60">
        <f>G49/$G$50</f>
        <v>-7.6190476190476183E-2</v>
      </c>
    </row>
    <row r="50" spans="1:11" ht="13.5" thickBot="1" x14ac:dyDescent="0.25">
      <c r="A50" s="63" t="s">
        <v>144</v>
      </c>
      <c r="B50" s="64"/>
      <c r="C50" s="65"/>
      <c r="D50" s="65">
        <f>SUM(D48:D49)</f>
        <v>300.96679528802207</v>
      </c>
      <c r="E50" s="65"/>
      <c r="F50" s="65"/>
      <c r="G50" s="65">
        <f>SUM(G48:G49)</f>
        <v>307.86491126999999</v>
      </c>
      <c r="H50" s="65">
        <f>G50-D50</f>
        <v>6.8981159819779236</v>
      </c>
      <c r="I50" s="66">
        <f>IF(ISERROR(H50/D50),0,(H50/D50))</f>
        <v>2.2919857239987219E-2</v>
      </c>
      <c r="J50" s="66"/>
      <c r="K50" s="67">
        <f>G50/$G$50</f>
        <v>1</v>
      </c>
    </row>
    <row r="51" spans="1:11" x14ac:dyDescent="0.2">
      <c r="C51" s="68"/>
      <c r="F51" s="69"/>
    </row>
    <row r="52" spans="1:11" x14ac:dyDescent="0.2">
      <c r="F52" s="69"/>
    </row>
    <row r="53" spans="1:11" x14ac:dyDescent="0.2">
      <c r="F53" s="69"/>
    </row>
    <row r="54" spans="1:11" x14ac:dyDescent="0.2">
      <c r="A54" s="70"/>
      <c r="B54" s="71"/>
      <c r="F54" s="69"/>
    </row>
    <row r="55" spans="1:11" x14ac:dyDescent="0.2">
      <c r="B55" s="71"/>
      <c r="F55" s="69"/>
    </row>
    <row r="56" spans="1:11" x14ac:dyDescent="0.2">
      <c r="F56" s="69"/>
    </row>
    <row r="57" spans="1:11" x14ac:dyDescent="0.2">
      <c r="D57" s="72"/>
      <c r="F57" s="69"/>
    </row>
    <row r="58" spans="1:11" x14ac:dyDescent="0.2">
      <c r="F58" s="69"/>
    </row>
    <row r="59" spans="1:11" x14ac:dyDescent="0.2">
      <c r="A59" s="70"/>
      <c r="B59" s="71"/>
      <c r="F59" s="69"/>
    </row>
    <row r="60" spans="1:11" x14ac:dyDescent="0.2">
      <c r="B60" s="72"/>
      <c r="D60" s="72"/>
      <c r="F60" s="69"/>
    </row>
    <row r="61" spans="1:11" x14ac:dyDescent="0.2">
      <c r="F61" s="69"/>
    </row>
    <row r="62" spans="1:11" x14ac:dyDescent="0.2">
      <c r="F62" s="69"/>
    </row>
    <row r="63" spans="1:11" x14ac:dyDescent="0.2">
      <c r="F63" s="69"/>
      <c r="K63"/>
    </row>
    <row r="64" spans="1:11" x14ac:dyDescent="0.2">
      <c r="F64" s="69"/>
      <c r="K64"/>
    </row>
    <row r="65" spans="6:11" x14ac:dyDescent="0.2">
      <c r="F65" s="69"/>
      <c r="K65"/>
    </row>
    <row r="66" spans="6:11" x14ac:dyDescent="0.2">
      <c r="F66" s="69"/>
      <c r="K66"/>
    </row>
    <row r="67" spans="6:11" x14ac:dyDescent="0.2">
      <c r="F67" s="69"/>
      <c r="K67"/>
    </row>
  </sheetData>
  <mergeCells count="1">
    <mergeCell ref="A1:K1"/>
  </mergeCell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Impacts'!$A$3:$A$21</xm:f>
          </x14:formula1>
          <xm:sqref>B3</xm:sqref>
        </x14:dataValidation>
      </x14:dataValidations>
    </ext>
  </extLst>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5">
    <pageSetUpPr fitToPage="1"/>
  </sheetPr>
  <dimension ref="A1:K67"/>
  <sheetViews>
    <sheetView topLeftCell="A19" workbookViewId="0">
      <selection activeCell="C19" sqref="C19"/>
    </sheetView>
  </sheetViews>
  <sheetFormatPr defaultRowHeight="12.75" x14ac:dyDescent="0.2"/>
  <cols>
    <col min="1" max="1" width="64.7109375" bestFit="1" customWidth="1"/>
    <col min="2" max="2" width="15.5703125" bestFit="1" customWidth="1"/>
    <col min="3" max="3" width="12.1406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48" t="s">
        <v>109</v>
      </c>
      <c r="B1" s="349"/>
      <c r="C1" s="349"/>
      <c r="D1" s="349"/>
      <c r="E1" s="349"/>
      <c r="F1" s="349"/>
      <c r="G1" s="349"/>
      <c r="H1" s="349"/>
      <c r="I1" s="349"/>
      <c r="J1" s="349"/>
      <c r="K1" s="350"/>
    </row>
    <row r="3" spans="1:11" x14ac:dyDescent="0.2">
      <c r="A3" s="13" t="s">
        <v>13</v>
      </c>
      <c r="B3" s="13" t="s">
        <v>181</v>
      </c>
      <c r="C3" s="13" t="s">
        <v>126</v>
      </c>
    </row>
    <row r="4" spans="1:11" x14ac:dyDescent="0.2">
      <c r="A4" s="15" t="s">
        <v>62</v>
      </c>
      <c r="B4" s="15">
        <v>1000</v>
      </c>
      <c r="C4" s="15">
        <f>B4</f>
        <v>1000</v>
      </c>
    </row>
    <row r="5" spans="1:11" x14ac:dyDescent="0.2">
      <c r="A5" s="15" t="s">
        <v>16</v>
      </c>
      <c r="B5" s="15">
        <f>VLOOKUP($B$3,'Data for Bill Impacts'!$A$3:$Y$39,5,0)</f>
        <v>0</v>
      </c>
      <c r="C5" s="15">
        <f>B5</f>
        <v>0</v>
      </c>
    </row>
    <row r="6" spans="1:11" x14ac:dyDescent="0.2">
      <c r="A6" s="15" t="s">
        <v>20</v>
      </c>
      <c r="B6" s="15">
        <f>VLOOKUP($B$3,'Data for Bill Impacts'!$A$3:$Y$39,2,0)</f>
        <v>1.0667</v>
      </c>
      <c r="C6" s="15">
        <f>VLOOKUP($C$3,'Data for Bill Impacts'!$A$3:$Y$39,2,0)</f>
        <v>1.0564</v>
      </c>
    </row>
    <row r="7" spans="1:11" x14ac:dyDescent="0.2">
      <c r="A7" s="15" t="s">
        <v>15</v>
      </c>
      <c r="B7" s="15">
        <f>VLOOKUP($B$3,'Data for Bill Impacts'!$A$3:$Y$39,4,0)</f>
        <v>750</v>
      </c>
      <c r="C7" s="15">
        <f>B7</f>
        <v>750</v>
      </c>
    </row>
    <row r="8" spans="1:11" x14ac:dyDescent="0.2">
      <c r="A8" s="15" t="s">
        <v>82</v>
      </c>
      <c r="B8" s="15">
        <f>B4*B6</f>
        <v>1066.7</v>
      </c>
      <c r="C8" s="15">
        <f>C4*C6</f>
        <v>1056.4000000000001</v>
      </c>
    </row>
    <row r="9" spans="1:11" x14ac:dyDescent="0.2">
      <c r="A9" s="15" t="s">
        <v>21</v>
      </c>
      <c r="B9" s="16" t="str">
        <f>VLOOKUP($B$3,'Data for Bill Impacts'!$A$3:$Y$39,6,0)</f>
        <v>kWh</v>
      </c>
      <c r="C9" s="16" t="str">
        <f>VLOOKUP($C$3,'Data for Bill Impacts'!$A$3:$Y$39,6,0)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0.10299999999999999</v>
      </c>
      <c r="D12" s="104">
        <f>B12*C12</f>
        <v>77.25</v>
      </c>
      <c r="E12" s="102">
        <f>B12</f>
        <v>750</v>
      </c>
      <c r="F12" s="103">
        <f>C12</f>
        <v>0.10299999999999999</v>
      </c>
      <c r="G12" s="104">
        <f>E12*F12</f>
        <v>77.25</v>
      </c>
      <c r="H12" s="104">
        <f>G12-D12</f>
        <v>0</v>
      </c>
      <c r="I12" s="105">
        <f>IF(ISERROR(H12/D12),0,(H12/D12))</f>
        <v>0</v>
      </c>
      <c r="J12" s="105">
        <f>G12/$G$45</f>
        <v>0.36651706483882585</v>
      </c>
      <c r="K12" s="106"/>
    </row>
    <row r="13" spans="1:11" x14ac:dyDescent="0.2">
      <c r="A13" s="107" t="s">
        <v>32</v>
      </c>
      <c r="B13" s="73">
        <f>IF(B4&gt;B7,(B4)-B7,0)</f>
        <v>250</v>
      </c>
      <c r="C13" s="21">
        <v>0.121</v>
      </c>
      <c r="D13" s="22">
        <f>B13*C13</f>
        <v>30.25</v>
      </c>
      <c r="E13" s="73">
        <f t="shared" ref="E13" si="0">B13</f>
        <v>250</v>
      </c>
      <c r="F13" s="21">
        <f>C13</f>
        <v>0.121</v>
      </c>
      <c r="G13" s="22">
        <f>E13*F13</f>
        <v>30.25</v>
      </c>
      <c r="H13" s="22">
        <f t="shared" ref="H13:H45" si="1">G13-D13</f>
        <v>0</v>
      </c>
      <c r="I13" s="23">
        <f t="shared" ref="I13:I45" si="2">IF(ISERROR(H13/D13),0,(H13/D13))</f>
        <v>0</v>
      </c>
      <c r="J13" s="23">
        <f>G13/$G$45</f>
        <v>0.1435228635776632</v>
      </c>
      <c r="K13" s="108"/>
    </row>
    <row r="14" spans="1:11" s="1" customFormat="1" x14ac:dyDescent="0.2">
      <c r="A14" s="46" t="s">
        <v>33</v>
      </c>
      <c r="B14" s="24"/>
      <c r="C14" s="25"/>
      <c r="D14" s="25">
        <f>SUM(D12:D13)</f>
        <v>107.5</v>
      </c>
      <c r="E14" s="76"/>
      <c r="F14" s="25"/>
      <c r="G14" s="25">
        <f>SUM(G12:G13)</f>
        <v>107.5</v>
      </c>
      <c r="H14" s="25">
        <f t="shared" si="1"/>
        <v>0</v>
      </c>
      <c r="I14" s="27">
        <f t="shared" si="2"/>
        <v>0</v>
      </c>
      <c r="J14" s="27">
        <f>G14/$G$45</f>
        <v>0.51003992841648904</v>
      </c>
      <c r="K14" s="108"/>
    </row>
    <row r="15" spans="1:11" s="1" customFormat="1" x14ac:dyDescent="0.2">
      <c r="A15" s="109" t="s">
        <v>34</v>
      </c>
      <c r="B15" s="75">
        <f>B4*0.65</f>
        <v>650</v>
      </c>
      <c r="C15" s="28">
        <v>8.6999999999999994E-2</v>
      </c>
      <c r="D15" s="22">
        <f>B15*C15</f>
        <v>56.55</v>
      </c>
      <c r="E15" s="73">
        <f t="shared" ref="E15:F17" si="3">B15</f>
        <v>650</v>
      </c>
      <c r="F15" s="28">
        <f t="shared" si="3"/>
        <v>8.6999999999999994E-2</v>
      </c>
      <c r="G15" s="22">
        <f>E15*F15</f>
        <v>56.55</v>
      </c>
      <c r="H15" s="22">
        <f t="shared" si="1"/>
        <v>0</v>
      </c>
      <c r="I15" s="23">
        <f t="shared" si="2"/>
        <v>0</v>
      </c>
      <c r="J15" s="23"/>
      <c r="K15" s="108">
        <f t="shared" ref="K15:K25" si="4">G15/$G$50</f>
        <v>0.26403114725439325</v>
      </c>
    </row>
    <row r="16" spans="1:11" s="1" customFormat="1" x14ac:dyDescent="0.2">
      <c r="A16" s="109" t="s">
        <v>35</v>
      </c>
      <c r="B16" s="75">
        <f>B4*0.17</f>
        <v>170</v>
      </c>
      <c r="C16" s="28">
        <v>0.13200000000000001</v>
      </c>
      <c r="D16" s="22">
        <f>B16*C16</f>
        <v>22.44</v>
      </c>
      <c r="E16" s="73">
        <f t="shared" si="3"/>
        <v>170</v>
      </c>
      <c r="F16" s="28">
        <f t="shared" si="3"/>
        <v>0.13200000000000001</v>
      </c>
      <c r="G16" s="22">
        <f>E16*F16</f>
        <v>22.44</v>
      </c>
      <c r="H16" s="22">
        <f t="shared" si="1"/>
        <v>0</v>
      </c>
      <c r="I16" s="23">
        <f t="shared" si="2"/>
        <v>0</v>
      </c>
      <c r="J16" s="23"/>
      <c r="K16" s="108">
        <f t="shared" si="4"/>
        <v>0.10477204145691574</v>
      </c>
    </row>
    <row r="17" spans="1:11" s="1" customFormat="1" x14ac:dyDescent="0.2">
      <c r="A17" s="109" t="s">
        <v>36</v>
      </c>
      <c r="B17" s="75">
        <f>B4*0.18</f>
        <v>180</v>
      </c>
      <c r="C17" s="28">
        <v>0.18</v>
      </c>
      <c r="D17" s="22">
        <f>B17*C17</f>
        <v>32.4</v>
      </c>
      <c r="E17" s="73">
        <f t="shared" si="3"/>
        <v>180</v>
      </c>
      <c r="F17" s="28">
        <f t="shared" si="3"/>
        <v>0.18</v>
      </c>
      <c r="G17" s="22">
        <f>E17*F17</f>
        <v>32.4</v>
      </c>
      <c r="H17" s="22">
        <f t="shared" si="1"/>
        <v>0</v>
      </c>
      <c r="I17" s="23">
        <f t="shared" si="2"/>
        <v>0</v>
      </c>
      <c r="J17" s="23"/>
      <c r="K17" s="108">
        <f t="shared" si="4"/>
        <v>0.1512751400714826</v>
      </c>
    </row>
    <row r="18" spans="1:11" s="1" customFormat="1" x14ac:dyDescent="0.2">
      <c r="A18" s="61" t="s">
        <v>37</v>
      </c>
      <c r="B18" s="29"/>
      <c r="C18" s="30"/>
      <c r="D18" s="30">
        <f>SUM(D15:D17)</f>
        <v>111.38999999999999</v>
      </c>
      <c r="E18" s="77"/>
      <c r="F18" s="30"/>
      <c r="G18" s="30">
        <f>SUM(G15:G17)</f>
        <v>111.38999999999999</v>
      </c>
      <c r="H18" s="31">
        <f t="shared" si="1"/>
        <v>0</v>
      </c>
      <c r="I18" s="32">
        <f t="shared" si="2"/>
        <v>0</v>
      </c>
      <c r="J18" s="33">
        <f>G18/$G$45</f>
        <v>0.52849625698895542</v>
      </c>
      <c r="K18" s="62">
        <f t="shared" si="4"/>
        <v>0.52007832878279159</v>
      </c>
    </row>
    <row r="19" spans="1:11" x14ac:dyDescent="0.2">
      <c r="A19" s="107" t="s">
        <v>38</v>
      </c>
      <c r="B19" s="73">
        <v>1</v>
      </c>
      <c r="C19" s="122">
        <f>VLOOKUP($C$3,'Data for Bill Impacts'!$A$3:$Y$39,7,0)</f>
        <v>49.98</v>
      </c>
      <c r="D19" s="22">
        <f>B19*C19</f>
        <v>49.98</v>
      </c>
      <c r="E19" s="73">
        <f t="shared" ref="E19:E40" si="5">B19</f>
        <v>1</v>
      </c>
      <c r="F19" s="78">
        <f>VLOOKUP($B$3,'Data for Bill Impacts'!$A$3:$Y$39,17,0)</f>
        <v>40.82</v>
      </c>
      <c r="G19" s="22">
        <f>E19*F19</f>
        <v>40.82</v>
      </c>
      <c r="H19" s="22">
        <f t="shared" si="1"/>
        <v>-9.1599999999999966</v>
      </c>
      <c r="I19" s="23">
        <f t="shared" si="2"/>
        <v>-0.18327330932372943</v>
      </c>
      <c r="J19" s="23">
        <f>G19/$G$45</f>
        <v>0.19367283607405658</v>
      </c>
      <c r="K19" s="108">
        <f t="shared" si="4"/>
        <v>0.19058800054684941</v>
      </c>
    </row>
    <row r="20" spans="1:11" x14ac:dyDescent="0.2">
      <c r="A20" s="107" t="s">
        <v>188</v>
      </c>
      <c r="B20" s="73">
        <v>1</v>
      </c>
      <c r="C20" s="122">
        <f>'Data for Bill Impacts'!K35</f>
        <v>-0.74</v>
      </c>
      <c r="D20" s="22">
        <f>B20*C20</f>
        <v>-0.74</v>
      </c>
      <c r="E20" s="73">
        <f t="shared" si="5"/>
        <v>1</v>
      </c>
      <c r="F20" s="122">
        <v>0</v>
      </c>
      <c r="G20" s="22">
        <f t="shared" ref="G20" si="6">E20*F20</f>
        <v>0</v>
      </c>
      <c r="H20" s="22">
        <f t="shared" si="1"/>
        <v>0.74</v>
      </c>
      <c r="I20" s="23">
        <f t="shared" si="2"/>
        <v>-1</v>
      </c>
      <c r="J20" s="23">
        <f>G20/$G$45</f>
        <v>0</v>
      </c>
      <c r="K20" s="108">
        <f t="shared" si="4"/>
        <v>0</v>
      </c>
    </row>
    <row r="21" spans="1:11" x14ac:dyDescent="0.2">
      <c r="A21" s="107" t="s">
        <v>39</v>
      </c>
      <c r="B21" s="73">
        <f>C4</f>
        <v>1000</v>
      </c>
      <c r="C21" s="78">
        <f>VLOOKUP($C$3,'Data for Bill Impacts'!$A$3:$Y$39,10,0)</f>
        <v>1.5599999999999999E-2</v>
      </c>
      <c r="D21" s="22">
        <f>B21*C21</f>
        <v>15.6</v>
      </c>
      <c r="E21" s="73">
        <f>B4</f>
        <v>1000</v>
      </c>
      <c r="F21" s="78">
        <f>VLOOKUP($B$3,'Data for Bill Impacts'!$A$3:$Y$39,19,0)</f>
        <v>1.8700000000000001E-2</v>
      </c>
      <c r="G21" s="22">
        <f>E21*F21</f>
        <v>18.700000000000003</v>
      </c>
      <c r="H21" s="22">
        <f t="shared" si="1"/>
        <v>3.1000000000000032</v>
      </c>
      <c r="I21" s="23">
        <f t="shared" si="2"/>
        <v>0.19871794871794893</v>
      </c>
      <c r="J21" s="23">
        <f>G21/$G$45</f>
        <v>8.8723224757100899E-2</v>
      </c>
      <c r="K21" s="108">
        <f t="shared" si="4"/>
        <v>8.7310034547429791E-2</v>
      </c>
    </row>
    <row r="22" spans="1:11" x14ac:dyDescent="0.2">
      <c r="A22" s="107" t="s">
        <v>189</v>
      </c>
      <c r="B22" s="73">
        <f>C4</f>
        <v>1000</v>
      </c>
      <c r="C22" s="78">
        <f>'Data for Bill Impacts'!H35</f>
        <v>8.0000000000000004E-4</v>
      </c>
      <c r="D22" s="22">
        <f>B22*C22</f>
        <v>0.8</v>
      </c>
      <c r="E22" s="73">
        <f>B4</f>
        <v>1000</v>
      </c>
      <c r="F22" s="126">
        <v>0</v>
      </c>
      <c r="G22" s="22">
        <f>E22*F22</f>
        <v>0</v>
      </c>
      <c r="H22" s="22">
        <f t="shared" ref="H22" si="7">G22-D22</f>
        <v>-0.8</v>
      </c>
      <c r="I22" s="23">
        <f t="shared" ref="I22" si="8">IF(ISERROR(H22/D22),0,(H22/D22))</f>
        <v>-1</v>
      </c>
      <c r="J22" s="23">
        <f>G22/$G$45</f>
        <v>0</v>
      </c>
      <c r="K22" s="108">
        <f t="shared" si="4"/>
        <v>0</v>
      </c>
    </row>
    <row r="23" spans="1:11" x14ac:dyDescent="0.2">
      <c r="A23" s="107" t="s">
        <v>190</v>
      </c>
      <c r="B23" s="73">
        <f>IF($B$9="kWh",$B$4,$B$5)</f>
        <v>1000</v>
      </c>
      <c r="C23" s="78">
        <f>'Data for Bill Impacts'!L35</f>
        <v>-2.9999999999999997E-4</v>
      </c>
      <c r="D23" s="22">
        <f>B23*C23</f>
        <v>-0.3</v>
      </c>
      <c r="E23" s="73">
        <f t="shared" si="5"/>
        <v>1000</v>
      </c>
      <c r="F23" s="126">
        <v>0</v>
      </c>
      <c r="G23" s="22">
        <f>E23*F23</f>
        <v>0</v>
      </c>
      <c r="H23" s="22">
        <f t="shared" si="1"/>
        <v>0.3</v>
      </c>
      <c r="I23" s="23">
        <f>IF(ISERROR(H23/D23),0,(H23/D23))</f>
        <v>-1</v>
      </c>
      <c r="J23" s="23">
        <f t="shared" ref="J23" si="9">G23/$G$45</f>
        <v>0</v>
      </c>
      <c r="K23" s="108">
        <f t="shared" si="4"/>
        <v>0</v>
      </c>
    </row>
    <row r="24" spans="1:11" s="1" customFormat="1" x14ac:dyDescent="0.2">
      <c r="A24" s="110" t="s">
        <v>72</v>
      </c>
      <c r="B24" s="74"/>
      <c r="C24" s="35"/>
      <c r="D24" s="35">
        <f>SUM(D19:D23)</f>
        <v>65.339999999999989</v>
      </c>
      <c r="E24" s="73"/>
      <c r="F24" s="35"/>
      <c r="G24" s="35">
        <f>SUM(G19:G23)</f>
        <v>59.52</v>
      </c>
      <c r="H24" s="35">
        <f t="shared" si="1"/>
        <v>-5.8199999999999861</v>
      </c>
      <c r="I24" s="36">
        <f t="shared" si="2"/>
        <v>-8.9072543617997962E-2</v>
      </c>
      <c r="J24" s="36">
        <f>G24/$G$45</f>
        <v>0.28239606083115748</v>
      </c>
      <c r="K24" s="111">
        <f t="shared" si="4"/>
        <v>0.27789803509427918</v>
      </c>
    </row>
    <row r="25" spans="1:11" s="1" customFormat="1" x14ac:dyDescent="0.2">
      <c r="A25" s="119" t="s">
        <v>73</v>
      </c>
      <c r="B25" s="120">
        <v>1</v>
      </c>
      <c r="C25" s="78">
        <f>VLOOKUP($C$3,'Data for Bill Impacts'!$A$3:$Y$39,9,0)</f>
        <v>0.79</v>
      </c>
      <c r="D25" s="22">
        <f>B25*C25</f>
        <v>0.79</v>
      </c>
      <c r="E25" s="73">
        <v>1</v>
      </c>
      <c r="F25" s="78">
        <f>VLOOKUP($B$3,'Data for Bill Impacts'!$A$3:$Y$39,18,0)</f>
        <v>0.79</v>
      </c>
      <c r="G25" s="22">
        <f>E25*F25</f>
        <v>0.79</v>
      </c>
      <c r="H25" s="22">
        <f t="shared" si="1"/>
        <v>0</v>
      </c>
      <c r="I25" s="23">
        <f>IF(ISERROR(H25/D25),0,(H25/D25))</f>
        <v>0</v>
      </c>
      <c r="J25" s="23">
        <f>G25/$G$45</f>
        <v>3.7482004041769898E-3</v>
      </c>
      <c r="K25" s="108">
        <f t="shared" si="4"/>
        <v>3.6884987856935576E-3</v>
      </c>
    </row>
    <row r="26" spans="1:11" s="1" customFormat="1" x14ac:dyDescent="0.2">
      <c r="A26" s="119" t="s">
        <v>75</v>
      </c>
      <c r="B26" s="120">
        <f>C8-C4</f>
        <v>56.400000000000091</v>
      </c>
      <c r="C26" s="121">
        <f>IF(C4&gt;C7,C13,C12)</f>
        <v>0.121</v>
      </c>
      <c r="D26" s="22">
        <f>B26*C26</f>
        <v>6.8244000000000105</v>
      </c>
      <c r="E26" s="73">
        <f>B8-B4</f>
        <v>66.700000000000045</v>
      </c>
      <c r="F26" s="121">
        <f>IF(B4&gt;B7,C13,C12)</f>
        <v>0.121</v>
      </c>
      <c r="G26" s="22">
        <f>E26*F26</f>
        <v>8.0707000000000058</v>
      </c>
      <c r="H26" s="22">
        <f t="shared" si="1"/>
        <v>1.2462999999999953</v>
      </c>
      <c r="I26" s="23">
        <f>IF(ISERROR(H26/D26),0,(H26/D26))</f>
        <v>0.18262411347517635</v>
      </c>
      <c r="J26" s="23">
        <f t="shared" ref="J26:J45" si="10">G26/$G$45</f>
        <v>3.8291900002520571E-2</v>
      </c>
      <c r="K26" s="108">
        <f t="shared" ref="K26:K40" si="11">G26/$G$50</f>
        <v>3.7681983733793695E-2</v>
      </c>
    </row>
    <row r="27" spans="1:11" s="1" customFormat="1" x14ac:dyDescent="0.2">
      <c r="A27" s="119" t="s">
        <v>74</v>
      </c>
      <c r="B27" s="120">
        <f>B8-B4</f>
        <v>66.700000000000045</v>
      </c>
      <c r="C27" s="121">
        <f>0.65*C15+0.17*C16+0.18*C17</f>
        <v>0.11139</v>
      </c>
      <c r="D27" s="22">
        <f>B27*C27</f>
        <v>7.4297130000000049</v>
      </c>
      <c r="E27" s="73">
        <f>B27</f>
        <v>66.700000000000045</v>
      </c>
      <c r="F27" s="121">
        <f>C27</f>
        <v>0.11139</v>
      </c>
      <c r="G27" s="22">
        <f>E27*F27</f>
        <v>7.4297130000000049</v>
      </c>
      <c r="H27" s="22">
        <f t="shared" si="1"/>
        <v>0</v>
      </c>
      <c r="I27" s="23">
        <f>IF(ISERROR(H27/D27),0,(H27/D27))</f>
        <v>0</v>
      </c>
      <c r="J27" s="23">
        <f t="shared" si="10"/>
        <v>3.5250700341163357E-2</v>
      </c>
      <c r="K27" s="108">
        <f t="shared" si="11"/>
        <v>3.4689224529812226E-2</v>
      </c>
    </row>
    <row r="28" spans="1:11" s="1" customFormat="1" x14ac:dyDescent="0.2">
      <c r="A28" s="110" t="s">
        <v>78</v>
      </c>
      <c r="B28" s="74"/>
      <c r="C28" s="35"/>
      <c r="D28" s="35">
        <f>SUM(D24,D25:D26)</f>
        <v>72.954400000000007</v>
      </c>
      <c r="E28" s="73"/>
      <c r="F28" s="35"/>
      <c r="G28" s="35">
        <f>SUM(G24,G25:G26)</f>
        <v>68.380700000000004</v>
      </c>
      <c r="H28" s="35">
        <f t="shared" si="1"/>
        <v>-4.5737000000000023</v>
      </c>
      <c r="I28" s="36">
        <f>IF(ISERROR(H28/D28),0,(H28/D28))</f>
        <v>-6.2692586053754149E-2</v>
      </c>
      <c r="J28" s="36">
        <f t="shared" si="10"/>
        <v>0.32443616123785501</v>
      </c>
      <c r="K28" s="111">
        <f t="shared" si="11"/>
        <v>0.3192685176137664</v>
      </c>
    </row>
    <row r="29" spans="1:11" s="1" customFormat="1" x14ac:dyDescent="0.2">
      <c r="A29" s="110" t="s">
        <v>77</v>
      </c>
      <c r="B29" s="74"/>
      <c r="C29" s="35"/>
      <c r="D29" s="35">
        <f>SUM(D24,D25,D27)</f>
        <v>73.559713000000002</v>
      </c>
      <c r="E29" s="73"/>
      <c r="F29" s="35"/>
      <c r="G29" s="35">
        <f>SUM(G24,G25,G27)</f>
        <v>67.739713000000009</v>
      </c>
      <c r="H29" s="35">
        <f t="shared" si="1"/>
        <v>-5.8199999999999932</v>
      </c>
      <c r="I29" s="36">
        <f>IF(ISERROR(H29/D29),0,(H29/D29))</f>
        <v>-7.9119395150440475E-2</v>
      </c>
      <c r="J29" s="36">
        <f t="shared" si="10"/>
        <v>0.32139496157649783</v>
      </c>
      <c r="K29" s="111">
        <f t="shared" si="11"/>
        <v>0.31627575840978495</v>
      </c>
    </row>
    <row r="30" spans="1:11" x14ac:dyDescent="0.2">
      <c r="A30" s="107" t="s">
        <v>40</v>
      </c>
      <c r="B30" s="73">
        <f>$C$8</f>
        <v>1056.4000000000001</v>
      </c>
      <c r="C30" s="78">
        <f>VLOOKUP($C$3,'Data for Bill Impacts'!$A$3:$Y$39,15,0)</f>
        <v>6.3E-3</v>
      </c>
      <c r="D30" s="22">
        <f>B30*C30</f>
        <v>6.6553200000000006</v>
      </c>
      <c r="E30" s="73">
        <f>$B$8</f>
        <v>1066.7</v>
      </c>
      <c r="F30" s="78">
        <f>VLOOKUP($B$3,'Data for Bill Impacts'!$A$3:$Y$39,24,0)</f>
        <v>5.3E-3</v>
      </c>
      <c r="G30" s="22">
        <f>E30*F30</f>
        <v>5.6535100000000007</v>
      </c>
      <c r="H30" s="22">
        <f t="shared" si="1"/>
        <v>-1.0018099999999999</v>
      </c>
      <c r="I30" s="23">
        <f t="shared" si="2"/>
        <v>-0.15052769814223807</v>
      </c>
      <c r="J30" s="23">
        <f t="shared" si="10"/>
        <v>2.6823403122808422E-2</v>
      </c>
      <c r="K30" s="108">
        <f t="shared" si="11"/>
        <v>2.6396157936590364E-2</v>
      </c>
    </row>
    <row r="31" spans="1:11" x14ac:dyDescent="0.2">
      <c r="A31" s="107" t="s">
        <v>41</v>
      </c>
      <c r="B31" s="73">
        <f>$C$8</f>
        <v>1056.4000000000001</v>
      </c>
      <c r="C31" s="78">
        <f>VLOOKUP($C$3,'Data for Bill Impacts'!$A$3:$Y$39,16,0)</f>
        <v>3.0999999999999999E-3</v>
      </c>
      <c r="D31" s="22">
        <f>B31*C31</f>
        <v>3.2748400000000002</v>
      </c>
      <c r="E31" s="73">
        <f>$B$8</f>
        <v>1066.7</v>
      </c>
      <c r="F31" s="78">
        <f>VLOOKUP($B$3,'Data for Bill Impacts'!$A$3:$Y$39,25,0)</f>
        <v>4.4000000000000003E-3</v>
      </c>
      <c r="G31" s="22">
        <f>E31*F31</f>
        <v>4.6934800000000001</v>
      </c>
      <c r="H31" s="22">
        <f t="shared" si="1"/>
        <v>1.4186399999999999</v>
      </c>
      <c r="I31" s="23">
        <f t="shared" si="2"/>
        <v>0.4331936827448058</v>
      </c>
      <c r="J31" s="23">
        <f t="shared" si="10"/>
        <v>2.2268485611388122E-2</v>
      </c>
      <c r="K31" s="108">
        <f t="shared" si="11"/>
        <v>2.1913791494527848E-2</v>
      </c>
    </row>
    <row r="32" spans="1:11" s="1" customFormat="1" x14ac:dyDescent="0.2">
      <c r="A32" s="110" t="s">
        <v>76</v>
      </c>
      <c r="B32" s="74"/>
      <c r="C32" s="35"/>
      <c r="D32" s="35">
        <f>SUM(D30:D31)</f>
        <v>9.9301600000000008</v>
      </c>
      <c r="E32" s="73"/>
      <c r="F32" s="35"/>
      <c r="G32" s="35">
        <f>SUM(G30:G31)</f>
        <v>10.346990000000002</v>
      </c>
      <c r="H32" s="35">
        <f t="shared" si="1"/>
        <v>0.41683000000000092</v>
      </c>
      <c r="I32" s="36">
        <f t="shared" si="2"/>
        <v>4.1976161511999899E-2</v>
      </c>
      <c r="J32" s="36">
        <f t="shared" si="10"/>
        <v>4.9091888734196551E-2</v>
      </c>
      <c r="K32" s="111">
        <f t="shared" si="11"/>
        <v>4.8309949431118215E-2</v>
      </c>
    </row>
    <row r="33" spans="1:11" s="1" customFormat="1" x14ac:dyDescent="0.2">
      <c r="A33" s="110" t="s">
        <v>95</v>
      </c>
      <c r="B33" s="74"/>
      <c r="C33" s="35"/>
      <c r="D33" s="35">
        <f>D28+D32</f>
        <v>82.884560000000008</v>
      </c>
      <c r="E33" s="73"/>
      <c r="F33" s="35"/>
      <c r="G33" s="35">
        <f>G28+G32</f>
        <v>78.72769000000001</v>
      </c>
      <c r="H33" s="35">
        <f t="shared" si="1"/>
        <v>-4.1568699999999978</v>
      </c>
      <c r="I33" s="36">
        <f t="shared" si="2"/>
        <v>-5.015252539194269E-2</v>
      </c>
      <c r="J33" s="36">
        <f t="shared" si="10"/>
        <v>0.37352804997205158</v>
      </c>
      <c r="K33" s="111">
        <f t="shared" si="11"/>
        <v>0.36757846704488467</v>
      </c>
    </row>
    <row r="34" spans="1:11" s="1" customFormat="1" x14ac:dyDescent="0.2">
      <c r="A34" s="110" t="s">
        <v>96</v>
      </c>
      <c r="B34" s="74"/>
      <c r="C34" s="35"/>
      <c r="D34" s="35">
        <f>D29+D32</f>
        <v>83.489873000000003</v>
      </c>
      <c r="E34" s="73"/>
      <c r="F34" s="35"/>
      <c r="G34" s="35">
        <f>G29+G32</f>
        <v>78.086703000000014</v>
      </c>
      <c r="H34" s="35">
        <f t="shared" si="1"/>
        <v>-5.4031699999999887</v>
      </c>
      <c r="I34" s="36">
        <f t="shared" si="2"/>
        <v>-6.471647166117965E-2</v>
      </c>
      <c r="J34" s="36">
        <f t="shared" si="10"/>
        <v>0.37048685031069439</v>
      </c>
      <c r="K34" s="111">
        <f t="shared" si="11"/>
        <v>0.36458570784090322</v>
      </c>
    </row>
    <row r="35" spans="1:11" x14ac:dyDescent="0.2">
      <c r="A35" s="107" t="s">
        <v>42</v>
      </c>
      <c r="B35" s="73">
        <f>$C$8</f>
        <v>1056.4000000000001</v>
      </c>
      <c r="C35" s="34">
        <v>3.5999999999999999E-3</v>
      </c>
      <c r="D35" s="22">
        <f>B35*C35</f>
        <v>3.8030400000000002</v>
      </c>
      <c r="E35" s="73">
        <f>$B$8</f>
        <v>1066.7</v>
      </c>
      <c r="F35" s="34">
        <v>3.5999999999999999E-3</v>
      </c>
      <c r="G35" s="22">
        <f>E35*F35</f>
        <v>3.8401200000000002</v>
      </c>
      <c r="H35" s="22">
        <f t="shared" si="1"/>
        <v>3.7080000000000002E-2</v>
      </c>
      <c r="I35" s="23">
        <f t="shared" si="2"/>
        <v>9.7500946611132153E-3</v>
      </c>
      <c r="J35" s="23">
        <f t="shared" si="10"/>
        <v>1.8219670045681192E-2</v>
      </c>
      <c r="K35" s="108">
        <f t="shared" si="11"/>
        <v>1.7929465768250056E-2</v>
      </c>
    </row>
    <row r="36" spans="1:11" x14ac:dyDescent="0.2">
      <c r="A36" s="107" t="s">
        <v>43</v>
      </c>
      <c r="B36" s="73">
        <f>$C$8</f>
        <v>1056.4000000000001</v>
      </c>
      <c r="C36" s="34">
        <v>2.0999999999999999E-3</v>
      </c>
      <c r="D36" s="22">
        <f>B36*C36</f>
        <v>2.2184400000000002</v>
      </c>
      <c r="E36" s="73">
        <f>$B$8</f>
        <v>1066.7</v>
      </c>
      <c r="F36" s="34">
        <v>2.0999999999999999E-3</v>
      </c>
      <c r="G36" s="22">
        <f>E36*F36</f>
        <v>2.2400699999999998</v>
      </c>
      <c r="H36" s="22">
        <f>G36-D36</f>
        <v>2.1629999999999594E-2</v>
      </c>
      <c r="I36" s="23">
        <f t="shared" si="2"/>
        <v>9.7500946611130315E-3</v>
      </c>
      <c r="J36" s="23">
        <f t="shared" si="10"/>
        <v>1.0628140859980694E-2</v>
      </c>
      <c r="K36" s="108">
        <f t="shared" si="11"/>
        <v>1.0458855031479199E-2</v>
      </c>
    </row>
    <row r="37" spans="1:11" x14ac:dyDescent="0.2">
      <c r="A37" s="107" t="s">
        <v>100</v>
      </c>
      <c r="B37" s="73">
        <f>$C$8</f>
        <v>1056.4000000000001</v>
      </c>
      <c r="C37" s="34">
        <v>1.1000000000000001E-3</v>
      </c>
      <c r="D37" s="22">
        <f>B37*C37</f>
        <v>1.1620400000000002</v>
      </c>
      <c r="E37" s="73">
        <f>$B$8</f>
        <v>1066.7</v>
      </c>
      <c r="F37" s="34">
        <v>1.1000000000000001E-3</v>
      </c>
      <c r="G37" s="22">
        <f>E37*F37</f>
        <v>1.17337</v>
      </c>
      <c r="H37" s="22">
        <f>G37-D37</f>
        <v>1.132999999999984E-2</v>
      </c>
      <c r="I37" s="23">
        <f t="shared" si="2"/>
        <v>9.7500946611130748E-3</v>
      </c>
      <c r="J37" s="23">
        <f t="shared" si="10"/>
        <v>5.5671214028470304E-3</v>
      </c>
      <c r="K37" s="108">
        <f t="shared" si="11"/>
        <v>5.4784478736319619E-3</v>
      </c>
    </row>
    <row r="38" spans="1:11" x14ac:dyDescent="0.2">
      <c r="A38" s="107" t="s">
        <v>44</v>
      </c>
      <c r="B38" s="73">
        <v>1</v>
      </c>
      <c r="C38" s="22">
        <v>0.25</v>
      </c>
      <c r="D38" s="22">
        <f>B38*C38</f>
        <v>0.25</v>
      </c>
      <c r="E38" s="73">
        <f t="shared" si="5"/>
        <v>1</v>
      </c>
      <c r="F38" s="22">
        <f>C38</f>
        <v>0.25</v>
      </c>
      <c r="G38" s="22">
        <f>E38*F38</f>
        <v>0.25</v>
      </c>
      <c r="H38" s="22">
        <f t="shared" si="1"/>
        <v>0</v>
      </c>
      <c r="I38" s="23">
        <f t="shared" si="2"/>
        <v>0</v>
      </c>
      <c r="J38" s="23">
        <f t="shared" si="10"/>
        <v>1.1861393684104396E-3</v>
      </c>
      <c r="K38" s="108">
        <f t="shared" si="11"/>
        <v>1.1672464511688473E-3</v>
      </c>
    </row>
    <row r="39" spans="1:11" s="1" customFormat="1" x14ac:dyDescent="0.2">
      <c r="A39" s="110" t="s">
        <v>45</v>
      </c>
      <c r="B39" s="74"/>
      <c r="C39" s="35"/>
      <c r="D39" s="35">
        <f>SUM(D35:D38)</f>
        <v>7.4335200000000006</v>
      </c>
      <c r="E39" s="73"/>
      <c r="F39" s="35"/>
      <c r="G39" s="35">
        <f>SUM(G35:G38)</f>
        <v>7.5035600000000002</v>
      </c>
      <c r="H39" s="35">
        <f t="shared" si="1"/>
        <v>7.0039999999999658E-2</v>
      </c>
      <c r="I39" s="36">
        <f t="shared" si="2"/>
        <v>9.4221849137420301E-3</v>
      </c>
      <c r="J39" s="36">
        <f t="shared" si="10"/>
        <v>3.5601071676919359E-2</v>
      </c>
      <c r="K39" s="111">
        <f t="shared" si="11"/>
        <v>3.5034015124530068E-2</v>
      </c>
    </row>
    <row r="40" spans="1:11" s="1" customFormat="1" ht="13.5" thickBot="1" x14ac:dyDescent="0.25">
      <c r="A40" s="112" t="s">
        <v>46</v>
      </c>
      <c r="B40" s="113">
        <f>B4</f>
        <v>1000</v>
      </c>
      <c r="C40" s="114">
        <v>7.0000000000000001E-3</v>
      </c>
      <c r="D40" s="115">
        <f>B40*C40</f>
        <v>7</v>
      </c>
      <c r="E40" s="116">
        <f t="shared" si="5"/>
        <v>1000</v>
      </c>
      <c r="F40" s="114">
        <f>C40</f>
        <v>7.0000000000000001E-3</v>
      </c>
      <c r="G40" s="115">
        <f>E40*F40</f>
        <v>7</v>
      </c>
      <c r="H40" s="115">
        <f t="shared" si="1"/>
        <v>0</v>
      </c>
      <c r="I40" s="117">
        <f t="shared" si="2"/>
        <v>0</v>
      </c>
      <c r="J40" s="117">
        <f t="shared" si="10"/>
        <v>3.3211902315492314E-2</v>
      </c>
      <c r="K40" s="118">
        <f t="shared" si="11"/>
        <v>3.2682900632727725E-2</v>
      </c>
    </row>
    <row r="41" spans="1:11" s="1" customFormat="1" x14ac:dyDescent="0.2">
      <c r="A41" s="37" t="s">
        <v>137</v>
      </c>
      <c r="B41" s="38"/>
      <c r="C41" s="39"/>
      <c r="D41" s="39">
        <f>SUM(D14,D24,D25,D26,D32,D39,D40)</f>
        <v>204.81807999999995</v>
      </c>
      <c r="E41" s="38"/>
      <c r="F41" s="39"/>
      <c r="G41" s="39">
        <f>SUM(G14,G24,G25,G26,G32,G39,G40)</f>
        <v>200.73125000000002</v>
      </c>
      <c r="H41" s="39">
        <f t="shared" si="1"/>
        <v>-4.0868299999999351</v>
      </c>
      <c r="I41" s="40">
        <f>IF(ISERROR(H41/D41),0,(H41/D41))</f>
        <v>-1.9953463092711034E-2</v>
      </c>
      <c r="J41" s="40">
        <f t="shared" si="10"/>
        <v>0.95238095238095233</v>
      </c>
      <c r="K41" s="41"/>
    </row>
    <row r="42" spans="1:11" x14ac:dyDescent="0.2">
      <c r="A42" s="150" t="s">
        <v>138</v>
      </c>
      <c r="B42" s="43"/>
      <c r="C42" s="26">
        <v>0.13</v>
      </c>
      <c r="D42" s="26">
        <f>D41*C42</f>
        <v>26.626350399999996</v>
      </c>
      <c r="E42" s="26"/>
      <c r="F42" s="26">
        <f>C42</f>
        <v>0.13</v>
      </c>
      <c r="G42" s="26">
        <f>G41*F42</f>
        <v>26.095062500000004</v>
      </c>
      <c r="H42" s="26">
        <f t="shared" si="1"/>
        <v>-0.53128789999999171</v>
      </c>
      <c r="I42" s="44">
        <f t="shared" si="2"/>
        <v>-1.9953463092711038E-2</v>
      </c>
      <c r="J42" s="44">
        <f t="shared" si="10"/>
        <v>0.12380952380952381</v>
      </c>
      <c r="K42" s="45"/>
    </row>
    <row r="43" spans="1:11" s="1" customFormat="1" x14ac:dyDescent="0.2">
      <c r="A43" s="46" t="s">
        <v>139</v>
      </c>
      <c r="B43" s="24"/>
      <c r="C43" s="25"/>
      <c r="D43" s="25">
        <f>SUM(D41:D42)</f>
        <v>231.44443039999996</v>
      </c>
      <c r="E43" s="25"/>
      <c r="F43" s="25"/>
      <c r="G43" s="25">
        <f>SUM(G41:G42)</f>
        <v>226.82631250000003</v>
      </c>
      <c r="H43" s="25">
        <f t="shared" si="1"/>
        <v>-4.6181178999999304</v>
      </c>
      <c r="I43" s="27">
        <f t="shared" si="2"/>
        <v>-1.9953463092711048E-2</v>
      </c>
      <c r="J43" s="27">
        <f t="shared" si="10"/>
        <v>1.0761904761904761</v>
      </c>
      <c r="K43" s="47"/>
    </row>
    <row r="44" spans="1:11" x14ac:dyDescent="0.2">
      <c r="A44" s="42" t="s">
        <v>140</v>
      </c>
      <c r="B44" s="43"/>
      <c r="C44" s="26">
        <v>-0.08</v>
      </c>
      <c r="D44" s="26">
        <f>D41*C44</f>
        <v>-16.385446399999996</v>
      </c>
      <c r="E44" s="26"/>
      <c r="F44" s="26">
        <f>C44</f>
        <v>-0.08</v>
      </c>
      <c r="G44" s="26">
        <f>G41*F44</f>
        <v>-16.058500000000002</v>
      </c>
      <c r="H44" s="26">
        <f t="shared" si="1"/>
        <v>0.32694639999999353</v>
      </c>
      <c r="I44" s="44">
        <f t="shared" si="2"/>
        <v>-1.9953463092710958E-2</v>
      </c>
      <c r="J44" s="44">
        <f t="shared" si="10"/>
        <v>-7.6190476190476197E-2</v>
      </c>
      <c r="K44" s="45"/>
    </row>
    <row r="45" spans="1:11" s="1" customFormat="1" ht="13.5" thickBot="1" x14ac:dyDescent="0.25">
      <c r="A45" s="48" t="s">
        <v>141</v>
      </c>
      <c r="B45" s="49"/>
      <c r="C45" s="50"/>
      <c r="D45" s="50">
        <f>SUM(D43:D44)</f>
        <v>215.05898399999995</v>
      </c>
      <c r="E45" s="50"/>
      <c r="F45" s="50"/>
      <c r="G45" s="50">
        <f>SUM(G43:G44)</f>
        <v>210.76781250000002</v>
      </c>
      <c r="H45" s="50">
        <f t="shared" si="1"/>
        <v>-4.2911714999999333</v>
      </c>
      <c r="I45" s="51">
        <f t="shared" si="2"/>
        <v>-1.9953463092711041E-2</v>
      </c>
      <c r="J45" s="51">
        <f t="shared" si="10"/>
        <v>1</v>
      </c>
      <c r="K45" s="52"/>
    </row>
    <row r="46" spans="1:11" x14ac:dyDescent="0.2">
      <c r="A46" s="53" t="s">
        <v>142</v>
      </c>
      <c r="B46" s="54"/>
      <c r="C46" s="55"/>
      <c r="D46" s="55">
        <f>SUM(D18,D24,D25,D27,D32,D39,D40)</f>
        <v>209.31339299999993</v>
      </c>
      <c r="E46" s="55"/>
      <c r="F46" s="55"/>
      <c r="G46" s="55">
        <f>SUM(G18,G24,G25,G27,G32,G39,G40)</f>
        <v>203.98026299999998</v>
      </c>
      <c r="H46" s="55">
        <f>G46-D46</f>
        <v>-5.3331299999999544</v>
      </c>
      <c r="I46" s="56">
        <f>IF(ISERROR(H46/D46),0,(H46/D46))</f>
        <v>-2.5479162721326467E-2</v>
      </c>
      <c r="J46" s="56"/>
      <c r="K46" s="57">
        <f>G46/$G$50</f>
        <v>0.95238095238095244</v>
      </c>
    </row>
    <row r="47" spans="1:11" x14ac:dyDescent="0.2">
      <c r="A47" s="58" t="s">
        <v>138</v>
      </c>
      <c r="B47" s="59"/>
      <c r="C47" s="31">
        <v>0.13</v>
      </c>
      <c r="D47" s="31">
        <f>D46*C47</f>
        <v>27.210741089999992</v>
      </c>
      <c r="E47" s="31"/>
      <c r="F47" s="31">
        <f>C47</f>
        <v>0.13</v>
      </c>
      <c r="G47" s="31">
        <f>G46*F47</f>
        <v>26.517434189999999</v>
      </c>
      <c r="H47" s="31">
        <f>G47-D47</f>
        <v>-0.69330689999999251</v>
      </c>
      <c r="I47" s="32">
        <f>IF(ISERROR(H47/D47),0,(H47/D47))</f>
        <v>-2.5479162721326408E-2</v>
      </c>
      <c r="J47" s="32"/>
      <c r="K47" s="60">
        <f>G47/$G$50</f>
        <v>0.12380952380952383</v>
      </c>
    </row>
    <row r="48" spans="1:11" x14ac:dyDescent="0.2">
      <c r="A48" s="141" t="s">
        <v>143</v>
      </c>
      <c r="B48" s="29"/>
      <c r="C48" s="30"/>
      <c r="D48" s="30">
        <f>SUM(D46:D47)</f>
        <v>236.52413408999993</v>
      </c>
      <c r="E48" s="30"/>
      <c r="F48" s="30"/>
      <c r="G48" s="30">
        <f>SUM(G46:G47)</f>
        <v>230.49769718999997</v>
      </c>
      <c r="H48" s="30">
        <f>G48-D48</f>
        <v>-6.0264368999999647</v>
      </c>
      <c r="I48" s="33">
        <f>IF(ISERROR(H48/D48),0,(H48/D48))</f>
        <v>-2.5479162721326533E-2</v>
      </c>
      <c r="J48" s="33"/>
      <c r="K48" s="62">
        <f>G48/$G$50</f>
        <v>1.0761904761904761</v>
      </c>
    </row>
    <row r="49" spans="1:11" x14ac:dyDescent="0.2">
      <c r="A49" s="58" t="s">
        <v>140</v>
      </c>
      <c r="B49" s="59"/>
      <c r="C49" s="31">
        <v>-0.08</v>
      </c>
      <c r="D49" s="31">
        <f>D46*C49</f>
        <v>-16.745071439999997</v>
      </c>
      <c r="E49" s="31"/>
      <c r="F49" s="31">
        <f>C49</f>
        <v>-0.08</v>
      </c>
      <c r="G49" s="31">
        <f>G46*F49</f>
        <v>-16.318421039999997</v>
      </c>
      <c r="H49" s="31">
        <f>G49-D49</f>
        <v>0.42665039999999976</v>
      </c>
      <c r="I49" s="32">
        <f>IF(ISERROR(H49/D49),0,(H49/D49))</f>
        <v>-2.5479162721326668E-2</v>
      </c>
      <c r="J49" s="32"/>
      <c r="K49" s="60">
        <f>G49/$G$50</f>
        <v>-7.6190476190476183E-2</v>
      </c>
    </row>
    <row r="50" spans="1:11" ht="13.5" thickBot="1" x14ac:dyDescent="0.25">
      <c r="A50" s="63" t="s">
        <v>144</v>
      </c>
      <c r="B50" s="64"/>
      <c r="C50" s="65"/>
      <c r="D50" s="65">
        <f>SUM(D48:D49)</f>
        <v>219.77906264999993</v>
      </c>
      <c r="E50" s="65"/>
      <c r="F50" s="65"/>
      <c r="G50" s="65">
        <f>SUM(G48:G49)</f>
        <v>214.17927614999996</v>
      </c>
      <c r="H50" s="65">
        <f>G50-D50</f>
        <v>-5.5997864999999649</v>
      </c>
      <c r="I50" s="66">
        <f>IF(ISERROR(H50/D50),0,(H50/D50))</f>
        <v>-2.5479162721326526E-2</v>
      </c>
      <c r="J50" s="66"/>
      <c r="K50" s="67">
        <f>G50/$G$50</f>
        <v>1</v>
      </c>
    </row>
    <row r="51" spans="1:11" x14ac:dyDescent="0.2">
      <c r="C51" s="68"/>
      <c r="F51" s="69"/>
    </row>
    <row r="52" spans="1:11" x14ac:dyDescent="0.2">
      <c r="F52" s="69"/>
    </row>
    <row r="53" spans="1:11" x14ac:dyDescent="0.2">
      <c r="F53" s="69"/>
    </row>
    <row r="54" spans="1:11" x14ac:dyDescent="0.2">
      <c r="A54" s="70"/>
      <c r="B54" s="71"/>
      <c r="F54" s="69"/>
    </row>
    <row r="55" spans="1:11" x14ac:dyDescent="0.2">
      <c r="B55" s="71"/>
      <c r="F55" s="69"/>
    </row>
    <row r="56" spans="1:11" x14ac:dyDescent="0.2">
      <c r="F56" s="69"/>
    </row>
    <row r="57" spans="1:11" x14ac:dyDescent="0.2">
      <c r="D57" s="72"/>
      <c r="F57" s="69"/>
    </row>
    <row r="58" spans="1:11" x14ac:dyDescent="0.2">
      <c r="F58" s="69"/>
    </row>
    <row r="59" spans="1:11" x14ac:dyDescent="0.2">
      <c r="A59" s="70"/>
      <c r="B59" s="71"/>
      <c r="F59" s="69"/>
    </row>
    <row r="60" spans="1:11" x14ac:dyDescent="0.2">
      <c r="B60" s="72"/>
      <c r="D60" s="72"/>
      <c r="F60" s="69"/>
    </row>
    <row r="61" spans="1:11" x14ac:dyDescent="0.2">
      <c r="F61" s="69"/>
    </row>
    <row r="62" spans="1:11" x14ac:dyDescent="0.2">
      <c r="F62" s="69"/>
    </row>
    <row r="63" spans="1:11" x14ac:dyDescent="0.2">
      <c r="F63" s="69"/>
      <c r="K63"/>
    </row>
    <row r="64" spans="1:11" x14ac:dyDescent="0.2">
      <c r="F64" s="69"/>
      <c r="K64"/>
    </row>
    <row r="65" spans="6:11" x14ac:dyDescent="0.2">
      <c r="F65" s="69"/>
      <c r="K65"/>
    </row>
    <row r="66" spans="6:11" x14ac:dyDescent="0.2">
      <c r="F66" s="69"/>
      <c r="K66"/>
    </row>
    <row r="67" spans="6:11" x14ac:dyDescent="0.2">
      <c r="F67" s="69"/>
      <c r="K67"/>
    </row>
  </sheetData>
  <mergeCells count="1">
    <mergeCell ref="A1:K1"/>
  </mergeCell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Impacts'!$A$3:$A$21</xm:f>
          </x14:formula1>
          <xm:sqref>B3</xm:sqref>
        </x14:dataValidation>
      </x14:dataValidations>
    </ext>
  </extLst>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6">
    <pageSetUpPr fitToPage="1"/>
  </sheetPr>
  <dimension ref="A1:K67"/>
  <sheetViews>
    <sheetView topLeftCell="A19" workbookViewId="0">
      <selection activeCell="C19" sqref="C19"/>
    </sheetView>
  </sheetViews>
  <sheetFormatPr defaultRowHeight="12.75" x14ac:dyDescent="0.2"/>
  <cols>
    <col min="1" max="1" width="64.7109375" bestFit="1" customWidth="1"/>
    <col min="2" max="2" width="15.5703125" bestFit="1" customWidth="1"/>
    <col min="3" max="3" width="12.1406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48" t="s">
        <v>112</v>
      </c>
      <c r="B1" s="349"/>
      <c r="C1" s="349"/>
      <c r="D1" s="349"/>
      <c r="E1" s="349"/>
      <c r="F1" s="349"/>
      <c r="G1" s="349"/>
      <c r="H1" s="349"/>
      <c r="I1" s="349"/>
      <c r="J1" s="349"/>
      <c r="K1" s="350"/>
    </row>
    <row r="3" spans="1:11" x14ac:dyDescent="0.2">
      <c r="A3" s="13" t="s">
        <v>13</v>
      </c>
      <c r="B3" s="13" t="s">
        <v>181</v>
      </c>
      <c r="C3" s="13" t="s">
        <v>126</v>
      </c>
    </row>
    <row r="4" spans="1:11" x14ac:dyDescent="0.2">
      <c r="A4" s="15" t="s">
        <v>62</v>
      </c>
      <c r="B4" s="79">
        <f>C4</f>
        <v>2182.4738954619888</v>
      </c>
      <c r="C4" s="79">
        <f>'Data for Bill Impacts_HONI Avg '!E30</f>
        <v>2182.4738954619888</v>
      </c>
    </row>
    <row r="5" spans="1:11" x14ac:dyDescent="0.2">
      <c r="A5" s="15" t="s">
        <v>16</v>
      </c>
      <c r="B5" s="15">
        <f>VLOOKUP($B$3,'Data for Bill Impacts'!$A$3:$Y$39,5,0)</f>
        <v>0</v>
      </c>
      <c r="C5" s="15">
        <f>B5</f>
        <v>0</v>
      </c>
    </row>
    <row r="6" spans="1:11" x14ac:dyDescent="0.2">
      <c r="A6" s="15" t="s">
        <v>20</v>
      </c>
      <c r="B6" s="15">
        <f>VLOOKUP($B$3,'Data for Bill Impacts'!$A$3:$Y$39,2,0)</f>
        <v>1.0667</v>
      </c>
      <c r="C6" s="15">
        <f>VLOOKUP($C$3,'Data for Bill Impacts'!$A$3:$Y$39,2,0)</f>
        <v>1.0564</v>
      </c>
    </row>
    <row r="7" spans="1:11" x14ac:dyDescent="0.2">
      <c r="A7" s="15" t="s">
        <v>15</v>
      </c>
      <c r="B7" s="15">
        <f>VLOOKUP($B$3,'Data for Bill Impacts'!$A$3:$Y$39,4,0)</f>
        <v>750</v>
      </c>
      <c r="C7" s="15">
        <f>B7</f>
        <v>750</v>
      </c>
    </row>
    <row r="8" spans="1:11" x14ac:dyDescent="0.2">
      <c r="A8" s="15" t="s">
        <v>82</v>
      </c>
      <c r="B8" s="193">
        <f>B4*B6</f>
        <v>2328.0449042893033</v>
      </c>
      <c r="C8" s="193">
        <f>C4*C6</f>
        <v>2305.5654231660451</v>
      </c>
    </row>
    <row r="9" spans="1:11" x14ac:dyDescent="0.2">
      <c r="A9" s="15" t="s">
        <v>21</v>
      </c>
      <c r="B9" s="16" t="str">
        <f>VLOOKUP($B$3,'Data for Bill Impacts'!$A$3:$Y$39,6,0)</f>
        <v>kWh</v>
      </c>
      <c r="C9" s="16" t="str">
        <f>VLOOKUP($C$3,'Data for Bill Impacts'!$A$3:$Y$39,6,0)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0.10299999999999999</v>
      </c>
      <c r="D12" s="104">
        <f>B12*C12</f>
        <v>77.25</v>
      </c>
      <c r="E12" s="102">
        <f>B12</f>
        <v>750</v>
      </c>
      <c r="F12" s="103">
        <f>C12</f>
        <v>0.10299999999999999</v>
      </c>
      <c r="G12" s="104">
        <f>E12*F12</f>
        <v>77.25</v>
      </c>
      <c r="H12" s="104">
        <f>G12-D12</f>
        <v>0</v>
      </c>
      <c r="I12" s="105">
        <f>IF(ISERROR(H12/D12),0,(H12/D12))</f>
        <v>0</v>
      </c>
      <c r="J12" s="105">
        <f>G12/$G$45</f>
        <v>0.18185732854729544</v>
      </c>
      <c r="K12" s="106"/>
    </row>
    <row r="13" spans="1:11" x14ac:dyDescent="0.2">
      <c r="A13" s="107" t="s">
        <v>32</v>
      </c>
      <c r="B13" s="73">
        <f>IF(B4&gt;B7,(B4)-B7,0)</f>
        <v>1432.4738954619888</v>
      </c>
      <c r="C13" s="21">
        <v>0.121</v>
      </c>
      <c r="D13" s="22">
        <f>B13*C13</f>
        <v>173.32934135090065</v>
      </c>
      <c r="E13" s="73">
        <f t="shared" ref="E13" si="0">B13</f>
        <v>1432.4738954619888</v>
      </c>
      <c r="F13" s="21">
        <f>C13</f>
        <v>0.121</v>
      </c>
      <c r="G13" s="22">
        <f>E13*F13</f>
        <v>173.32934135090065</v>
      </c>
      <c r="H13" s="22">
        <f t="shared" ref="H13:H45" si="1">G13-D13</f>
        <v>0</v>
      </c>
      <c r="I13" s="23">
        <f t="shared" ref="I13:I45" si="2">IF(ISERROR(H13/D13),0,(H13/D13))</f>
        <v>0</v>
      </c>
      <c r="J13" s="23">
        <f>G13/$G$45</f>
        <v>0.40804156604449271</v>
      </c>
      <c r="K13" s="108"/>
    </row>
    <row r="14" spans="1:11" s="1" customFormat="1" x14ac:dyDescent="0.2">
      <c r="A14" s="46" t="s">
        <v>33</v>
      </c>
      <c r="B14" s="24"/>
      <c r="C14" s="25"/>
      <c r="D14" s="25">
        <f>SUM(D12:D13)</f>
        <v>250.57934135090065</v>
      </c>
      <c r="E14" s="76"/>
      <c r="F14" s="25"/>
      <c r="G14" s="25">
        <f>SUM(G12:G13)</f>
        <v>250.57934135090065</v>
      </c>
      <c r="H14" s="25">
        <f t="shared" si="1"/>
        <v>0</v>
      </c>
      <c r="I14" s="27">
        <f t="shared" si="2"/>
        <v>0</v>
      </c>
      <c r="J14" s="27">
        <f>G14/$G$45</f>
        <v>0.58989889459178813</v>
      </c>
      <c r="K14" s="108"/>
    </row>
    <row r="15" spans="1:11" s="1" customFormat="1" x14ac:dyDescent="0.2">
      <c r="A15" s="109" t="s">
        <v>34</v>
      </c>
      <c r="B15" s="75">
        <f>B4*0.65</f>
        <v>1418.6080320502929</v>
      </c>
      <c r="C15" s="28">
        <v>8.6999999999999994E-2</v>
      </c>
      <c r="D15" s="22">
        <f>B15*C15</f>
        <v>123.41889878837547</v>
      </c>
      <c r="E15" s="73">
        <f t="shared" ref="E15:F17" si="3">B15</f>
        <v>1418.6080320502929</v>
      </c>
      <c r="F15" s="28">
        <f t="shared" si="3"/>
        <v>8.6999999999999994E-2</v>
      </c>
      <c r="G15" s="22">
        <f>E15*F15</f>
        <v>123.41889878837547</v>
      </c>
      <c r="H15" s="22">
        <f t="shared" si="1"/>
        <v>0</v>
      </c>
      <c r="I15" s="23">
        <f t="shared" si="2"/>
        <v>0</v>
      </c>
      <c r="J15" s="23"/>
      <c r="K15" s="108">
        <f t="shared" ref="K15:K25" si="4">G15/$G$50</f>
        <v>0.29706036525240365</v>
      </c>
    </row>
    <row r="16" spans="1:11" s="1" customFormat="1" x14ac:dyDescent="0.2">
      <c r="A16" s="109" t="s">
        <v>35</v>
      </c>
      <c r="B16" s="75">
        <f>B4*0.17</f>
        <v>371.02056222853815</v>
      </c>
      <c r="C16" s="28">
        <v>0.13200000000000001</v>
      </c>
      <c r="D16" s="22">
        <f>B16*C16</f>
        <v>48.974714214167037</v>
      </c>
      <c r="E16" s="73">
        <f t="shared" si="3"/>
        <v>371.02056222853815</v>
      </c>
      <c r="F16" s="28">
        <f t="shared" si="3"/>
        <v>0.13200000000000001</v>
      </c>
      <c r="G16" s="22">
        <f>E16*F16</f>
        <v>48.974714214167037</v>
      </c>
      <c r="H16" s="22">
        <f t="shared" si="1"/>
        <v>0</v>
      </c>
      <c r="I16" s="23">
        <f t="shared" si="2"/>
        <v>0</v>
      </c>
      <c r="J16" s="23"/>
      <c r="K16" s="108">
        <f t="shared" si="4"/>
        <v>0.11787859586673632</v>
      </c>
    </row>
    <row r="17" spans="1:11" s="1" customFormat="1" x14ac:dyDescent="0.2">
      <c r="A17" s="109" t="s">
        <v>36</v>
      </c>
      <c r="B17" s="75">
        <f>B4*0.18</f>
        <v>392.84530118315797</v>
      </c>
      <c r="C17" s="28">
        <v>0.18</v>
      </c>
      <c r="D17" s="22">
        <f>B17*C17</f>
        <v>70.712154212968429</v>
      </c>
      <c r="E17" s="73">
        <f t="shared" si="3"/>
        <v>392.84530118315797</v>
      </c>
      <c r="F17" s="28">
        <f t="shared" si="3"/>
        <v>0.18</v>
      </c>
      <c r="G17" s="22">
        <f>E17*F17</f>
        <v>70.712154212968429</v>
      </c>
      <c r="H17" s="22">
        <f t="shared" si="1"/>
        <v>0</v>
      </c>
      <c r="I17" s="23">
        <f t="shared" si="2"/>
        <v>0</v>
      </c>
      <c r="J17" s="23"/>
      <c r="K17" s="108">
        <f t="shared" si="4"/>
        <v>0.17019904216052834</v>
      </c>
    </row>
    <row r="18" spans="1:11" s="1" customFormat="1" x14ac:dyDescent="0.2">
      <c r="A18" s="61" t="s">
        <v>37</v>
      </c>
      <c r="B18" s="29"/>
      <c r="C18" s="30"/>
      <c r="D18" s="30">
        <f>SUM(D15:D17)</f>
        <v>243.10576721551092</v>
      </c>
      <c r="E18" s="77"/>
      <c r="F18" s="30"/>
      <c r="G18" s="30">
        <f>SUM(G15:G17)</f>
        <v>243.10576721551092</v>
      </c>
      <c r="H18" s="31">
        <f t="shared" si="1"/>
        <v>0</v>
      </c>
      <c r="I18" s="32">
        <f t="shared" si="2"/>
        <v>0</v>
      </c>
      <c r="J18" s="33">
        <f>G18/$G$45</f>
        <v>0.57230505346606464</v>
      </c>
      <c r="K18" s="62">
        <f t="shared" si="4"/>
        <v>0.58513800327966825</v>
      </c>
    </row>
    <row r="19" spans="1:11" x14ac:dyDescent="0.2">
      <c r="A19" s="107" t="s">
        <v>38</v>
      </c>
      <c r="B19" s="73">
        <v>1</v>
      </c>
      <c r="C19" s="122">
        <f>VLOOKUP($C$3,'Data for Bill Impacts'!$A$3:$Y$39,7,0)</f>
        <v>49.98</v>
      </c>
      <c r="D19" s="22">
        <f>B19*C19</f>
        <v>49.98</v>
      </c>
      <c r="E19" s="73">
        <f t="shared" ref="E19:E40" si="5">B19</f>
        <v>1</v>
      </c>
      <c r="F19" s="78">
        <f>VLOOKUP($B$3,'Data for Bill Impacts'!$A$3:$Y$39,17,0)</f>
        <v>40.82</v>
      </c>
      <c r="G19" s="22">
        <f>E19*F19</f>
        <v>40.82</v>
      </c>
      <c r="H19" s="22">
        <f t="shared" si="1"/>
        <v>-9.1599999999999966</v>
      </c>
      <c r="I19" s="23">
        <f t="shared" si="2"/>
        <v>-0.18327330932372943</v>
      </c>
      <c r="J19" s="23">
        <f>G19/$G$45</f>
        <v>9.6096001958583824E-2</v>
      </c>
      <c r="K19" s="108">
        <f t="shared" si="4"/>
        <v>9.8250788401502379E-2</v>
      </c>
    </row>
    <row r="20" spans="1:11" x14ac:dyDescent="0.2">
      <c r="A20" s="107" t="s">
        <v>188</v>
      </c>
      <c r="B20" s="73">
        <v>1</v>
      </c>
      <c r="C20" s="122">
        <f>'Data for Bill Impacts'!K35</f>
        <v>-0.74</v>
      </c>
      <c r="D20" s="22">
        <f>B20*C20</f>
        <v>-0.74</v>
      </c>
      <c r="E20" s="73">
        <f t="shared" si="5"/>
        <v>1</v>
      </c>
      <c r="F20" s="122">
        <v>0</v>
      </c>
      <c r="G20" s="22">
        <f t="shared" ref="G20" si="6">E20*F20</f>
        <v>0</v>
      </c>
      <c r="H20" s="22">
        <f t="shared" si="1"/>
        <v>0.74</v>
      </c>
      <c r="I20" s="23">
        <f t="shared" si="2"/>
        <v>-1</v>
      </c>
      <c r="J20" s="23">
        <f>G20/$G$45</f>
        <v>0</v>
      </c>
      <c r="K20" s="108">
        <f t="shared" si="4"/>
        <v>0</v>
      </c>
    </row>
    <row r="21" spans="1:11" x14ac:dyDescent="0.2">
      <c r="A21" s="107" t="s">
        <v>39</v>
      </c>
      <c r="B21" s="73">
        <f>C4</f>
        <v>2182.4738954619888</v>
      </c>
      <c r="C21" s="78">
        <f>VLOOKUP($C$3,'Data for Bill Impacts'!$A$3:$Y$39,10,0)</f>
        <v>1.5599999999999999E-2</v>
      </c>
      <c r="D21" s="22">
        <f>B21*C21</f>
        <v>34.046592769207024</v>
      </c>
      <c r="E21" s="73">
        <f>B4</f>
        <v>2182.4738954619888</v>
      </c>
      <c r="F21" s="78">
        <f>VLOOKUP($B$3,'Data for Bill Impacts'!$A$3:$Y$39,19,0)</f>
        <v>1.8700000000000001E-2</v>
      </c>
      <c r="G21" s="22">
        <f>E21*F21</f>
        <v>40.812261845139197</v>
      </c>
      <c r="H21" s="22">
        <f t="shared" si="1"/>
        <v>6.7656690759321734</v>
      </c>
      <c r="I21" s="23">
        <f t="shared" si="2"/>
        <v>0.19871794871794896</v>
      </c>
      <c r="J21" s="23">
        <f>G21/$G$45</f>
        <v>9.6077785257342771E-2</v>
      </c>
      <c r="K21" s="108">
        <f t="shared" si="4"/>
        <v>9.8232163222280261E-2</v>
      </c>
    </row>
    <row r="22" spans="1:11" x14ac:dyDescent="0.2">
      <c r="A22" s="107" t="s">
        <v>189</v>
      </c>
      <c r="B22" s="73">
        <f>C4</f>
        <v>2182.4738954619888</v>
      </c>
      <c r="C22" s="78">
        <f>'Data for Bill Impacts'!H35</f>
        <v>8.0000000000000004E-4</v>
      </c>
      <c r="D22" s="22">
        <f>B22*C22</f>
        <v>1.7459791163695912</v>
      </c>
      <c r="E22" s="73">
        <f>B4</f>
        <v>2182.4738954619888</v>
      </c>
      <c r="F22" s="126">
        <v>0</v>
      </c>
      <c r="G22" s="22">
        <f>E22*F22</f>
        <v>0</v>
      </c>
      <c r="H22" s="22">
        <f t="shared" ref="H22" si="7">G22-D22</f>
        <v>-1.7459791163695912</v>
      </c>
      <c r="I22" s="23">
        <f t="shared" ref="I22" si="8">IF(ISERROR(H22/D22),0,(H22/D22))</f>
        <v>-1</v>
      </c>
      <c r="J22" s="23">
        <f>G22/$G$45</f>
        <v>0</v>
      </c>
      <c r="K22" s="108">
        <f t="shared" si="4"/>
        <v>0</v>
      </c>
    </row>
    <row r="23" spans="1:11" x14ac:dyDescent="0.2">
      <c r="A23" s="107" t="s">
        <v>190</v>
      </c>
      <c r="B23" s="73">
        <f>IF($B$9="kWh",$B$4,$B$5)</f>
        <v>2182.4738954619888</v>
      </c>
      <c r="C23" s="78">
        <f>'Data for Bill Impacts'!L35</f>
        <v>-2.9999999999999997E-4</v>
      </c>
      <c r="D23" s="22">
        <f>B23*C23</f>
        <v>-0.65474216863859658</v>
      </c>
      <c r="E23" s="73">
        <f t="shared" si="5"/>
        <v>2182.4738954619888</v>
      </c>
      <c r="F23" s="126">
        <v>0</v>
      </c>
      <c r="G23" s="22">
        <f>E23*F23</f>
        <v>0</v>
      </c>
      <c r="H23" s="22">
        <f t="shared" si="1"/>
        <v>0.65474216863859658</v>
      </c>
      <c r="I23" s="23">
        <f>IF(ISERROR(H23/D23),0,(H23/D23))</f>
        <v>-1</v>
      </c>
      <c r="J23" s="23">
        <f t="shared" ref="J23" si="9">G23/$G$45</f>
        <v>0</v>
      </c>
      <c r="K23" s="108">
        <f t="shared" si="4"/>
        <v>0</v>
      </c>
    </row>
    <row r="24" spans="1:11" s="1" customFormat="1" x14ac:dyDescent="0.2">
      <c r="A24" s="110" t="s">
        <v>72</v>
      </c>
      <c r="B24" s="74"/>
      <c r="C24" s="35"/>
      <c r="D24" s="35">
        <f>SUM(D19:D23)</f>
        <v>84.377829716938024</v>
      </c>
      <c r="E24" s="73"/>
      <c r="F24" s="35"/>
      <c r="G24" s="35">
        <f>SUM(G19:G23)</f>
        <v>81.632261845139197</v>
      </c>
      <c r="H24" s="35">
        <f t="shared" si="1"/>
        <v>-2.7455678717988263</v>
      </c>
      <c r="I24" s="36">
        <f t="shared" si="2"/>
        <v>-3.2538972393688866E-2</v>
      </c>
      <c r="J24" s="36">
        <f>G24/$G$45</f>
        <v>0.19217378721592659</v>
      </c>
      <c r="K24" s="111">
        <f t="shared" si="4"/>
        <v>0.19648295162378265</v>
      </c>
    </row>
    <row r="25" spans="1:11" s="1" customFormat="1" x14ac:dyDescent="0.2">
      <c r="A25" s="119" t="s">
        <v>73</v>
      </c>
      <c r="B25" s="120">
        <v>1</v>
      </c>
      <c r="C25" s="78">
        <f>VLOOKUP($C$3,'Data for Bill Impacts'!$A$3:$Y$39,9,0)</f>
        <v>0.79</v>
      </c>
      <c r="D25" s="22">
        <f>B25*C25</f>
        <v>0.79</v>
      </c>
      <c r="E25" s="73">
        <v>1</v>
      </c>
      <c r="F25" s="78">
        <f>VLOOKUP($B$3,'Data for Bill Impacts'!$A$3:$Y$39,18,0)</f>
        <v>0.79</v>
      </c>
      <c r="G25" s="22">
        <f>E25*F25</f>
        <v>0.79</v>
      </c>
      <c r="H25" s="22">
        <f t="shared" si="1"/>
        <v>0</v>
      </c>
      <c r="I25" s="23">
        <f>IF(ISERROR(H25/D25),0,(H25/D25))</f>
        <v>0</v>
      </c>
      <c r="J25" s="23">
        <f>G25/$G$45</f>
        <v>1.8597707385419212E-3</v>
      </c>
      <c r="K25" s="108">
        <f t="shared" si="4"/>
        <v>1.901472876952153E-3</v>
      </c>
    </row>
    <row r="26" spans="1:11" s="1" customFormat="1" x14ac:dyDescent="0.2">
      <c r="A26" s="119" t="s">
        <v>75</v>
      </c>
      <c r="B26" s="120">
        <f>C8-C4</f>
        <v>123.09152770405626</v>
      </c>
      <c r="C26" s="121">
        <f>IF(C4&gt;C7,C13,C12)</f>
        <v>0.121</v>
      </c>
      <c r="D26" s="22">
        <f>B26*C26</f>
        <v>14.894074852190807</v>
      </c>
      <c r="E26" s="73">
        <f>B8-B4</f>
        <v>145.57100882731447</v>
      </c>
      <c r="F26" s="121">
        <f>IF(B4&gt;B7,C13,C12)</f>
        <v>0.121</v>
      </c>
      <c r="G26" s="22">
        <f>E26*F26</f>
        <v>17.614092068105052</v>
      </c>
      <c r="H26" s="22">
        <f t="shared" si="1"/>
        <v>2.7200172159142451</v>
      </c>
      <c r="I26" s="23">
        <f>IF(ISERROR(H26/D26),0,(H26/D26))</f>
        <v>0.18262411347517507</v>
      </c>
      <c r="J26" s="23">
        <f t="shared" ref="J26:J45" si="10">G26/$G$45</f>
        <v>4.1466041790183705E-2</v>
      </c>
      <c r="K26" s="108">
        <f t="shared" ref="K26:K40" si="11">G26/$G$50</f>
        <v>4.239584597422761E-2</v>
      </c>
    </row>
    <row r="27" spans="1:11" s="1" customFormat="1" x14ac:dyDescent="0.2">
      <c r="A27" s="119" t="s">
        <v>74</v>
      </c>
      <c r="B27" s="120">
        <f>C8-C4</f>
        <v>123.09152770405626</v>
      </c>
      <c r="C27" s="121">
        <f>0.65*C15+0.17*C16+0.18*C17</f>
        <v>0.11139</v>
      </c>
      <c r="D27" s="22">
        <f>B27*C27</f>
        <v>13.711165270954828</v>
      </c>
      <c r="E27" s="73">
        <f>B8-B4</f>
        <v>145.57100882731447</v>
      </c>
      <c r="F27" s="121">
        <f>C27</f>
        <v>0.11139</v>
      </c>
      <c r="G27" s="22">
        <f>E27*F27</f>
        <v>16.215154673274558</v>
      </c>
      <c r="H27" s="22">
        <f t="shared" si="1"/>
        <v>2.5039894023197302</v>
      </c>
      <c r="I27" s="23">
        <f>IF(ISERROR(H27/D27),0,(H27/D27))</f>
        <v>0.18262411347517479</v>
      </c>
      <c r="J27" s="23">
        <f t="shared" si="10"/>
        <v>3.8172747066186466E-2</v>
      </c>
      <c r="K27" s="108">
        <f t="shared" si="11"/>
        <v>3.9028704818753826E-2</v>
      </c>
    </row>
    <row r="28" spans="1:11" s="1" customFormat="1" x14ac:dyDescent="0.2">
      <c r="A28" s="110" t="s">
        <v>78</v>
      </c>
      <c r="B28" s="74"/>
      <c r="C28" s="35"/>
      <c r="D28" s="35">
        <f>SUM(D24,D25:D26)</f>
        <v>100.06190456912884</v>
      </c>
      <c r="E28" s="73"/>
      <c r="F28" s="35"/>
      <c r="G28" s="35">
        <f>SUM(G24,G25:G26)</f>
        <v>100.03635391324426</v>
      </c>
      <c r="H28" s="35">
        <f t="shared" si="1"/>
        <v>-2.5550655884586604E-2</v>
      </c>
      <c r="I28" s="36">
        <f>IF(ISERROR(H28/D28),0,(H28/D28))</f>
        <v>-2.5534848646554251E-4</v>
      </c>
      <c r="J28" s="36">
        <f t="shared" si="10"/>
        <v>0.23549959974465223</v>
      </c>
      <c r="K28" s="111">
        <f t="shared" si="11"/>
        <v>0.24078027047496242</v>
      </c>
    </row>
    <row r="29" spans="1:11" s="1" customFormat="1" x14ac:dyDescent="0.2">
      <c r="A29" s="110" t="s">
        <v>77</v>
      </c>
      <c r="B29" s="74"/>
      <c r="C29" s="35"/>
      <c r="D29" s="35">
        <f>SUM(D24,D25,D27)</f>
        <v>98.878994987892852</v>
      </c>
      <c r="E29" s="73"/>
      <c r="F29" s="35"/>
      <c r="G29" s="35">
        <f>SUM(G24,G25,G27)</f>
        <v>98.637416518413758</v>
      </c>
      <c r="H29" s="35">
        <f t="shared" si="1"/>
        <v>-0.24157846947909434</v>
      </c>
      <c r="I29" s="36">
        <f>IF(ISERROR(H29/D29),0,(H29/D29))</f>
        <v>-2.4431727841557672E-3</v>
      </c>
      <c r="J29" s="36">
        <f t="shared" si="10"/>
        <v>0.23220630502065498</v>
      </c>
      <c r="K29" s="111">
        <f t="shared" si="11"/>
        <v>0.23741312931948863</v>
      </c>
    </row>
    <row r="30" spans="1:11" x14ac:dyDescent="0.2">
      <c r="A30" s="107" t="s">
        <v>40</v>
      </c>
      <c r="B30" s="73">
        <f>$C$8</f>
        <v>2305.5654231660451</v>
      </c>
      <c r="C30" s="78">
        <f>VLOOKUP($C$3,'Data for Bill Impacts'!$A$3:$Y$39,15,0)</f>
        <v>6.3E-3</v>
      </c>
      <c r="D30" s="22">
        <f>B30*C30</f>
        <v>14.525062165946084</v>
      </c>
      <c r="E30" s="73">
        <f>$B$8</f>
        <v>2328.0449042893033</v>
      </c>
      <c r="F30" s="78">
        <f>VLOOKUP($B$3,'Data for Bill Impacts'!$A$3:$Y$39,24,0)</f>
        <v>5.3E-3</v>
      </c>
      <c r="G30" s="22">
        <f>E30*F30</f>
        <v>12.338637992733307</v>
      </c>
      <c r="H30" s="22">
        <f t="shared" si="1"/>
        <v>-2.1864241732127763</v>
      </c>
      <c r="I30" s="23">
        <f t="shared" si="2"/>
        <v>-0.15052769814223818</v>
      </c>
      <c r="J30" s="23">
        <f t="shared" si="10"/>
        <v>2.9046883408034217E-2</v>
      </c>
      <c r="K30" s="108">
        <f t="shared" si="11"/>
        <v>2.969820947052372E-2</v>
      </c>
    </row>
    <row r="31" spans="1:11" x14ac:dyDescent="0.2">
      <c r="A31" s="107" t="s">
        <v>41</v>
      </c>
      <c r="B31" s="73">
        <f>$C$8</f>
        <v>2305.5654231660451</v>
      </c>
      <c r="C31" s="78">
        <f>VLOOKUP($C$3,'Data for Bill Impacts'!$A$3:$Y$39,16,0)</f>
        <v>3.0999999999999999E-3</v>
      </c>
      <c r="D31" s="22">
        <f>B31*C31</f>
        <v>7.1472528118147398</v>
      </c>
      <c r="E31" s="73">
        <f>$B$8</f>
        <v>2328.0449042893033</v>
      </c>
      <c r="F31" s="78">
        <f>VLOOKUP($B$3,'Data for Bill Impacts'!$A$3:$Y$39,25,0)</f>
        <v>4.4000000000000003E-3</v>
      </c>
      <c r="G31" s="22">
        <f>E31*F31</f>
        <v>10.243397578872935</v>
      </c>
      <c r="H31" s="22">
        <f t="shared" si="1"/>
        <v>3.0961447670581954</v>
      </c>
      <c r="I31" s="23">
        <f t="shared" si="2"/>
        <v>0.4331936827448058</v>
      </c>
      <c r="J31" s="23">
        <f t="shared" si="10"/>
        <v>2.4114393772707653E-2</v>
      </c>
      <c r="K31" s="108">
        <f t="shared" si="11"/>
        <v>2.4655117296283845E-2</v>
      </c>
    </row>
    <row r="32" spans="1:11" s="1" customFormat="1" x14ac:dyDescent="0.2">
      <c r="A32" s="110" t="s">
        <v>76</v>
      </c>
      <c r="B32" s="74"/>
      <c r="C32" s="35"/>
      <c r="D32" s="35">
        <f>SUM(D30:D31)</f>
        <v>21.672314977760823</v>
      </c>
      <c r="E32" s="73"/>
      <c r="F32" s="35"/>
      <c r="G32" s="35">
        <f>SUM(G30:G31)</f>
        <v>22.582035571606241</v>
      </c>
      <c r="H32" s="35">
        <f t="shared" si="1"/>
        <v>0.90972059384541737</v>
      </c>
      <c r="I32" s="36">
        <f t="shared" si="2"/>
        <v>4.1976161511999649E-2</v>
      </c>
      <c r="J32" s="36">
        <f t="shared" si="10"/>
        <v>5.3161277180741866E-2</v>
      </c>
      <c r="K32" s="111">
        <f t="shared" si="11"/>
        <v>5.4353326766807562E-2</v>
      </c>
    </row>
    <row r="33" spans="1:11" s="1" customFormat="1" x14ac:dyDescent="0.2">
      <c r="A33" s="110" t="s">
        <v>95</v>
      </c>
      <c r="B33" s="74"/>
      <c r="C33" s="35"/>
      <c r="D33" s="35">
        <f>D28+D32</f>
        <v>121.73421954688966</v>
      </c>
      <c r="E33" s="73"/>
      <c r="F33" s="35"/>
      <c r="G33" s="35">
        <f>G28+G32</f>
        <v>122.6183894848505</v>
      </c>
      <c r="H33" s="35">
        <f t="shared" si="1"/>
        <v>0.88416993796083432</v>
      </c>
      <c r="I33" s="36">
        <f t="shared" si="2"/>
        <v>7.2631174804572447E-3</v>
      </c>
      <c r="J33" s="36">
        <f t="shared" si="10"/>
        <v>0.28866087692539411</v>
      </c>
      <c r="K33" s="111">
        <f t="shared" si="11"/>
        <v>0.29513359724176996</v>
      </c>
    </row>
    <row r="34" spans="1:11" s="1" customFormat="1" x14ac:dyDescent="0.2">
      <c r="A34" s="110" t="s">
        <v>96</v>
      </c>
      <c r="B34" s="74"/>
      <c r="C34" s="35"/>
      <c r="D34" s="35">
        <f>D29+D32</f>
        <v>120.55130996565367</v>
      </c>
      <c r="E34" s="73"/>
      <c r="F34" s="35"/>
      <c r="G34" s="35">
        <f>G29+G32</f>
        <v>121.21945209002</v>
      </c>
      <c r="H34" s="35">
        <f t="shared" si="1"/>
        <v>0.66814212436632658</v>
      </c>
      <c r="I34" s="36">
        <f t="shared" si="2"/>
        <v>5.5423879222605485E-3</v>
      </c>
      <c r="J34" s="36">
        <f t="shared" si="10"/>
        <v>0.28536758220139685</v>
      </c>
      <c r="K34" s="111">
        <f t="shared" si="11"/>
        <v>0.2917664560862962</v>
      </c>
    </row>
    <row r="35" spans="1:11" x14ac:dyDescent="0.2">
      <c r="A35" s="107" t="s">
        <v>42</v>
      </c>
      <c r="B35" s="73">
        <f>$C$8</f>
        <v>2305.5654231660451</v>
      </c>
      <c r="C35" s="34">
        <v>3.5999999999999999E-3</v>
      </c>
      <c r="D35" s="22">
        <f>B35*C35</f>
        <v>8.3000355233977618</v>
      </c>
      <c r="E35" s="73">
        <f>$B$8</f>
        <v>2328.0449042893033</v>
      </c>
      <c r="F35" s="34">
        <v>3.5999999999999999E-3</v>
      </c>
      <c r="G35" s="22">
        <f>E35*F35</f>
        <v>8.3809616554414923</v>
      </c>
      <c r="H35" s="22">
        <f t="shared" si="1"/>
        <v>8.0926132043730448E-2</v>
      </c>
      <c r="I35" s="23">
        <f t="shared" si="2"/>
        <v>9.7500946611132032E-3</v>
      </c>
      <c r="J35" s="23">
        <f t="shared" si="10"/>
        <v>1.9729958541306259E-2</v>
      </c>
      <c r="K35" s="108">
        <f t="shared" si="11"/>
        <v>2.017236869695951E-2</v>
      </c>
    </row>
    <row r="36" spans="1:11" x14ac:dyDescent="0.2">
      <c r="A36" s="107" t="s">
        <v>43</v>
      </c>
      <c r="B36" s="73">
        <f>$C$8</f>
        <v>2305.5654231660451</v>
      </c>
      <c r="C36" s="34">
        <v>2.0999999999999999E-3</v>
      </c>
      <c r="D36" s="22">
        <f>B36*C36</f>
        <v>4.841687388648694</v>
      </c>
      <c r="E36" s="73">
        <f>$B$8</f>
        <v>2328.0449042893033</v>
      </c>
      <c r="F36" s="34">
        <v>2.0999999999999999E-3</v>
      </c>
      <c r="G36" s="22">
        <f>E36*F36</f>
        <v>4.8888942990075366</v>
      </c>
      <c r="H36" s="22">
        <f>G36-D36</f>
        <v>4.7206910358842613E-2</v>
      </c>
      <c r="I36" s="23">
        <f t="shared" si="2"/>
        <v>9.7500946611131737E-3</v>
      </c>
      <c r="J36" s="23">
        <f t="shared" si="10"/>
        <v>1.1509142482428651E-2</v>
      </c>
      <c r="K36" s="108">
        <f t="shared" si="11"/>
        <v>1.1767215073226379E-2</v>
      </c>
    </row>
    <row r="37" spans="1:11" x14ac:dyDescent="0.2">
      <c r="A37" s="107" t="s">
        <v>100</v>
      </c>
      <c r="B37" s="73">
        <f>$C$8</f>
        <v>2305.5654231660451</v>
      </c>
      <c r="C37" s="34">
        <v>1.1000000000000001E-3</v>
      </c>
      <c r="D37" s="22">
        <f>B37*C37</f>
        <v>2.5361219654826499</v>
      </c>
      <c r="E37" s="73">
        <f>$B$8</f>
        <v>2328.0449042893033</v>
      </c>
      <c r="F37" s="34">
        <v>1.1000000000000001E-3</v>
      </c>
      <c r="G37" s="22">
        <f>E37*F37</f>
        <v>2.5608493947182338</v>
      </c>
      <c r="H37" s="22">
        <f>G37-D37</f>
        <v>2.4727429235583909E-2</v>
      </c>
      <c r="I37" s="23">
        <f t="shared" si="2"/>
        <v>9.7500946611130453E-3</v>
      </c>
      <c r="J37" s="23">
        <f t="shared" si="10"/>
        <v>6.0285984431769132E-3</v>
      </c>
      <c r="K37" s="108">
        <f t="shared" si="11"/>
        <v>6.1637793240709613E-3</v>
      </c>
    </row>
    <row r="38" spans="1:11" x14ac:dyDescent="0.2">
      <c r="A38" s="107" t="s">
        <v>44</v>
      </c>
      <c r="B38" s="73">
        <v>1</v>
      </c>
      <c r="C38" s="22">
        <v>0.25</v>
      </c>
      <c r="D38" s="22">
        <f>B38*C38</f>
        <v>0.25</v>
      </c>
      <c r="E38" s="73">
        <f t="shared" si="5"/>
        <v>1</v>
      </c>
      <c r="F38" s="22">
        <f>C38</f>
        <v>0.25</v>
      </c>
      <c r="G38" s="22">
        <f>E38*F38</f>
        <v>0.25</v>
      </c>
      <c r="H38" s="22">
        <f t="shared" si="1"/>
        <v>0</v>
      </c>
      <c r="I38" s="23">
        <f t="shared" si="2"/>
        <v>0</v>
      </c>
      <c r="J38" s="23">
        <f t="shared" si="10"/>
        <v>5.8853504384238009E-4</v>
      </c>
      <c r="K38" s="108">
        <f t="shared" si="11"/>
        <v>6.0173192308612435E-4</v>
      </c>
    </row>
    <row r="39" spans="1:11" s="1" customFormat="1" x14ac:dyDescent="0.2">
      <c r="A39" s="110" t="s">
        <v>45</v>
      </c>
      <c r="B39" s="74"/>
      <c r="C39" s="35"/>
      <c r="D39" s="35">
        <f>SUM(D35:D38)</f>
        <v>15.927844877529106</v>
      </c>
      <c r="E39" s="73"/>
      <c r="F39" s="35"/>
      <c r="G39" s="35">
        <f>SUM(G35:G38)</f>
        <v>16.08070534916726</v>
      </c>
      <c r="H39" s="35">
        <f t="shared" si="1"/>
        <v>0.15286047163815475</v>
      </c>
      <c r="I39" s="36">
        <f t="shared" si="2"/>
        <v>9.5970592891577722E-3</v>
      </c>
      <c r="J39" s="36">
        <f t="shared" si="10"/>
        <v>3.7856234510754198E-2</v>
      </c>
      <c r="K39" s="111">
        <f t="shared" si="11"/>
        <v>3.8705095017342969E-2</v>
      </c>
    </row>
    <row r="40" spans="1:11" s="1" customFormat="1" ht="13.5" thickBot="1" x14ac:dyDescent="0.25">
      <c r="A40" s="112" t="s">
        <v>46</v>
      </c>
      <c r="B40" s="113">
        <f>B4</f>
        <v>2182.4738954619888</v>
      </c>
      <c r="C40" s="114">
        <v>7.0000000000000001E-3</v>
      </c>
      <c r="D40" s="115">
        <f>B40*C40</f>
        <v>15.277317268233922</v>
      </c>
      <c r="E40" s="116">
        <f t="shared" si="5"/>
        <v>2182.4738954619888</v>
      </c>
      <c r="F40" s="114">
        <f>C40</f>
        <v>7.0000000000000001E-3</v>
      </c>
      <c r="G40" s="115">
        <f>E40*F40</f>
        <v>15.277317268233922</v>
      </c>
      <c r="H40" s="115">
        <f t="shared" si="1"/>
        <v>0</v>
      </c>
      <c r="I40" s="117">
        <f t="shared" si="2"/>
        <v>0</v>
      </c>
      <c r="J40" s="117">
        <f t="shared" si="10"/>
        <v>3.596494635301601E-2</v>
      </c>
      <c r="K40" s="118">
        <f t="shared" si="11"/>
        <v>3.6771397997645013E-2</v>
      </c>
    </row>
    <row r="41" spans="1:11" s="1" customFormat="1" x14ac:dyDescent="0.2">
      <c r="A41" s="37" t="s">
        <v>137</v>
      </c>
      <c r="B41" s="38"/>
      <c r="C41" s="39"/>
      <c r="D41" s="39">
        <f>SUM(D14,D24,D25,D26,D32,D39,D40)</f>
        <v>403.51872304355328</v>
      </c>
      <c r="E41" s="38"/>
      <c r="F41" s="39"/>
      <c r="G41" s="39">
        <f>SUM(G14,G24,G25,G26,G32,G39,G40)</f>
        <v>404.55575345315231</v>
      </c>
      <c r="H41" s="39">
        <f t="shared" si="1"/>
        <v>1.0370304095990264</v>
      </c>
      <c r="I41" s="40">
        <f>IF(ISERROR(H41/D41),0,(H41/D41))</f>
        <v>2.5699685054938475E-3</v>
      </c>
      <c r="J41" s="40">
        <f t="shared" si="10"/>
        <v>0.95238095238095244</v>
      </c>
      <c r="K41" s="41"/>
    </row>
    <row r="42" spans="1:11" x14ac:dyDescent="0.2">
      <c r="A42" s="150" t="s">
        <v>138</v>
      </c>
      <c r="B42" s="43"/>
      <c r="C42" s="26">
        <v>0.13</v>
      </c>
      <c r="D42" s="26">
        <f>D41*C42</f>
        <v>52.45743399566193</v>
      </c>
      <c r="E42" s="26"/>
      <c r="F42" s="26">
        <f>C42</f>
        <v>0.13</v>
      </c>
      <c r="G42" s="26">
        <f>G41*F42</f>
        <v>52.592247948909801</v>
      </c>
      <c r="H42" s="26">
        <f t="shared" si="1"/>
        <v>0.13481395324787115</v>
      </c>
      <c r="I42" s="44">
        <f t="shared" si="2"/>
        <v>2.5699685054938041E-3</v>
      </c>
      <c r="J42" s="44">
        <f t="shared" si="10"/>
        <v>0.12380952380952381</v>
      </c>
      <c r="K42" s="45"/>
    </row>
    <row r="43" spans="1:11" s="1" customFormat="1" x14ac:dyDescent="0.2">
      <c r="A43" s="46" t="s">
        <v>139</v>
      </c>
      <c r="B43" s="24"/>
      <c r="C43" s="25"/>
      <c r="D43" s="25">
        <f>SUM(D41:D42)</f>
        <v>455.9761570392152</v>
      </c>
      <c r="E43" s="25"/>
      <c r="F43" s="25"/>
      <c r="G43" s="25">
        <f>SUM(G41:G42)</f>
        <v>457.14800140206211</v>
      </c>
      <c r="H43" s="25">
        <f t="shared" si="1"/>
        <v>1.1718443628469117</v>
      </c>
      <c r="I43" s="27">
        <f t="shared" si="2"/>
        <v>2.5699685054938739E-3</v>
      </c>
      <c r="J43" s="27">
        <f t="shared" si="10"/>
        <v>1.0761904761904761</v>
      </c>
      <c r="K43" s="47"/>
    </row>
    <row r="44" spans="1:11" x14ac:dyDescent="0.2">
      <c r="A44" s="42" t="s">
        <v>140</v>
      </c>
      <c r="B44" s="43"/>
      <c r="C44" s="26">
        <v>-0.08</v>
      </c>
      <c r="D44" s="26">
        <f>D41*C44</f>
        <v>-32.28149784348426</v>
      </c>
      <c r="E44" s="26"/>
      <c r="F44" s="26">
        <f>C44</f>
        <v>-0.08</v>
      </c>
      <c r="G44" s="26">
        <f>G41*F44</f>
        <v>-32.364460276252188</v>
      </c>
      <c r="H44" s="26">
        <f t="shared" si="1"/>
        <v>-8.2962432767928362E-2</v>
      </c>
      <c r="I44" s="44">
        <f t="shared" si="2"/>
        <v>2.5699685054940413E-3</v>
      </c>
      <c r="J44" s="44">
        <f t="shared" si="10"/>
        <v>-7.6190476190476197E-2</v>
      </c>
      <c r="K44" s="45"/>
    </row>
    <row r="45" spans="1:11" s="1" customFormat="1" ht="13.5" thickBot="1" x14ac:dyDescent="0.25">
      <c r="A45" s="48" t="s">
        <v>141</v>
      </c>
      <c r="B45" s="49"/>
      <c r="C45" s="50"/>
      <c r="D45" s="50">
        <f>SUM(D43:D44)</f>
        <v>423.69465919573094</v>
      </c>
      <c r="E45" s="50"/>
      <c r="F45" s="50"/>
      <c r="G45" s="50">
        <f>SUM(G43:G44)</f>
        <v>424.7835411258099</v>
      </c>
      <c r="H45" s="50">
        <f t="shared" si="1"/>
        <v>1.0888819300789692</v>
      </c>
      <c r="I45" s="51">
        <f t="shared" si="2"/>
        <v>2.5699685054938275E-3</v>
      </c>
      <c r="J45" s="51">
        <f t="shared" si="10"/>
        <v>1</v>
      </c>
      <c r="K45" s="52"/>
    </row>
    <row r="46" spans="1:11" x14ac:dyDescent="0.2">
      <c r="A46" s="53" t="s">
        <v>142</v>
      </c>
      <c r="B46" s="54"/>
      <c r="C46" s="55"/>
      <c r="D46" s="55">
        <f>SUM(D18,D24,D25,D27,D32,D39,D40)</f>
        <v>394.86223932692764</v>
      </c>
      <c r="E46" s="55"/>
      <c r="F46" s="55"/>
      <c r="G46" s="55">
        <f>SUM(G18,G24,G25,G27,G32,G39,G40)</f>
        <v>395.6832419229321</v>
      </c>
      <c r="H46" s="55">
        <f>G46-D46</f>
        <v>0.82100259600446179</v>
      </c>
      <c r="I46" s="56">
        <f>IF(ISERROR(H46/D46),0,(H46/D46))</f>
        <v>2.0792127335445454E-3</v>
      </c>
      <c r="J46" s="56"/>
      <c r="K46" s="57">
        <f>G46/$G$50</f>
        <v>0.95238095238095244</v>
      </c>
    </row>
    <row r="47" spans="1:11" x14ac:dyDescent="0.2">
      <c r="A47" s="58" t="s">
        <v>138</v>
      </c>
      <c r="B47" s="59"/>
      <c r="C47" s="31">
        <v>0.13</v>
      </c>
      <c r="D47" s="31">
        <f>D46*C47</f>
        <v>51.332091112500592</v>
      </c>
      <c r="E47" s="31"/>
      <c r="F47" s="31">
        <f>C47</f>
        <v>0.13</v>
      </c>
      <c r="G47" s="31">
        <f>G46*F47</f>
        <v>51.438821449981177</v>
      </c>
      <c r="H47" s="31">
        <f>G47-D47</f>
        <v>0.10673033748058458</v>
      </c>
      <c r="I47" s="32">
        <f>IF(ISERROR(H47/D47),0,(H47/D47))</f>
        <v>2.0792127335446343E-3</v>
      </c>
      <c r="J47" s="32"/>
      <c r="K47" s="60">
        <f>G47/$G$50</f>
        <v>0.12380952380952383</v>
      </c>
    </row>
    <row r="48" spans="1:11" x14ac:dyDescent="0.2">
      <c r="A48" s="141" t="s">
        <v>143</v>
      </c>
      <c r="B48" s="29"/>
      <c r="C48" s="30"/>
      <c r="D48" s="30">
        <f>SUM(D46:D47)</f>
        <v>446.1943304394282</v>
      </c>
      <c r="E48" s="30"/>
      <c r="F48" s="30"/>
      <c r="G48" s="30">
        <f>SUM(G46:G47)</f>
        <v>447.12206337291326</v>
      </c>
      <c r="H48" s="30">
        <f>G48-D48</f>
        <v>0.92773293348506058</v>
      </c>
      <c r="I48" s="33">
        <f>IF(ISERROR(H48/D48),0,(H48/D48))</f>
        <v>2.0792127335445879E-3</v>
      </c>
      <c r="J48" s="33"/>
      <c r="K48" s="62">
        <f>G48/$G$50</f>
        <v>1.0761904761904761</v>
      </c>
    </row>
    <row r="49" spans="1:11" x14ac:dyDescent="0.2">
      <c r="A49" s="58" t="s">
        <v>140</v>
      </c>
      <c r="B49" s="59"/>
      <c r="C49" s="31">
        <v>-0.08</v>
      </c>
      <c r="D49" s="31">
        <f>D46*C49</f>
        <v>-31.588979146154212</v>
      </c>
      <c r="E49" s="31"/>
      <c r="F49" s="31">
        <f>C49</f>
        <v>-0.08</v>
      </c>
      <c r="G49" s="31">
        <f>G46*F49</f>
        <v>-31.654659353834568</v>
      </c>
      <c r="H49" s="31">
        <f>G49-D49</f>
        <v>-6.5680207680355096E-2</v>
      </c>
      <c r="I49" s="32">
        <f>IF(ISERROR(H49/D49),0,(H49/D49))</f>
        <v>2.0792127335444869E-3</v>
      </c>
      <c r="J49" s="32"/>
      <c r="K49" s="60">
        <f>G49/$G$50</f>
        <v>-7.6190476190476197E-2</v>
      </c>
    </row>
    <row r="50" spans="1:11" ht="13.5" thickBot="1" x14ac:dyDescent="0.25">
      <c r="A50" s="63" t="s">
        <v>144</v>
      </c>
      <c r="B50" s="64"/>
      <c r="C50" s="65"/>
      <c r="D50" s="65">
        <f>SUM(D48:D49)</f>
        <v>414.605351293274</v>
      </c>
      <c r="E50" s="65"/>
      <c r="F50" s="65"/>
      <c r="G50" s="65">
        <f>SUM(G48:G49)</f>
        <v>415.46740401907869</v>
      </c>
      <c r="H50" s="65">
        <f>G50-D50</f>
        <v>0.86205272580468773</v>
      </c>
      <c r="I50" s="66">
        <f>IF(ISERROR(H50/D50),0,(H50/D50))</f>
        <v>2.0792127335445528E-3</v>
      </c>
      <c r="J50" s="66"/>
      <c r="K50" s="67">
        <f>G50/$G$50</f>
        <v>1</v>
      </c>
    </row>
    <row r="51" spans="1:11" x14ac:dyDescent="0.2">
      <c r="C51" s="68"/>
      <c r="F51" s="69"/>
    </row>
    <row r="52" spans="1:11" x14ac:dyDescent="0.2">
      <c r="F52" s="69"/>
    </row>
    <row r="53" spans="1:11" x14ac:dyDescent="0.2">
      <c r="F53" s="69"/>
    </row>
    <row r="54" spans="1:11" x14ac:dyDescent="0.2">
      <c r="A54" s="70"/>
      <c r="B54" s="71"/>
      <c r="F54" s="69"/>
    </row>
    <row r="55" spans="1:11" x14ac:dyDescent="0.2">
      <c r="B55" s="71"/>
      <c r="F55" s="69"/>
    </row>
    <row r="56" spans="1:11" x14ac:dyDescent="0.2">
      <c r="F56" s="69"/>
    </row>
    <row r="57" spans="1:11" x14ac:dyDescent="0.2">
      <c r="D57" s="72"/>
      <c r="F57" s="69"/>
    </row>
    <row r="58" spans="1:11" x14ac:dyDescent="0.2">
      <c r="F58" s="69"/>
    </row>
    <row r="59" spans="1:11" x14ac:dyDescent="0.2">
      <c r="A59" s="70"/>
      <c r="B59" s="71"/>
      <c r="F59" s="69"/>
    </row>
    <row r="60" spans="1:11" x14ac:dyDescent="0.2">
      <c r="B60" s="72"/>
      <c r="D60" s="72"/>
      <c r="F60" s="69"/>
    </row>
    <row r="61" spans="1:11" x14ac:dyDescent="0.2">
      <c r="F61" s="69"/>
    </row>
    <row r="62" spans="1:11" x14ac:dyDescent="0.2">
      <c r="F62" s="69"/>
    </row>
    <row r="63" spans="1:11" x14ac:dyDescent="0.2">
      <c r="F63" s="69"/>
      <c r="K63"/>
    </row>
    <row r="64" spans="1:11" x14ac:dyDescent="0.2">
      <c r="F64" s="69"/>
      <c r="K64"/>
    </row>
    <row r="65" spans="6:11" x14ac:dyDescent="0.2">
      <c r="F65" s="69"/>
      <c r="K65"/>
    </row>
    <row r="66" spans="6:11" x14ac:dyDescent="0.2">
      <c r="F66" s="69"/>
      <c r="K66"/>
    </row>
    <row r="67" spans="6:11" x14ac:dyDescent="0.2">
      <c r="F67" s="69"/>
      <c r="K67"/>
    </row>
  </sheetData>
  <mergeCells count="1">
    <mergeCell ref="A1:K1"/>
  </mergeCell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Impacts'!$A$3:$A$21</xm:f>
          </x14:formula1>
          <xm:sqref>B3</xm:sqref>
        </x14:dataValidation>
      </x14:dataValidations>
    </ext>
  </extLst>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2">
    <pageSetUpPr fitToPage="1"/>
  </sheetPr>
  <dimension ref="A1:K67"/>
  <sheetViews>
    <sheetView topLeftCell="A19" workbookViewId="0">
      <selection activeCell="C19" sqref="C19"/>
    </sheetView>
  </sheetViews>
  <sheetFormatPr defaultRowHeight="12.75" x14ac:dyDescent="0.2"/>
  <cols>
    <col min="1" max="1" width="64.7109375" bestFit="1" customWidth="1"/>
    <col min="2" max="2" width="15.5703125" bestFit="1" customWidth="1"/>
    <col min="3" max="3" width="12.1406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48" t="s">
        <v>110</v>
      </c>
      <c r="B1" s="349"/>
      <c r="C1" s="349"/>
      <c r="D1" s="349"/>
      <c r="E1" s="349"/>
      <c r="F1" s="349"/>
      <c r="G1" s="349"/>
      <c r="H1" s="349"/>
      <c r="I1" s="349"/>
      <c r="J1" s="349"/>
      <c r="K1" s="350"/>
    </row>
    <row r="3" spans="1:11" x14ac:dyDescent="0.2">
      <c r="A3" s="13" t="s">
        <v>13</v>
      </c>
      <c r="B3" s="13" t="s">
        <v>181</v>
      </c>
      <c r="C3" s="13" t="s">
        <v>126</v>
      </c>
    </row>
    <row r="4" spans="1:11" x14ac:dyDescent="0.2">
      <c r="A4" s="15" t="s">
        <v>62</v>
      </c>
      <c r="B4" s="79">
        <v>2000</v>
      </c>
      <c r="C4" s="79">
        <f>B4</f>
        <v>2000</v>
      </c>
    </row>
    <row r="5" spans="1:11" x14ac:dyDescent="0.2">
      <c r="A5" s="15" t="s">
        <v>16</v>
      </c>
      <c r="B5" s="15">
        <f>VLOOKUP($B$3,'Data for Bill Impacts'!$A$3:$Y$39,5,0)</f>
        <v>0</v>
      </c>
      <c r="C5" s="15">
        <f>B5</f>
        <v>0</v>
      </c>
    </row>
    <row r="6" spans="1:11" x14ac:dyDescent="0.2">
      <c r="A6" s="15" t="s">
        <v>20</v>
      </c>
      <c r="B6" s="15">
        <f>VLOOKUP($B$3,'Data for Bill Impacts'!$A$3:$Y$39,2,0)</f>
        <v>1.0667</v>
      </c>
      <c r="C6" s="15">
        <f>VLOOKUP($C$3,'Data for Bill Impacts'!$A$3:$Y$39,2,0)</f>
        <v>1.0564</v>
      </c>
    </row>
    <row r="7" spans="1:11" x14ac:dyDescent="0.2">
      <c r="A7" s="15" t="s">
        <v>15</v>
      </c>
      <c r="B7" s="15">
        <f>VLOOKUP($B$3,'Data for Bill Impacts'!$A$3:$Y$39,4,0)</f>
        <v>750</v>
      </c>
      <c r="C7" s="15">
        <f>B7</f>
        <v>750</v>
      </c>
    </row>
    <row r="8" spans="1:11" x14ac:dyDescent="0.2">
      <c r="A8" s="15" t="s">
        <v>82</v>
      </c>
      <c r="B8" s="15">
        <f>B4*B6</f>
        <v>2133.4</v>
      </c>
      <c r="C8" s="15">
        <f>C4*C6</f>
        <v>2112.8000000000002</v>
      </c>
    </row>
    <row r="9" spans="1:11" x14ac:dyDescent="0.2">
      <c r="A9" s="15" t="s">
        <v>21</v>
      </c>
      <c r="B9" s="16" t="str">
        <f>VLOOKUP($B$3,'Data for Bill Impacts'!$A$3:$Y$39,6,0)</f>
        <v>kWh</v>
      </c>
      <c r="C9" s="16" t="str">
        <f>VLOOKUP($C$3,'Data for Bill Impacts'!$A$3:$Y$39,6,0)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0.10299999999999999</v>
      </c>
      <c r="D12" s="104">
        <f>B12*C12</f>
        <v>77.25</v>
      </c>
      <c r="E12" s="102">
        <f>B12</f>
        <v>750</v>
      </c>
      <c r="F12" s="103">
        <f>C12</f>
        <v>0.10299999999999999</v>
      </c>
      <c r="G12" s="104">
        <f>E12*F12</f>
        <v>77.25</v>
      </c>
      <c r="H12" s="104">
        <f>G12-D12</f>
        <v>0</v>
      </c>
      <c r="I12" s="105">
        <f>IF(ISERROR(H12/D12),0,(H12/D12))</f>
        <v>0</v>
      </c>
      <c r="J12" s="105">
        <f>G12/$G$45</f>
        <v>0.19718824872904511</v>
      </c>
      <c r="K12" s="106"/>
    </row>
    <row r="13" spans="1:11" x14ac:dyDescent="0.2">
      <c r="A13" s="107" t="s">
        <v>32</v>
      </c>
      <c r="B13" s="73">
        <f>IF(B4&gt;B7,(B4)-B7,0)</f>
        <v>1250</v>
      </c>
      <c r="C13" s="21">
        <v>0.121</v>
      </c>
      <c r="D13" s="22">
        <f>B13*C13</f>
        <v>151.25</v>
      </c>
      <c r="E13" s="73">
        <f t="shared" ref="E13" si="0">B13</f>
        <v>1250</v>
      </c>
      <c r="F13" s="21">
        <f>C13</f>
        <v>0.121</v>
      </c>
      <c r="G13" s="22">
        <f>E13*F13</f>
        <v>151.25</v>
      </c>
      <c r="H13" s="22">
        <f t="shared" ref="H13:H45" si="1">G13-D13</f>
        <v>0</v>
      </c>
      <c r="I13" s="23">
        <f t="shared" ref="I13:I45" si="2">IF(ISERROR(H13/D13),0,(H13/D13))</f>
        <v>0</v>
      </c>
      <c r="J13" s="23">
        <f>G13/$G$45</f>
        <v>0.38608055171868055</v>
      </c>
      <c r="K13" s="108"/>
    </row>
    <row r="14" spans="1:11" s="1" customFormat="1" x14ac:dyDescent="0.2">
      <c r="A14" s="46" t="s">
        <v>33</v>
      </c>
      <c r="B14" s="24"/>
      <c r="C14" s="25"/>
      <c r="D14" s="25">
        <f>SUM(D12:D13)</f>
        <v>228.5</v>
      </c>
      <c r="E14" s="76"/>
      <c r="F14" s="25"/>
      <c r="G14" s="25">
        <f>SUM(G12:G13)</f>
        <v>228.5</v>
      </c>
      <c r="H14" s="25">
        <f t="shared" si="1"/>
        <v>0</v>
      </c>
      <c r="I14" s="27">
        <f t="shared" si="2"/>
        <v>0</v>
      </c>
      <c r="J14" s="27">
        <f>G14/$G$45</f>
        <v>0.58326880044772567</v>
      </c>
      <c r="K14" s="108"/>
    </row>
    <row r="15" spans="1:11" s="1" customFormat="1" x14ac:dyDescent="0.2">
      <c r="A15" s="109" t="s">
        <v>34</v>
      </c>
      <c r="B15" s="75">
        <f>B4*0.65</f>
        <v>1300</v>
      </c>
      <c r="C15" s="28">
        <v>8.6999999999999994E-2</v>
      </c>
      <c r="D15" s="22">
        <f>B15*C15</f>
        <v>113.1</v>
      </c>
      <c r="E15" s="73">
        <f t="shared" ref="E15:F17" si="3">B15</f>
        <v>1300</v>
      </c>
      <c r="F15" s="28">
        <f t="shared" si="3"/>
        <v>8.6999999999999994E-2</v>
      </c>
      <c r="G15" s="22">
        <f>E15*F15</f>
        <v>113.1</v>
      </c>
      <c r="H15" s="22">
        <f t="shared" si="1"/>
        <v>0</v>
      </c>
      <c r="I15" s="23">
        <f t="shared" si="2"/>
        <v>0</v>
      </c>
      <c r="J15" s="23"/>
      <c r="K15" s="108">
        <f t="shared" ref="K15:K25" si="4">G15/$G$50</f>
        <v>0.29422051612754502</v>
      </c>
    </row>
    <row r="16" spans="1:11" s="1" customFormat="1" x14ac:dyDescent="0.2">
      <c r="A16" s="109" t="s">
        <v>35</v>
      </c>
      <c r="B16" s="75">
        <f>B4*0.17</f>
        <v>340</v>
      </c>
      <c r="C16" s="28">
        <v>0.13200000000000001</v>
      </c>
      <c r="D16" s="22">
        <f>B16*C16</f>
        <v>44.88</v>
      </c>
      <c r="E16" s="73">
        <f t="shared" si="3"/>
        <v>340</v>
      </c>
      <c r="F16" s="28">
        <f t="shared" si="3"/>
        <v>0.13200000000000001</v>
      </c>
      <c r="G16" s="22">
        <f>E16*F16</f>
        <v>44.88</v>
      </c>
      <c r="H16" s="22">
        <f t="shared" si="1"/>
        <v>0</v>
      </c>
      <c r="I16" s="23">
        <f t="shared" si="2"/>
        <v>0</v>
      </c>
      <c r="J16" s="23"/>
      <c r="K16" s="108">
        <f t="shared" si="4"/>
        <v>0.11675169552435208</v>
      </c>
    </row>
    <row r="17" spans="1:11" s="1" customFormat="1" x14ac:dyDescent="0.2">
      <c r="A17" s="109" t="s">
        <v>36</v>
      </c>
      <c r="B17" s="75">
        <f>B4*0.18</f>
        <v>360</v>
      </c>
      <c r="C17" s="28">
        <v>0.18</v>
      </c>
      <c r="D17" s="22">
        <f>B17*C17</f>
        <v>64.8</v>
      </c>
      <c r="E17" s="73">
        <f t="shared" si="3"/>
        <v>360</v>
      </c>
      <c r="F17" s="28">
        <f t="shared" si="3"/>
        <v>0.18</v>
      </c>
      <c r="G17" s="22">
        <f>E17*F17</f>
        <v>64.8</v>
      </c>
      <c r="H17" s="22">
        <f t="shared" si="1"/>
        <v>0</v>
      </c>
      <c r="I17" s="23">
        <f t="shared" si="2"/>
        <v>0</v>
      </c>
      <c r="J17" s="23"/>
      <c r="K17" s="108">
        <f t="shared" si="4"/>
        <v>0.16857196679986663</v>
      </c>
    </row>
    <row r="18" spans="1:11" s="1" customFormat="1" x14ac:dyDescent="0.2">
      <c r="A18" s="61" t="s">
        <v>37</v>
      </c>
      <c r="B18" s="29"/>
      <c r="C18" s="30"/>
      <c r="D18" s="30">
        <f>SUM(D15:D17)</f>
        <v>222.77999999999997</v>
      </c>
      <c r="E18" s="77"/>
      <c r="F18" s="30"/>
      <c r="G18" s="30">
        <f>SUM(G15:G17)</f>
        <v>222.77999999999997</v>
      </c>
      <c r="H18" s="31">
        <f t="shared" si="1"/>
        <v>0</v>
      </c>
      <c r="I18" s="32">
        <f t="shared" si="2"/>
        <v>0</v>
      </c>
      <c r="J18" s="33">
        <f>G18/$G$45</f>
        <v>0.56866793594636467</v>
      </c>
      <c r="K18" s="62">
        <f t="shared" si="4"/>
        <v>0.57954417845176365</v>
      </c>
    </row>
    <row r="19" spans="1:11" x14ac:dyDescent="0.2">
      <c r="A19" s="107" t="s">
        <v>38</v>
      </c>
      <c r="B19" s="73">
        <v>1</v>
      </c>
      <c r="C19" s="122">
        <f>VLOOKUP($C$3,'Data for Bill Impacts'!$A$3:$Y$39,7,0)</f>
        <v>49.98</v>
      </c>
      <c r="D19" s="22">
        <f>B19*C19</f>
        <v>49.98</v>
      </c>
      <c r="E19" s="73">
        <f t="shared" ref="E19:E40" si="5">B19</f>
        <v>1</v>
      </c>
      <c r="F19" s="78">
        <f>VLOOKUP($B$3,'Data for Bill Impacts'!$A$3:$Y$39,17,0)</f>
        <v>40.82</v>
      </c>
      <c r="G19" s="22">
        <f>E19*F19</f>
        <v>40.82</v>
      </c>
      <c r="H19" s="22">
        <f t="shared" si="1"/>
        <v>-9.1599999999999966</v>
      </c>
      <c r="I19" s="23">
        <f t="shared" si="2"/>
        <v>-0.18327330932372943</v>
      </c>
      <c r="J19" s="23">
        <f>G19/$G$45</f>
        <v>0.10419707848698539</v>
      </c>
      <c r="K19" s="108">
        <f t="shared" si="4"/>
        <v>0.10618993340695303</v>
      </c>
    </row>
    <row r="20" spans="1:11" x14ac:dyDescent="0.2">
      <c r="A20" s="107" t="s">
        <v>188</v>
      </c>
      <c r="B20" s="73">
        <v>1</v>
      </c>
      <c r="C20" s="122">
        <f>'Data for Bill Impacts'!K35</f>
        <v>-0.74</v>
      </c>
      <c r="D20" s="22">
        <f>B20*C20</f>
        <v>-0.74</v>
      </c>
      <c r="E20" s="73">
        <f t="shared" si="5"/>
        <v>1</v>
      </c>
      <c r="F20" s="122">
        <v>0</v>
      </c>
      <c r="G20" s="22">
        <f t="shared" ref="G20" si="6">E20*F20</f>
        <v>0</v>
      </c>
      <c r="H20" s="22">
        <f t="shared" si="1"/>
        <v>0.74</v>
      </c>
      <c r="I20" s="23">
        <f t="shared" si="2"/>
        <v>-1</v>
      </c>
      <c r="J20" s="23">
        <f>G20/$G$45</f>
        <v>0</v>
      </c>
      <c r="K20" s="108">
        <f t="shared" si="4"/>
        <v>0</v>
      </c>
    </row>
    <row r="21" spans="1:11" x14ac:dyDescent="0.2">
      <c r="A21" s="107" t="s">
        <v>39</v>
      </c>
      <c r="B21" s="73">
        <f>C4</f>
        <v>2000</v>
      </c>
      <c r="C21" s="78">
        <f>VLOOKUP($C$3,'Data for Bill Impacts'!$A$3:$Y$39,10,0)</f>
        <v>1.5599999999999999E-2</v>
      </c>
      <c r="D21" s="22">
        <f>B21*C21</f>
        <v>31.2</v>
      </c>
      <c r="E21" s="73">
        <f>B4</f>
        <v>2000</v>
      </c>
      <c r="F21" s="78">
        <f>VLOOKUP($B$3,'Data for Bill Impacts'!$A$3:$Y$39,19,0)</f>
        <v>1.8700000000000001E-2</v>
      </c>
      <c r="G21" s="22">
        <f>E21*F21</f>
        <v>37.400000000000006</v>
      </c>
      <c r="H21" s="22">
        <f t="shared" si="1"/>
        <v>6.2000000000000064</v>
      </c>
      <c r="I21" s="23">
        <f t="shared" si="2"/>
        <v>0.19871794871794893</v>
      </c>
      <c r="J21" s="23">
        <f>G21/$G$45</f>
        <v>9.5467190970437391E-2</v>
      </c>
      <c r="K21" s="108">
        <f t="shared" si="4"/>
        <v>9.729307960362675E-2</v>
      </c>
    </row>
    <row r="22" spans="1:11" x14ac:dyDescent="0.2">
      <c r="A22" s="107" t="s">
        <v>189</v>
      </c>
      <c r="B22" s="73">
        <f>C4</f>
        <v>2000</v>
      </c>
      <c r="C22" s="78">
        <f>'Data for Bill Impacts'!H35</f>
        <v>8.0000000000000004E-4</v>
      </c>
      <c r="D22" s="22">
        <f>B22*C22</f>
        <v>1.6</v>
      </c>
      <c r="E22" s="73">
        <f>B4</f>
        <v>2000</v>
      </c>
      <c r="F22" s="126">
        <v>0</v>
      </c>
      <c r="G22" s="22">
        <f>E22*F22</f>
        <v>0</v>
      </c>
      <c r="H22" s="22">
        <f t="shared" ref="H22" si="7">G22-D22</f>
        <v>-1.6</v>
      </c>
      <c r="I22" s="23">
        <f t="shared" ref="I22" si="8">IF(ISERROR(H22/D22),0,(H22/D22))</f>
        <v>-1</v>
      </c>
      <c r="J22" s="23">
        <f>G22/$G$45</f>
        <v>0</v>
      </c>
      <c r="K22" s="108">
        <f t="shared" si="4"/>
        <v>0</v>
      </c>
    </row>
    <row r="23" spans="1:11" x14ac:dyDescent="0.2">
      <c r="A23" s="107" t="s">
        <v>190</v>
      </c>
      <c r="B23" s="73">
        <f>IF($B$9="kWh",$B$4,$B$5)</f>
        <v>2000</v>
      </c>
      <c r="C23" s="78">
        <f>'Data for Bill Impacts'!L35</f>
        <v>-2.9999999999999997E-4</v>
      </c>
      <c r="D23" s="22">
        <f>B23*C23</f>
        <v>-0.6</v>
      </c>
      <c r="E23" s="73">
        <f t="shared" si="5"/>
        <v>2000</v>
      </c>
      <c r="F23" s="126">
        <v>0</v>
      </c>
      <c r="G23" s="22">
        <f>E23*F23</f>
        <v>0</v>
      </c>
      <c r="H23" s="22">
        <f t="shared" si="1"/>
        <v>0.6</v>
      </c>
      <c r="I23" s="23">
        <f>IF(ISERROR(H23/D23),0,(H23/D23))</f>
        <v>-1</v>
      </c>
      <c r="J23" s="23">
        <f t="shared" ref="J23" si="9">G23/$G$45</f>
        <v>0</v>
      </c>
      <c r="K23" s="108">
        <f t="shared" si="4"/>
        <v>0</v>
      </c>
    </row>
    <row r="24" spans="1:11" s="1" customFormat="1" x14ac:dyDescent="0.2">
      <c r="A24" s="110" t="s">
        <v>72</v>
      </c>
      <c r="B24" s="74"/>
      <c r="C24" s="35"/>
      <c r="D24" s="35">
        <f>SUM(D19:D23)</f>
        <v>81.44</v>
      </c>
      <c r="E24" s="73"/>
      <c r="F24" s="35"/>
      <c r="G24" s="35">
        <f>SUM(G19:G23)</f>
        <v>78.22</v>
      </c>
      <c r="H24" s="35">
        <f t="shared" si="1"/>
        <v>-3.2199999999999989</v>
      </c>
      <c r="I24" s="36">
        <f t="shared" si="2"/>
        <v>-3.9538310412573663E-2</v>
      </c>
      <c r="J24" s="36">
        <f>G24/$G$45</f>
        <v>0.19966426945742277</v>
      </c>
      <c r="K24" s="111">
        <f t="shared" si="4"/>
        <v>0.20348301301057975</v>
      </c>
    </row>
    <row r="25" spans="1:11" s="1" customFormat="1" x14ac:dyDescent="0.2">
      <c r="A25" s="119" t="s">
        <v>73</v>
      </c>
      <c r="B25" s="120">
        <v>1</v>
      </c>
      <c r="C25" s="78">
        <f>VLOOKUP($C$3,'Data for Bill Impacts'!$A$3:$Y$39,9,0)</f>
        <v>0.79</v>
      </c>
      <c r="D25" s="22">
        <f>B25*C25</f>
        <v>0.79</v>
      </c>
      <c r="E25" s="73">
        <v>1</v>
      </c>
      <c r="F25" s="78">
        <f>VLOOKUP($B$3,'Data for Bill Impacts'!$A$3:$Y$39,18,0)</f>
        <v>0.79</v>
      </c>
      <c r="G25" s="22">
        <f>E25*F25</f>
        <v>0.79</v>
      </c>
      <c r="H25" s="22">
        <f t="shared" si="1"/>
        <v>0</v>
      </c>
      <c r="I25" s="23">
        <f>IF(ISERROR(H25/D25),0,(H25/D25))</f>
        <v>0</v>
      </c>
      <c r="J25" s="23">
        <f>G25/$G$45</f>
        <v>2.0165529643488109E-3</v>
      </c>
      <c r="K25" s="108">
        <f t="shared" si="4"/>
        <v>2.0551212001835594E-3</v>
      </c>
    </row>
    <row r="26" spans="1:11" s="1" customFormat="1" x14ac:dyDescent="0.2">
      <c r="A26" s="119" t="s">
        <v>75</v>
      </c>
      <c r="B26" s="120">
        <f>C8-C4</f>
        <v>112.80000000000018</v>
      </c>
      <c r="C26" s="121">
        <f>IF(C4&gt;C7,C13,C12)</f>
        <v>0.121</v>
      </c>
      <c r="D26" s="22">
        <f>B26*C26</f>
        <v>13.648800000000021</v>
      </c>
      <c r="E26" s="73">
        <f>B8-B4</f>
        <v>133.40000000000009</v>
      </c>
      <c r="F26" s="121">
        <f>IF(B4&gt;B7,C13,C12)</f>
        <v>0.121</v>
      </c>
      <c r="G26" s="22">
        <f>E26*F26</f>
        <v>16.141400000000012</v>
      </c>
      <c r="H26" s="22">
        <f t="shared" si="1"/>
        <v>2.4925999999999906</v>
      </c>
      <c r="I26" s="23">
        <f>IF(ISERROR(H26/D26),0,(H26/D26))</f>
        <v>0.18262411347517635</v>
      </c>
      <c r="J26" s="23">
        <f t="shared" ref="J26:J45" si="10">G26/$G$45</f>
        <v>4.1202516479417618E-2</v>
      </c>
      <c r="K26" s="108">
        <f t="shared" ref="K26:K40" si="11">G26/$G$50</f>
        <v>4.1990548532459405E-2</v>
      </c>
    </row>
    <row r="27" spans="1:11" s="1" customFormat="1" x14ac:dyDescent="0.2">
      <c r="A27" s="119" t="s">
        <v>74</v>
      </c>
      <c r="B27" s="120">
        <f>C8-C4</f>
        <v>112.80000000000018</v>
      </c>
      <c r="C27" s="121">
        <f>0.65*C15+0.17*C16+0.18*C17</f>
        <v>0.11139</v>
      </c>
      <c r="D27" s="22">
        <f>B27*C27</f>
        <v>12.56479200000002</v>
      </c>
      <c r="E27" s="73">
        <f>B8-B4</f>
        <v>133.40000000000009</v>
      </c>
      <c r="F27" s="121">
        <f>C27</f>
        <v>0.11139</v>
      </c>
      <c r="G27" s="22">
        <f>E27*F27</f>
        <v>14.85942600000001</v>
      </c>
      <c r="H27" s="22">
        <f t="shared" si="1"/>
        <v>2.2946339999999896</v>
      </c>
      <c r="I27" s="23">
        <f>IF(ISERROR(H27/D27),0,(H27/D27))</f>
        <v>0.18262411347517618</v>
      </c>
      <c r="J27" s="23">
        <f t="shared" si="10"/>
        <v>3.7930151327622549E-2</v>
      </c>
      <c r="K27" s="108">
        <f t="shared" si="11"/>
        <v>3.8655596702732664E-2</v>
      </c>
    </row>
    <row r="28" spans="1:11" s="1" customFormat="1" x14ac:dyDescent="0.2">
      <c r="A28" s="110" t="s">
        <v>78</v>
      </c>
      <c r="B28" s="74"/>
      <c r="C28" s="35"/>
      <c r="D28" s="35">
        <f>SUM(D24,D25:D26)</f>
        <v>95.878800000000027</v>
      </c>
      <c r="E28" s="73"/>
      <c r="F28" s="35"/>
      <c r="G28" s="35">
        <f>SUM(G24,G25:G26)</f>
        <v>95.151400000000024</v>
      </c>
      <c r="H28" s="35">
        <f t="shared" si="1"/>
        <v>-0.72740000000000293</v>
      </c>
      <c r="I28" s="36">
        <f>IF(ISERROR(H28/D28),0,(H28/D28))</f>
        <v>-7.5866614934688662E-3</v>
      </c>
      <c r="J28" s="36">
        <f t="shared" si="10"/>
        <v>0.24288333890118924</v>
      </c>
      <c r="K28" s="111">
        <f t="shared" si="11"/>
        <v>0.24752868274322276</v>
      </c>
    </row>
    <row r="29" spans="1:11" s="1" customFormat="1" x14ac:dyDescent="0.2">
      <c r="A29" s="110" t="s">
        <v>77</v>
      </c>
      <c r="B29" s="74"/>
      <c r="C29" s="35"/>
      <c r="D29" s="35">
        <f>SUM(D24,D25,D27)</f>
        <v>94.794792000000029</v>
      </c>
      <c r="E29" s="73"/>
      <c r="F29" s="35"/>
      <c r="G29" s="35">
        <f>SUM(G24,G25,G27)</f>
        <v>93.869426000000018</v>
      </c>
      <c r="H29" s="35">
        <f t="shared" si="1"/>
        <v>-0.92536600000001101</v>
      </c>
      <c r="I29" s="36">
        <f>IF(ISERROR(H29/D29),0,(H29/D29))</f>
        <v>-9.7617810058595912E-3</v>
      </c>
      <c r="J29" s="36">
        <f t="shared" si="10"/>
        <v>0.23961097374939416</v>
      </c>
      <c r="K29" s="111">
        <f t="shared" si="11"/>
        <v>0.244193730913496</v>
      </c>
    </row>
    <row r="30" spans="1:11" x14ac:dyDescent="0.2">
      <c r="A30" s="107" t="s">
        <v>40</v>
      </c>
      <c r="B30" s="73">
        <f>$C$8</f>
        <v>2112.8000000000002</v>
      </c>
      <c r="C30" s="78">
        <f>VLOOKUP($C$3,'Data for Bill Impacts'!$A$3:$Y$39,15,0)</f>
        <v>6.3E-3</v>
      </c>
      <c r="D30" s="22">
        <f>B30*C30</f>
        <v>13.310640000000001</v>
      </c>
      <c r="E30" s="73">
        <f>$B$8</f>
        <v>2133.4</v>
      </c>
      <c r="F30" s="78">
        <f>VLOOKUP($B$3,'Data for Bill Impacts'!$A$3:$Y$39,24,0)</f>
        <v>5.3E-3</v>
      </c>
      <c r="G30" s="22">
        <f>E30*F30</f>
        <v>11.307020000000001</v>
      </c>
      <c r="H30" s="22">
        <f t="shared" si="1"/>
        <v>-2.0036199999999997</v>
      </c>
      <c r="I30" s="23">
        <f t="shared" si="2"/>
        <v>-0.15052769814223807</v>
      </c>
      <c r="J30" s="23">
        <f t="shared" si="10"/>
        <v>2.8862284429052271E-2</v>
      </c>
      <c r="K30" s="108">
        <f t="shared" si="11"/>
        <v>2.9414299383417105E-2</v>
      </c>
    </row>
    <row r="31" spans="1:11" x14ac:dyDescent="0.2">
      <c r="A31" s="107" t="s">
        <v>41</v>
      </c>
      <c r="B31" s="73">
        <f>$C$8</f>
        <v>2112.8000000000002</v>
      </c>
      <c r="C31" s="78">
        <f>VLOOKUP($C$3,'Data for Bill Impacts'!$A$3:$Y$39,16,0)</f>
        <v>3.0999999999999999E-3</v>
      </c>
      <c r="D31" s="22">
        <f>B31*C31</f>
        <v>6.5496800000000004</v>
      </c>
      <c r="E31" s="73">
        <f>$B$8</f>
        <v>2133.4</v>
      </c>
      <c r="F31" s="78">
        <f>VLOOKUP($B$3,'Data for Bill Impacts'!$A$3:$Y$39,25,0)</f>
        <v>4.4000000000000003E-3</v>
      </c>
      <c r="G31" s="22">
        <f>E31*F31</f>
        <v>9.3869600000000002</v>
      </c>
      <c r="H31" s="22">
        <f t="shared" si="1"/>
        <v>2.8372799999999998</v>
      </c>
      <c r="I31" s="23">
        <f t="shared" si="2"/>
        <v>0.4331936827448058</v>
      </c>
      <c r="J31" s="23">
        <f t="shared" si="10"/>
        <v>2.3961141790156602E-2</v>
      </c>
      <c r="K31" s="108">
        <f t="shared" si="11"/>
        <v>2.4419418356044387E-2</v>
      </c>
    </row>
    <row r="32" spans="1:11" s="1" customFormat="1" x14ac:dyDescent="0.2">
      <c r="A32" s="110" t="s">
        <v>76</v>
      </c>
      <c r="B32" s="74"/>
      <c r="C32" s="35"/>
      <c r="D32" s="35">
        <f>SUM(D30:D31)</f>
        <v>19.860320000000002</v>
      </c>
      <c r="E32" s="73"/>
      <c r="F32" s="35"/>
      <c r="G32" s="35">
        <f>SUM(G30:G31)</f>
        <v>20.693980000000003</v>
      </c>
      <c r="H32" s="35">
        <f t="shared" si="1"/>
        <v>0.83366000000000184</v>
      </c>
      <c r="I32" s="36">
        <f t="shared" si="2"/>
        <v>4.1976161511999899E-2</v>
      </c>
      <c r="J32" s="36">
        <f t="shared" si="10"/>
        <v>5.282342621920888E-2</v>
      </c>
      <c r="K32" s="111">
        <f t="shared" si="11"/>
        <v>5.3833717739461495E-2</v>
      </c>
    </row>
    <row r="33" spans="1:11" s="1" customFormat="1" x14ac:dyDescent="0.2">
      <c r="A33" s="110" t="s">
        <v>95</v>
      </c>
      <c r="B33" s="74"/>
      <c r="C33" s="35"/>
      <c r="D33" s="35">
        <f>D28+D32</f>
        <v>115.73912000000003</v>
      </c>
      <c r="E33" s="73"/>
      <c r="F33" s="35"/>
      <c r="G33" s="35">
        <f>G28+G32</f>
        <v>115.84538000000003</v>
      </c>
      <c r="H33" s="35">
        <f t="shared" si="1"/>
        <v>0.10626000000000602</v>
      </c>
      <c r="I33" s="36">
        <f t="shared" si="2"/>
        <v>9.1809925632755794E-4</v>
      </c>
      <c r="J33" s="36">
        <f t="shared" si="10"/>
        <v>0.29570676512039812</v>
      </c>
      <c r="K33" s="111">
        <f t="shared" si="11"/>
        <v>0.30136240048268426</v>
      </c>
    </row>
    <row r="34" spans="1:11" s="1" customFormat="1" x14ac:dyDescent="0.2">
      <c r="A34" s="110" t="s">
        <v>96</v>
      </c>
      <c r="B34" s="74"/>
      <c r="C34" s="35"/>
      <c r="D34" s="35">
        <f>D29+D32</f>
        <v>114.65511200000003</v>
      </c>
      <c r="E34" s="73"/>
      <c r="F34" s="35"/>
      <c r="G34" s="35">
        <f>G29+G32</f>
        <v>114.56340600000001</v>
      </c>
      <c r="H34" s="35">
        <f t="shared" si="1"/>
        <v>-9.1706000000016274E-2</v>
      </c>
      <c r="I34" s="36">
        <f t="shared" si="2"/>
        <v>-7.9984222596212059E-4</v>
      </c>
      <c r="J34" s="36">
        <f t="shared" si="10"/>
        <v>0.29243439996860304</v>
      </c>
      <c r="K34" s="111">
        <f t="shared" si="11"/>
        <v>0.29802744865295749</v>
      </c>
    </row>
    <row r="35" spans="1:11" x14ac:dyDescent="0.2">
      <c r="A35" s="107" t="s">
        <v>42</v>
      </c>
      <c r="B35" s="73">
        <f>$C$8</f>
        <v>2112.8000000000002</v>
      </c>
      <c r="C35" s="34">
        <v>3.5999999999999999E-3</v>
      </c>
      <c r="D35" s="22">
        <f>B35*C35</f>
        <v>7.6060800000000004</v>
      </c>
      <c r="E35" s="73">
        <f>$B$8</f>
        <v>2133.4</v>
      </c>
      <c r="F35" s="34">
        <v>3.5999999999999999E-3</v>
      </c>
      <c r="G35" s="22">
        <f>E35*F35</f>
        <v>7.6802400000000004</v>
      </c>
      <c r="H35" s="22">
        <f t="shared" si="1"/>
        <v>7.4160000000000004E-2</v>
      </c>
      <c r="I35" s="23">
        <f t="shared" si="2"/>
        <v>9.7500946611132153E-3</v>
      </c>
      <c r="J35" s="23">
        <f t="shared" si="10"/>
        <v>1.9604570555582675E-2</v>
      </c>
      <c r="K35" s="108">
        <f t="shared" si="11"/>
        <v>1.9979524109490863E-2</v>
      </c>
    </row>
    <row r="36" spans="1:11" x14ac:dyDescent="0.2">
      <c r="A36" s="107" t="s">
        <v>43</v>
      </c>
      <c r="B36" s="73">
        <f>$C$8</f>
        <v>2112.8000000000002</v>
      </c>
      <c r="C36" s="34">
        <v>2.0999999999999999E-3</v>
      </c>
      <c r="D36" s="22">
        <f>B36*C36</f>
        <v>4.4368800000000004</v>
      </c>
      <c r="E36" s="73">
        <f>$B$8</f>
        <v>2133.4</v>
      </c>
      <c r="F36" s="34">
        <v>2.0999999999999999E-3</v>
      </c>
      <c r="G36" s="22">
        <f>E36*F36</f>
        <v>4.4801399999999996</v>
      </c>
      <c r="H36" s="22">
        <f>G36-D36</f>
        <v>4.3259999999999188E-2</v>
      </c>
      <c r="I36" s="23">
        <f t="shared" si="2"/>
        <v>9.7500946611130315E-3</v>
      </c>
      <c r="J36" s="23">
        <f t="shared" si="10"/>
        <v>1.1435999490756557E-2</v>
      </c>
      <c r="K36" s="108">
        <f t="shared" si="11"/>
        <v>1.1654722397203001E-2</v>
      </c>
    </row>
    <row r="37" spans="1:11" x14ac:dyDescent="0.2">
      <c r="A37" s="107" t="s">
        <v>100</v>
      </c>
      <c r="B37" s="73">
        <f>$C$8</f>
        <v>2112.8000000000002</v>
      </c>
      <c r="C37" s="34">
        <v>1.1000000000000001E-3</v>
      </c>
      <c r="D37" s="22">
        <f>B37*C37</f>
        <v>2.3240800000000004</v>
      </c>
      <c r="E37" s="73">
        <f>$B$8</f>
        <v>2133.4</v>
      </c>
      <c r="F37" s="34">
        <v>1.1000000000000001E-3</v>
      </c>
      <c r="G37" s="22">
        <f>E37*F37</f>
        <v>2.34674</v>
      </c>
      <c r="H37" s="22">
        <f>G37-D37</f>
        <v>2.265999999999968E-2</v>
      </c>
      <c r="I37" s="23">
        <f t="shared" si="2"/>
        <v>9.7500946611130748E-3</v>
      </c>
      <c r="J37" s="23">
        <f t="shared" si="10"/>
        <v>5.9902854475391504E-3</v>
      </c>
      <c r="K37" s="108">
        <f t="shared" si="11"/>
        <v>6.1048545890110967E-3</v>
      </c>
    </row>
    <row r="38" spans="1:11" x14ac:dyDescent="0.2">
      <c r="A38" s="107" t="s">
        <v>44</v>
      </c>
      <c r="B38" s="73">
        <v>1</v>
      </c>
      <c r="C38" s="22">
        <v>0.25</v>
      </c>
      <c r="D38" s="22">
        <f>B38*C38</f>
        <v>0.25</v>
      </c>
      <c r="E38" s="73">
        <f t="shared" si="5"/>
        <v>1</v>
      </c>
      <c r="F38" s="22">
        <f>C38</f>
        <v>0.25</v>
      </c>
      <c r="G38" s="22">
        <f>E38*F38</f>
        <v>0.25</v>
      </c>
      <c r="H38" s="22">
        <f t="shared" si="1"/>
        <v>0</v>
      </c>
      <c r="I38" s="23">
        <f t="shared" si="2"/>
        <v>0</v>
      </c>
      <c r="J38" s="23">
        <f t="shared" si="10"/>
        <v>6.3814967226228194E-4</v>
      </c>
      <c r="K38" s="108">
        <f t="shared" si="11"/>
        <v>6.5035481018467067E-4</v>
      </c>
    </row>
    <row r="39" spans="1:11" s="1" customFormat="1" x14ac:dyDescent="0.2">
      <c r="A39" s="110" t="s">
        <v>45</v>
      </c>
      <c r="B39" s="74"/>
      <c r="C39" s="35"/>
      <c r="D39" s="35">
        <f>SUM(D35:D38)</f>
        <v>14.617040000000001</v>
      </c>
      <c r="E39" s="73"/>
      <c r="F39" s="35"/>
      <c r="G39" s="35">
        <f>SUM(G35:G38)</f>
        <v>14.75712</v>
      </c>
      <c r="H39" s="35">
        <f t="shared" si="1"/>
        <v>0.14007999999999932</v>
      </c>
      <c r="I39" s="36">
        <f t="shared" si="2"/>
        <v>9.58333561377675E-3</v>
      </c>
      <c r="J39" s="36">
        <f t="shared" si="10"/>
        <v>3.7669005166140669E-2</v>
      </c>
      <c r="K39" s="111">
        <f t="shared" si="11"/>
        <v>3.838945590588963E-2</v>
      </c>
    </row>
    <row r="40" spans="1:11" s="1" customFormat="1" ht="13.5" thickBot="1" x14ac:dyDescent="0.25">
      <c r="A40" s="112" t="s">
        <v>46</v>
      </c>
      <c r="B40" s="113">
        <f>B4</f>
        <v>2000</v>
      </c>
      <c r="C40" s="114">
        <v>7.0000000000000001E-3</v>
      </c>
      <c r="D40" s="115">
        <f>B40*C40</f>
        <v>14</v>
      </c>
      <c r="E40" s="116">
        <f t="shared" si="5"/>
        <v>2000</v>
      </c>
      <c r="F40" s="114">
        <f>C40</f>
        <v>7.0000000000000001E-3</v>
      </c>
      <c r="G40" s="115">
        <f>E40*F40</f>
        <v>14</v>
      </c>
      <c r="H40" s="115">
        <f t="shared" si="1"/>
        <v>0</v>
      </c>
      <c r="I40" s="117">
        <f t="shared" si="2"/>
        <v>0</v>
      </c>
      <c r="J40" s="117">
        <f t="shared" si="10"/>
        <v>3.5736381646687791E-2</v>
      </c>
      <c r="K40" s="118">
        <f t="shared" si="11"/>
        <v>3.6419869370341557E-2</v>
      </c>
    </row>
    <row r="41" spans="1:11" s="1" customFormat="1" x14ac:dyDescent="0.2">
      <c r="A41" s="37" t="s">
        <v>137</v>
      </c>
      <c r="B41" s="38"/>
      <c r="C41" s="39"/>
      <c r="D41" s="39">
        <f>SUM(D14,D24,D25,D26,D32,D39,D40)</f>
        <v>372.85615999999999</v>
      </c>
      <c r="E41" s="38"/>
      <c r="F41" s="39"/>
      <c r="G41" s="39">
        <f>SUM(G14,G24,G25,G26,G32,G39,G40)</f>
        <v>373.10250000000008</v>
      </c>
      <c r="H41" s="39">
        <f t="shared" si="1"/>
        <v>0.24634000000008882</v>
      </c>
      <c r="I41" s="40">
        <f>IF(ISERROR(H41/D41),0,(H41/D41))</f>
        <v>6.6068373390985099E-4</v>
      </c>
      <c r="J41" s="40">
        <f t="shared" si="10"/>
        <v>0.95238095238095244</v>
      </c>
      <c r="K41" s="41"/>
    </row>
    <row r="42" spans="1:11" x14ac:dyDescent="0.2">
      <c r="A42" s="150" t="s">
        <v>138</v>
      </c>
      <c r="B42" s="43"/>
      <c r="C42" s="26">
        <v>0.13</v>
      </c>
      <c r="D42" s="26">
        <f>D41*C42</f>
        <v>48.471300800000002</v>
      </c>
      <c r="E42" s="26"/>
      <c r="F42" s="26">
        <f>C42</f>
        <v>0.13</v>
      </c>
      <c r="G42" s="26">
        <f>G41*F42</f>
        <v>48.503325000000011</v>
      </c>
      <c r="H42" s="26">
        <f t="shared" si="1"/>
        <v>3.2024200000009273E-2</v>
      </c>
      <c r="I42" s="44">
        <f t="shared" si="2"/>
        <v>6.6068373390980404E-4</v>
      </c>
      <c r="J42" s="44">
        <f t="shared" si="10"/>
        <v>0.12380952380952381</v>
      </c>
      <c r="K42" s="45"/>
    </row>
    <row r="43" spans="1:11" s="1" customFormat="1" x14ac:dyDescent="0.2">
      <c r="A43" s="46" t="s">
        <v>139</v>
      </c>
      <c r="B43" s="24"/>
      <c r="C43" s="25"/>
      <c r="D43" s="25">
        <f>SUM(D41:D42)</f>
        <v>421.32746079999998</v>
      </c>
      <c r="E43" s="25"/>
      <c r="F43" s="25"/>
      <c r="G43" s="25">
        <f>SUM(G41:G42)</f>
        <v>421.6058250000001</v>
      </c>
      <c r="H43" s="25">
        <f t="shared" si="1"/>
        <v>0.27836420000011231</v>
      </c>
      <c r="I43" s="27">
        <f t="shared" si="2"/>
        <v>6.6068373390987928E-4</v>
      </c>
      <c r="J43" s="27">
        <f t="shared" si="10"/>
        <v>1.0761904761904761</v>
      </c>
      <c r="K43" s="47"/>
    </row>
    <row r="44" spans="1:11" x14ac:dyDescent="0.2">
      <c r="A44" s="42" t="s">
        <v>140</v>
      </c>
      <c r="B44" s="43"/>
      <c r="C44" s="26">
        <v>-0.08</v>
      </c>
      <c r="D44" s="26">
        <f>D41*C44</f>
        <v>-29.828492799999999</v>
      </c>
      <c r="E44" s="26"/>
      <c r="F44" s="26">
        <f>C44</f>
        <v>-0.08</v>
      </c>
      <c r="G44" s="26">
        <f>G41*F44</f>
        <v>-29.848200000000006</v>
      </c>
      <c r="H44" s="26">
        <f t="shared" si="1"/>
        <v>-1.9707200000006253E-2</v>
      </c>
      <c r="I44" s="44">
        <f t="shared" si="2"/>
        <v>6.6068373390982236E-4</v>
      </c>
      <c r="J44" s="44">
        <f t="shared" si="10"/>
        <v>-7.6190476190476183E-2</v>
      </c>
      <c r="K44" s="45"/>
    </row>
    <row r="45" spans="1:11" s="1" customFormat="1" ht="13.5" thickBot="1" x14ac:dyDescent="0.25">
      <c r="A45" s="48" t="s">
        <v>141</v>
      </c>
      <c r="B45" s="49"/>
      <c r="C45" s="50"/>
      <c r="D45" s="50">
        <f>SUM(D43:D44)</f>
        <v>391.49896799999999</v>
      </c>
      <c r="E45" s="50"/>
      <c r="F45" s="50"/>
      <c r="G45" s="50">
        <f>SUM(G43:G44)</f>
        <v>391.75762500000008</v>
      </c>
      <c r="H45" s="50">
        <f t="shared" si="1"/>
        <v>0.25865700000008474</v>
      </c>
      <c r="I45" s="51">
        <f t="shared" si="2"/>
        <v>6.6068373390982919E-4</v>
      </c>
      <c r="J45" s="51">
        <f t="shared" si="10"/>
        <v>1</v>
      </c>
      <c r="K45" s="52"/>
    </row>
    <row r="46" spans="1:11" x14ac:dyDescent="0.2">
      <c r="A46" s="53" t="s">
        <v>142</v>
      </c>
      <c r="B46" s="54"/>
      <c r="C46" s="55"/>
      <c r="D46" s="55">
        <f>SUM(D18,D24,D25,D27,D32,D39,D40)</f>
        <v>366.05215199999998</v>
      </c>
      <c r="E46" s="55"/>
      <c r="F46" s="55"/>
      <c r="G46" s="55">
        <f>SUM(G18,G24,G25,G27,G32,G39,G40)</f>
        <v>366.100526</v>
      </c>
      <c r="H46" s="55">
        <f>G46-D46</f>
        <v>4.8374000000023898E-2</v>
      </c>
      <c r="I46" s="56">
        <f>IF(ISERROR(H46/D46),0,(H46/D46))</f>
        <v>1.3215056853435437E-4</v>
      </c>
      <c r="J46" s="56"/>
      <c r="K46" s="57">
        <f>G46/$G$50</f>
        <v>0.95238095238095233</v>
      </c>
    </row>
    <row r="47" spans="1:11" x14ac:dyDescent="0.2">
      <c r="A47" s="58" t="s">
        <v>138</v>
      </c>
      <c r="B47" s="59"/>
      <c r="C47" s="31">
        <v>0.13</v>
      </c>
      <c r="D47" s="31">
        <f>D46*C47</f>
        <v>47.586779759999999</v>
      </c>
      <c r="E47" s="31"/>
      <c r="F47" s="31">
        <f>C47</f>
        <v>0.13</v>
      </c>
      <c r="G47" s="31">
        <f>G46*F47</f>
        <v>47.593068380000005</v>
      </c>
      <c r="H47" s="31">
        <f>G47-D47</f>
        <v>6.2886200000065173E-3</v>
      </c>
      <c r="I47" s="32">
        <f>IF(ISERROR(H47/D47),0,(H47/D47))</f>
        <v>1.3215056853442604E-4</v>
      </c>
      <c r="J47" s="32"/>
      <c r="K47" s="60">
        <f>G47/$G$50</f>
        <v>0.12380952380952381</v>
      </c>
    </row>
    <row r="48" spans="1:11" x14ac:dyDescent="0.2">
      <c r="A48" s="141" t="s">
        <v>143</v>
      </c>
      <c r="B48" s="29"/>
      <c r="C48" s="30"/>
      <c r="D48" s="30">
        <f>SUM(D46:D47)</f>
        <v>413.63893175999999</v>
      </c>
      <c r="E48" s="30"/>
      <c r="F48" s="30"/>
      <c r="G48" s="30">
        <f>SUM(G46:G47)</f>
        <v>413.69359438000004</v>
      </c>
      <c r="H48" s="30">
        <f>G48-D48</f>
        <v>5.4662620000044626E-2</v>
      </c>
      <c r="I48" s="33">
        <f>IF(ISERROR(H48/D48),0,(H48/D48))</f>
        <v>1.3215056853439696E-4</v>
      </c>
      <c r="J48" s="33"/>
      <c r="K48" s="62">
        <f>G48/$G$50</f>
        <v>1.0761904761904764</v>
      </c>
    </row>
    <row r="49" spans="1:11" x14ac:dyDescent="0.2">
      <c r="A49" s="58" t="s">
        <v>140</v>
      </c>
      <c r="B49" s="59"/>
      <c r="C49" s="31">
        <v>-0.08</v>
      </c>
      <c r="D49" s="31">
        <f>D46*C49</f>
        <v>-29.284172159999997</v>
      </c>
      <c r="E49" s="31"/>
      <c r="F49" s="31">
        <f>C49</f>
        <v>-0.08</v>
      </c>
      <c r="G49" s="31">
        <f>G46*F49</f>
        <v>-29.28804208</v>
      </c>
      <c r="H49" s="31">
        <f>G49-D49</f>
        <v>-3.8699200000031908E-3</v>
      </c>
      <c r="I49" s="32">
        <f>IF(ISERROR(H49/D49),0,(H49/D49))</f>
        <v>1.3215056853439804E-4</v>
      </c>
      <c r="J49" s="32"/>
      <c r="K49" s="60">
        <f>G49/$G$50</f>
        <v>-7.6190476190476183E-2</v>
      </c>
    </row>
    <row r="50" spans="1:11" ht="13.5" thickBot="1" x14ac:dyDescent="0.25">
      <c r="A50" s="63" t="s">
        <v>144</v>
      </c>
      <c r="B50" s="64"/>
      <c r="C50" s="65"/>
      <c r="D50" s="65">
        <f>SUM(D48:D49)</f>
        <v>384.35475959999997</v>
      </c>
      <c r="E50" s="65"/>
      <c r="F50" s="65"/>
      <c r="G50" s="65">
        <f>SUM(G48:G49)</f>
        <v>384.40555230000001</v>
      </c>
      <c r="H50" s="65">
        <f>G50-D50</f>
        <v>5.0792700000044988E-2</v>
      </c>
      <c r="I50" s="66">
        <f>IF(ISERROR(H50/D50),0,(H50/D50))</f>
        <v>1.3215056853440612E-4</v>
      </c>
      <c r="J50" s="66"/>
      <c r="K50" s="67">
        <f>G50/$G$50</f>
        <v>1</v>
      </c>
    </row>
    <row r="51" spans="1:11" x14ac:dyDescent="0.2">
      <c r="C51" s="68"/>
      <c r="F51" s="69"/>
    </row>
    <row r="52" spans="1:11" x14ac:dyDescent="0.2">
      <c r="F52" s="69"/>
    </row>
    <row r="53" spans="1:11" x14ac:dyDescent="0.2">
      <c r="F53" s="69"/>
    </row>
    <row r="54" spans="1:11" x14ac:dyDescent="0.2">
      <c r="A54" s="70"/>
      <c r="B54" s="71"/>
      <c r="F54" s="69"/>
    </row>
    <row r="55" spans="1:11" x14ac:dyDescent="0.2">
      <c r="B55" s="71"/>
      <c r="F55" s="69"/>
    </row>
    <row r="56" spans="1:11" x14ac:dyDescent="0.2">
      <c r="F56" s="69"/>
    </row>
    <row r="57" spans="1:11" x14ac:dyDescent="0.2">
      <c r="D57" s="72"/>
      <c r="F57" s="69"/>
    </row>
    <row r="58" spans="1:11" x14ac:dyDescent="0.2">
      <c r="F58" s="69"/>
    </row>
    <row r="59" spans="1:11" x14ac:dyDescent="0.2">
      <c r="A59" s="70"/>
      <c r="B59" s="71"/>
      <c r="F59" s="69"/>
    </row>
    <row r="60" spans="1:11" x14ac:dyDescent="0.2">
      <c r="B60" s="72"/>
      <c r="D60" s="72"/>
      <c r="F60" s="69"/>
    </row>
    <row r="61" spans="1:11" x14ac:dyDescent="0.2">
      <c r="F61" s="69"/>
    </row>
    <row r="62" spans="1:11" x14ac:dyDescent="0.2">
      <c r="F62" s="69"/>
    </row>
    <row r="63" spans="1:11" x14ac:dyDescent="0.2">
      <c r="F63" s="69"/>
      <c r="K63"/>
    </row>
    <row r="64" spans="1:11" x14ac:dyDescent="0.2">
      <c r="F64" s="69"/>
      <c r="K64"/>
    </row>
    <row r="65" spans="6:11" x14ac:dyDescent="0.2">
      <c r="F65" s="69"/>
      <c r="K65"/>
    </row>
    <row r="66" spans="6:11" x14ac:dyDescent="0.2">
      <c r="F66" s="69"/>
      <c r="K66"/>
    </row>
    <row r="67" spans="6:11" x14ac:dyDescent="0.2">
      <c r="F67" s="69"/>
      <c r="K67"/>
    </row>
  </sheetData>
  <mergeCells count="1">
    <mergeCell ref="A1:K1"/>
  </mergeCell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Impacts'!$A$3:$A$21</xm:f>
          </x14:formula1>
          <xm:sqref>B3</xm:sqref>
        </x14:dataValidation>
      </x14:dataValidations>
    </ext>
  </extLst>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7">
    <pageSetUpPr fitToPage="1"/>
  </sheetPr>
  <dimension ref="A1:K67"/>
  <sheetViews>
    <sheetView topLeftCell="A19" workbookViewId="0">
      <selection activeCell="C19" sqref="C19"/>
    </sheetView>
  </sheetViews>
  <sheetFormatPr defaultRowHeight="12.75" x14ac:dyDescent="0.2"/>
  <cols>
    <col min="1" max="1" width="64.7109375" bestFit="1" customWidth="1"/>
    <col min="2" max="2" width="15.5703125" bestFit="1" customWidth="1"/>
    <col min="3" max="3" width="12.1406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48" t="s">
        <v>111</v>
      </c>
      <c r="B1" s="349"/>
      <c r="C1" s="349"/>
      <c r="D1" s="349"/>
      <c r="E1" s="349"/>
      <c r="F1" s="349"/>
      <c r="G1" s="349"/>
      <c r="H1" s="349"/>
      <c r="I1" s="349"/>
      <c r="J1" s="349"/>
      <c r="K1" s="350"/>
    </row>
    <row r="3" spans="1:11" x14ac:dyDescent="0.2">
      <c r="A3" s="13" t="s">
        <v>13</v>
      </c>
      <c r="B3" s="13" t="s">
        <v>181</v>
      </c>
      <c r="C3" s="13" t="s">
        <v>126</v>
      </c>
    </row>
    <row r="4" spans="1:11" x14ac:dyDescent="0.2">
      <c r="A4" s="15" t="s">
        <v>62</v>
      </c>
      <c r="B4" s="79">
        <v>15000</v>
      </c>
      <c r="C4" s="79">
        <f>B4</f>
        <v>15000</v>
      </c>
    </row>
    <row r="5" spans="1:11" x14ac:dyDescent="0.2">
      <c r="A5" s="15" t="s">
        <v>16</v>
      </c>
      <c r="B5" s="15">
        <f>VLOOKUP($B$3,'Data for Bill Impacts'!$A$3:$Y$39,5,0)</f>
        <v>0</v>
      </c>
      <c r="C5" s="15">
        <f>B5</f>
        <v>0</v>
      </c>
    </row>
    <row r="6" spans="1:11" x14ac:dyDescent="0.2">
      <c r="A6" s="15" t="s">
        <v>20</v>
      </c>
      <c r="B6" s="15">
        <f>VLOOKUP($B$3,'Data for Bill Impacts'!$A$3:$Y$39,2,0)</f>
        <v>1.0667</v>
      </c>
      <c r="C6" s="15">
        <f>VLOOKUP($C$3,'Data for Bill Impacts'!$A$3:$Y$39,2,0)</f>
        <v>1.0564</v>
      </c>
    </row>
    <row r="7" spans="1:11" x14ac:dyDescent="0.2">
      <c r="A7" s="15" t="s">
        <v>15</v>
      </c>
      <c r="B7" s="15">
        <f>VLOOKUP($B$3,'Data for Bill Impacts'!$A$3:$Y$39,4,0)</f>
        <v>750</v>
      </c>
      <c r="C7" s="15">
        <f>B7</f>
        <v>750</v>
      </c>
    </row>
    <row r="8" spans="1:11" x14ac:dyDescent="0.2">
      <c r="A8" s="15" t="s">
        <v>82</v>
      </c>
      <c r="B8" s="15">
        <f>B4*B6</f>
        <v>16000.5</v>
      </c>
      <c r="C8" s="15">
        <f>C4*C6</f>
        <v>15846</v>
      </c>
    </row>
    <row r="9" spans="1:11" x14ac:dyDescent="0.2">
      <c r="A9" s="15" t="s">
        <v>21</v>
      </c>
      <c r="B9" s="16" t="str">
        <f>VLOOKUP($B$3,'Data for Bill Impacts'!$A$3:$Y$39,6,0)</f>
        <v>kWh</v>
      </c>
      <c r="C9" s="16" t="str">
        <f>VLOOKUP($C$3,'Data for Bill Impacts'!$A$3:$Y$39,6,0)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0.10299999999999999</v>
      </c>
      <c r="D12" s="104">
        <f>B12*C12</f>
        <v>77.25</v>
      </c>
      <c r="E12" s="102">
        <f>B12</f>
        <v>750</v>
      </c>
      <c r="F12" s="103">
        <f>C12</f>
        <v>0.10299999999999999</v>
      </c>
      <c r="G12" s="104">
        <f>E12*F12</f>
        <v>77.25</v>
      </c>
      <c r="H12" s="104">
        <f>G12-D12</f>
        <v>0</v>
      </c>
      <c r="I12" s="105">
        <f>IF(ISERROR(H12/D12),0,(H12/D12))</f>
        <v>0</v>
      </c>
      <c r="J12" s="105">
        <f>G12/$G$45</f>
        <v>2.8145919651187346E-2</v>
      </c>
      <c r="K12" s="106"/>
    </row>
    <row r="13" spans="1:11" x14ac:dyDescent="0.2">
      <c r="A13" s="107" t="s">
        <v>32</v>
      </c>
      <c r="B13" s="73">
        <f>IF(B4&gt;B7,(B4)-B7,0)</f>
        <v>14250</v>
      </c>
      <c r="C13" s="21">
        <v>0.121</v>
      </c>
      <c r="D13" s="22">
        <f>B13*C13</f>
        <v>1724.25</v>
      </c>
      <c r="E13" s="73">
        <f t="shared" ref="E13" si="0">B13</f>
        <v>14250</v>
      </c>
      <c r="F13" s="21">
        <f>C13</f>
        <v>0.121</v>
      </c>
      <c r="G13" s="22">
        <f>E13*F13</f>
        <v>1724.25</v>
      </c>
      <c r="H13" s="22">
        <f t="shared" ref="H13:H45" si="1">G13-D13</f>
        <v>0</v>
      </c>
      <c r="I13" s="23">
        <f t="shared" ref="I13:I45" si="2">IF(ISERROR(H13/D13),0,(H13/D13))</f>
        <v>0</v>
      </c>
      <c r="J13" s="23">
        <f>G13/$G$45</f>
        <v>0.62822785706873507</v>
      </c>
      <c r="K13" s="108"/>
    </row>
    <row r="14" spans="1:11" s="1" customFormat="1" x14ac:dyDescent="0.2">
      <c r="A14" s="46" t="s">
        <v>33</v>
      </c>
      <c r="B14" s="24"/>
      <c r="C14" s="25"/>
      <c r="D14" s="25">
        <f>SUM(D12:D13)</f>
        <v>1801.5</v>
      </c>
      <c r="E14" s="76"/>
      <c r="F14" s="25"/>
      <c r="G14" s="25">
        <f>SUM(G12:G13)</f>
        <v>1801.5</v>
      </c>
      <c r="H14" s="25">
        <f t="shared" si="1"/>
        <v>0</v>
      </c>
      <c r="I14" s="27">
        <f t="shared" si="2"/>
        <v>0</v>
      </c>
      <c r="J14" s="27">
        <f>G14/$G$45</f>
        <v>0.65637377671992236</v>
      </c>
      <c r="K14" s="108"/>
    </row>
    <row r="15" spans="1:11" s="1" customFormat="1" x14ac:dyDescent="0.2">
      <c r="A15" s="109" t="s">
        <v>34</v>
      </c>
      <c r="B15" s="75">
        <f>B4*0.65</f>
        <v>9750</v>
      </c>
      <c r="C15" s="28">
        <v>8.6999999999999994E-2</v>
      </c>
      <c r="D15" s="22">
        <f>B15*C15</f>
        <v>848.24999999999989</v>
      </c>
      <c r="E15" s="73">
        <f t="shared" ref="E15:F17" si="3">B15</f>
        <v>9750</v>
      </c>
      <c r="F15" s="28">
        <f t="shared" si="3"/>
        <v>8.6999999999999994E-2</v>
      </c>
      <c r="G15" s="22">
        <f>E15*F15</f>
        <v>848.24999999999989</v>
      </c>
      <c r="H15" s="22">
        <f t="shared" si="1"/>
        <v>0</v>
      </c>
      <c r="I15" s="23">
        <f t="shared" si="2"/>
        <v>0</v>
      </c>
      <c r="J15" s="23"/>
      <c r="K15" s="108">
        <f t="shared" ref="K15:K25" si="4">G15/$G$50</f>
        <v>0.32658322262814193</v>
      </c>
    </row>
    <row r="16" spans="1:11" s="1" customFormat="1" x14ac:dyDescent="0.2">
      <c r="A16" s="109" t="s">
        <v>35</v>
      </c>
      <c r="B16" s="75">
        <f>B4*0.17</f>
        <v>2550</v>
      </c>
      <c r="C16" s="28">
        <v>0.13200000000000001</v>
      </c>
      <c r="D16" s="22">
        <f>B16*C16</f>
        <v>336.6</v>
      </c>
      <c r="E16" s="73">
        <f t="shared" si="3"/>
        <v>2550</v>
      </c>
      <c r="F16" s="28">
        <f t="shared" si="3"/>
        <v>0.13200000000000001</v>
      </c>
      <c r="G16" s="22">
        <f>E16*F16</f>
        <v>336.6</v>
      </c>
      <c r="H16" s="22">
        <f t="shared" si="1"/>
        <v>0</v>
      </c>
      <c r="I16" s="23">
        <f t="shared" si="2"/>
        <v>0</v>
      </c>
      <c r="J16" s="23"/>
      <c r="K16" s="108">
        <f t="shared" si="4"/>
        <v>0.12959376685721496</v>
      </c>
    </row>
    <row r="17" spans="1:11" s="1" customFormat="1" x14ac:dyDescent="0.2">
      <c r="A17" s="109" t="s">
        <v>36</v>
      </c>
      <c r="B17" s="75">
        <f>B4*0.18</f>
        <v>2700</v>
      </c>
      <c r="C17" s="28">
        <v>0.18</v>
      </c>
      <c r="D17" s="22">
        <f>B17*C17</f>
        <v>486</v>
      </c>
      <c r="E17" s="73">
        <f t="shared" si="3"/>
        <v>2700</v>
      </c>
      <c r="F17" s="28">
        <f t="shared" si="3"/>
        <v>0.18</v>
      </c>
      <c r="G17" s="22">
        <f>E17*F17</f>
        <v>486</v>
      </c>
      <c r="H17" s="22">
        <f t="shared" si="1"/>
        <v>0</v>
      </c>
      <c r="I17" s="23">
        <f t="shared" si="2"/>
        <v>0</v>
      </c>
      <c r="J17" s="23"/>
      <c r="K17" s="108">
        <f t="shared" si="4"/>
        <v>0.18711399492752961</v>
      </c>
    </row>
    <row r="18" spans="1:11" s="1" customFormat="1" x14ac:dyDescent="0.2">
      <c r="A18" s="61" t="s">
        <v>37</v>
      </c>
      <c r="B18" s="29"/>
      <c r="C18" s="30"/>
      <c r="D18" s="30">
        <f>SUM(D15:D17)</f>
        <v>1670.85</v>
      </c>
      <c r="E18" s="77"/>
      <c r="F18" s="30"/>
      <c r="G18" s="30">
        <f>SUM(G15:G17)</f>
        <v>1670.85</v>
      </c>
      <c r="H18" s="31">
        <f t="shared" si="1"/>
        <v>0</v>
      </c>
      <c r="I18" s="32">
        <f t="shared" si="2"/>
        <v>0</v>
      </c>
      <c r="J18" s="33">
        <f>G18/$G$45</f>
        <v>0.60877164853315691</v>
      </c>
      <c r="K18" s="62">
        <f t="shared" si="4"/>
        <v>0.64329098441288657</v>
      </c>
    </row>
    <row r="19" spans="1:11" x14ac:dyDescent="0.2">
      <c r="A19" s="107" t="s">
        <v>38</v>
      </c>
      <c r="B19" s="73">
        <v>1</v>
      </c>
      <c r="C19" s="122">
        <f>VLOOKUP($C$3,'Data for Bill Impacts'!$A$3:$Y$39,7,0)</f>
        <v>49.98</v>
      </c>
      <c r="D19" s="22">
        <f>B19*C19</f>
        <v>49.98</v>
      </c>
      <c r="E19" s="73">
        <f t="shared" ref="E19:E40" si="5">B19</f>
        <v>1</v>
      </c>
      <c r="F19" s="78">
        <f>VLOOKUP($B$3,'Data for Bill Impacts'!$A$3:$Y$39,17,0)</f>
        <v>40.82</v>
      </c>
      <c r="G19" s="22">
        <f>E19*F19</f>
        <v>40.82</v>
      </c>
      <c r="H19" s="22">
        <f t="shared" si="1"/>
        <v>-9.1599999999999966</v>
      </c>
      <c r="I19" s="23">
        <f t="shared" si="2"/>
        <v>-0.18327330932372943</v>
      </c>
      <c r="J19" s="23">
        <f>G19/$G$45</f>
        <v>1.4872704727009288E-2</v>
      </c>
      <c r="K19" s="108">
        <f t="shared" si="4"/>
        <v>1.5716035541032427E-2</v>
      </c>
    </row>
    <row r="20" spans="1:11" x14ac:dyDescent="0.2">
      <c r="A20" s="107" t="s">
        <v>188</v>
      </c>
      <c r="B20" s="73">
        <v>1</v>
      </c>
      <c r="C20" s="122">
        <f>'Data for Bill Impacts'!K35</f>
        <v>-0.74</v>
      </c>
      <c r="D20" s="22">
        <f>B20*C20</f>
        <v>-0.74</v>
      </c>
      <c r="E20" s="73">
        <f t="shared" si="5"/>
        <v>1</v>
      </c>
      <c r="F20" s="122">
        <v>0</v>
      </c>
      <c r="G20" s="22">
        <f t="shared" ref="G20" si="6">E20*F20</f>
        <v>0</v>
      </c>
      <c r="H20" s="22">
        <f t="shared" si="1"/>
        <v>0.74</v>
      </c>
      <c r="I20" s="23">
        <f t="shared" si="2"/>
        <v>-1</v>
      </c>
      <c r="J20" s="23">
        <f>G20/$G$45</f>
        <v>0</v>
      </c>
      <c r="K20" s="108">
        <f t="shared" si="4"/>
        <v>0</v>
      </c>
    </row>
    <row r="21" spans="1:11" x14ac:dyDescent="0.2">
      <c r="A21" s="107" t="s">
        <v>39</v>
      </c>
      <c r="B21" s="73">
        <f>C4</f>
        <v>15000</v>
      </c>
      <c r="C21" s="78">
        <f>VLOOKUP($C$3,'Data for Bill Impacts'!$A$3:$Y$39,10,0)</f>
        <v>1.5599999999999999E-2</v>
      </c>
      <c r="D21" s="22">
        <f>B21*C21</f>
        <v>234</v>
      </c>
      <c r="E21" s="73">
        <f>B4</f>
        <v>15000</v>
      </c>
      <c r="F21" s="78">
        <f>VLOOKUP($B$3,'Data for Bill Impacts'!$A$3:$Y$39,19,0)</f>
        <v>1.8700000000000001E-2</v>
      </c>
      <c r="G21" s="22">
        <f>E21*F21</f>
        <v>280.5</v>
      </c>
      <c r="H21" s="22">
        <f t="shared" si="1"/>
        <v>46.5</v>
      </c>
      <c r="I21" s="23">
        <f t="shared" si="2"/>
        <v>0.19871794871794871</v>
      </c>
      <c r="J21" s="23">
        <f>G21/$G$45</f>
        <v>0.10219974708295211</v>
      </c>
      <c r="K21" s="108">
        <f t="shared" si="4"/>
        <v>0.1079948057143458</v>
      </c>
    </row>
    <row r="22" spans="1:11" x14ac:dyDescent="0.2">
      <c r="A22" s="107" t="s">
        <v>189</v>
      </c>
      <c r="B22" s="73">
        <f>C4</f>
        <v>15000</v>
      </c>
      <c r="C22" s="78">
        <f>'Data for Bill Impacts'!H35</f>
        <v>8.0000000000000004E-4</v>
      </c>
      <c r="D22" s="22">
        <f>B22*C22</f>
        <v>12</v>
      </c>
      <c r="E22" s="73">
        <f>B4</f>
        <v>15000</v>
      </c>
      <c r="F22" s="126">
        <v>0</v>
      </c>
      <c r="G22" s="22">
        <f>E22*F22</f>
        <v>0</v>
      </c>
      <c r="H22" s="22">
        <f t="shared" ref="H22" si="7">G22-D22</f>
        <v>-12</v>
      </c>
      <c r="I22" s="23">
        <f t="shared" ref="I22" si="8">IF(ISERROR(H22/D22),0,(H22/D22))</f>
        <v>-1</v>
      </c>
      <c r="J22" s="23">
        <f>G22/$G$45</f>
        <v>0</v>
      </c>
      <c r="K22" s="108">
        <f t="shared" si="4"/>
        <v>0</v>
      </c>
    </row>
    <row r="23" spans="1:11" x14ac:dyDescent="0.2">
      <c r="A23" s="107" t="s">
        <v>190</v>
      </c>
      <c r="B23" s="73">
        <f>IF($B$9="kWh",$B$4,$B$5)</f>
        <v>15000</v>
      </c>
      <c r="C23" s="78">
        <f>'Data for Bill Impacts'!L35</f>
        <v>-2.9999999999999997E-4</v>
      </c>
      <c r="D23" s="22">
        <f>B23*C23</f>
        <v>-4.5</v>
      </c>
      <c r="E23" s="73">
        <f t="shared" si="5"/>
        <v>15000</v>
      </c>
      <c r="F23" s="126">
        <v>0</v>
      </c>
      <c r="G23" s="22">
        <f>E23*F23</f>
        <v>0</v>
      </c>
      <c r="H23" s="22">
        <f t="shared" si="1"/>
        <v>4.5</v>
      </c>
      <c r="I23" s="23">
        <f>IF(ISERROR(H23/D23),0,(H23/D23))</f>
        <v>-1</v>
      </c>
      <c r="J23" s="23">
        <f t="shared" ref="J23" si="9">G23/$G$45</f>
        <v>0</v>
      </c>
      <c r="K23" s="108">
        <f t="shared" si="4"/>
        <v>0</v>
      </c>
    </row>
    <row r="24" spans="1:11" s="1" customFormat="1" x14ac:dyDescent="0.2">
      <c r="A24" s="110" t="s">
        <v>72</v>
      </c>
      <c r="B24" s="74"/>
      <c r="C24" s="35"/>
      <c r="D24" s="35">
        <f>SUM(D19:D23)</f>
        <v>290.74</v>
      </c>
      <c r="E24" s="73"/>
      <c r="F24" s="35"/>
      <c r="G24" s="35">
        <f>SUM(G19:G23)</f>
        <v>321.32</v>
      </c>
      <c r="H24" s="35">
        <f t="shared" si="1"/>
        <v>30.579999999999984</v>
      </c>
      <c r="I24" s="36">
        <f t="shared" si="2"/>
        <v>0.10517988580862621</v>
      </c>
      <c r="J24" s="36">
        <f>G24/$G$45</f>
        <v>0.1170724518099614</v>
      </c>
      <c r="K24" s="111">
        <f t="shared" si="4"/>
        <v>0.12371084125537822</v>
      </c>
    </row>
    <row r="25" spans="1:11" s="1" customFormat="1" x14ac:dyDescent="0.2">
      <c r="A25" s="119" t="s">
        <v>73</v>
      </c>
      <c r="B25" s="120">
        <v>1</v>
      </c>
      <c r="C25" s="78">
        <f>VLOOKUP($C$3,'Data for Bill Impacts'!$A$3:$Y$39,9,0)</f>
        <v>0.79</v>
      </c>
      <c r="D25" s="22">
        <f>B25*C25</f>
        <v>0.79</v>
      </c>
      <c r="E25" s="73">
        <v>1</v>
      </c>
      <c r="F25" s="78">
        <f>VLOOKUP($B$3,'Data for Bill Impacts'!$A$3:$Y$39,18,0)</f>
        <v>0.79</v>
      </c>
      <c r="G25" s="22">
        <f>E25*F25</f>
        <v>0.79</v>
      </c>
      <c r="H25" s="22">
        <f t="shared" si="1"/>
        <v>0</v>
      </c>
      <c r="I25" s="23">
        <f>IF(ISERROR(H25/D25),0,(H25/D25))</f>
        <v>0</v>
      </c>
      <c r="J25" s="23">
        <f>G25/$G$45</f>
        <v>2.8783529481473145E-4</v>
      </c>
      <c r="K25" s="108">
        <f t="shared" si="4"/>
        <v>3.0415649381223951E-4</v>
      </c>
    </row>
    <row r="26" spans="1:11" s="1" customFormat="1" x14ac:dyDescent="0.2">
      <c r="A26" s="119" t="s">
        <v>75</v>
      </c>
      <c r="B26" s="120">
        <f>C8-C4</f>
        <v>846</v>
      </c>
      <c r="C26" s="121">
        <f>IF(C4&gt;C7,C13,C12)</f>
        <v>0.121</v>
      </c>
      <c r="D26" s="22">
        <f>B26*C26</f>
        <v>102.366</v>
      </c>
      <c r="E26" s="73">
        <f>B8-B4</f>
        <v>1000.5</v>
      </c>
      <c r="F26" s="121">
        <f>IF(B4&gt;B7,C13,C12)</f>
        <v>0.121</v>
      </c>
      <c r="G26" s="22">
        <f>E26*F26</f>
        <v>121.06049999999999</v>
      </c>
      <c r="H26" s="22">
        <f t="shared" si="1"/>
        <v>18.694499999999991</v>
      </c>
      <c r="I26" s="23">
        <f>IF(ISERROR(H26/D26),0,(H26/D26))</f>
        <v>0.18262411347517721</v>
      </c>
      <c r="J26" s="23">
        <f t="shared" ref="J26:J45" si="10">G26/$G$45</f>
        <v>4.4108208491036444E-2</v>
      </c>
      <c r="K26" s="108">
        <f t="shared" ref="K26:K40" si="11">G26/$G$50</f>
        <v>4.6609287619185591E-2</v>
      </c>
    </row>
    <row r="27" spans="1:11" s="1" customFormat="1" x14ac:dyDescent="0.2">
      <c r="A27" s="119" t="s">
        <v>74</v>
      </c>
      <c r="B27" s="120">
        <f>C8-C4</f>
        <v>846</v>
      </c>
      <c r="C27" s="121">
        <f>0.65*C15+0.17*C16+0.18*C17</f>
        <v>0.11139</v>
      </c>
      <c r="D27" s="22">
        <f>B27*C27</f>
        <v>94.235939999999999</v>
      </c>
      <c r="E27" s="73">
        <f>B8-B4</f>
        <v>1000.5</v>
      </c>
      <c r="F27" s="121">
        <f>C27</f>
        <v>0.11139</v>
      </c>
      <c r="G27" s="22">
        <f>E27*F27</f>
        <v>111.445695</v>
      </c>
      <c r="H27" s="22">
        <f t="shared" si="1"/>
        <v>17.209755000000001</v>
      </c>
      <c r="I27" s="23">
        <f>IF(ISERROR(H27/D27),0,(H27/D27))</f>
        <v>0.18262411347517732</v>
      </c>
      <c r="J27" s="23">
        <f t="shared" si="10"/>
        <v>4.0605068957161573E-2</v>
      </c>
      <c r="K27" s="108">
        <f t="shared" si="11"/>
        <v>4.290750866033953E-2</v>
      </c>
    </row>
    <row r="28" spans="1:11" s="1" customFormat="1" x14ac:dyDescent="0.2">
      <c r="A28" s="110" t="s">
        <v>78</v>
      </c>
      <c r="B28" s="74"/>
      <c r="C28" s="35"/>
      <c r="D28" s="35">
        <f>SUM(D24,D25:D26)</f>
        <v>393.89600000000002</v>
      </c>
      <c r="E28" s="73"/>
      <c r="F28" s="35"/>
      <c r="G28" s="35">
        <f>SUM(G24,G25:G26)</f>
        <v>443.1705</v>
      </c>
      <c r="H28" s="35">
        <f t="shared" si="1"/>
        <v>49.274499999999989</v>
      </c>
      <c r="I28" s="36">
        <f>IF(ISERROR(H28/D28),0,(H28/D28))</f>
        <v>0.12509520279464628</v>
      </c>
      <c r="J28" s="36">
        <f t="shared" si="10"/>
        <v>0.16146849559581258</v>
      </c>
      <c r="K28" s="111">
        <f t="shared" si="11"/>
        <v>0.17062428536837607</v>
      </c>
    </row>
    <row r="29" spans="1:11" s="1" customFormat="1" x14ac:dyDescent="0.2">
      <c r="A29" s="110" t="s">
        <v>77</v>
      </c>
      <c r="B29" s="74"/>
      <c r="C29" s="35"/>
      <c r="D29" s="35">
        <f>SUM(D24,D25,D27)</f>
        <v>385.76594</v>
      </c>
      <c r="E29" s="73"/>
      <c r="F29" s="35"/>
      <c r="G29" s="35">
        <f>SUM(G24,G25,G27)</f>
        <v>433.55569500000001</v>
      </c>
      <c r="H29" s="35">
        <f t="shared" si="1"/>
        <v>47.789755000000014</v>
      </c>
      <c r="I29" s="36">
        <f>IF(ISERROR(H29/D29),0,(H29/D29))</f>
        <v>0.12388277461716815</v>
      </c>
      <c r="J29" s="36">
        <f t="shared" si="10"/>
        <v>0.15796535606193771</v>
      </c>
      <c r="K29" s="111">
        <f t="shared" si="11"/>
        <v>0.16692250640952999</v>
      </c>
    </row>
    <row r="30" spans="1:11" x14ac:dyDescent="0.2">
      <c r="A30" s="107" t="s">
        <v>40</v>
      </c>
      <c r="B30" s="73">
        <f>$C$8</f>
        <v>15846</v>
      </c>
      <c r="C30" s="78">
        <f>VLOOKUP($C$3,'Data for Bill Impacts'!$A$3:$Y$39,15,0)</f>
        <v>6.3E-3</v>
      </c>
      <c r="D30" s="22">
        <f>B30*C30</f>
        <v>99.829800000000006</v>
      </c>
      <c r="E30" s="73">
        <f>$B$8</f>
        <v>16000.5</v>
      </c>
      <c r="F30" s="78">
        <f>VLOOKUP($B$3,'Data for Bill Impacts'!$A$3:$Y$39,24,0)</f>
        <v>5.3E-3</v>
      </c>
      <c r="G30" s="22">
        <f>E30*F30</f>
        <v>84.80265</v>
      </c>
      <c r="H30" s="22">
        <f t="shared" si="1"/>
        <v>-15.027150000000006</v>
      </c>
      <c r="I30" s="23">
        <f t="shared" si="2"/>
        <v>-0.15052769814223815</v>
      </c>
      <c r="J30" s="23">
        <f t="shared" si="10"/>
        <v>3.089771615673479E-2</v>
      </c>
      <c r="K30" s="108">
        <f t="shared" si="11"/>
        <v>3.2649717329096849E-2</v>
      </c>
    </row>
    <row r="31" spans="1:11" x14ac:dyDescent="0.2">
      <c r="A31" s="107" t="s">
        <v>41</v>
      </c>
      <c r="B31" s="73">
        <f>$C$8</f>
        <v>15846</v>
      </c>
      <c r="C31" s="78">
        <f>VLOOKUP($C$3,'Data for Bill Impacts'!$A$3:$Y$39,16,0)</f>
        <v>3.0999999999999999E-3</v>
      </c>
      <c r="D31" s="22">
        <f>B31*C31</f>
        <v>49.122599999999998</v>
      </c>
      <c r="E31" s="73">
        <f>$B$8</f>
        <v>16000.5</v>
      </c>
      <c r="F31" s="78">
        <f>VLOOKUP($B$3,'Data for Bill Impacts'!$A$3:$Y$39,25,0)</f>
        <v>4.4000000000000003E-3</v>
      </c>
      <c r="G31" s="22">
        <f>E31*F31</f>
        <v>70.402200000000008</v>
      </c>
      <c r="H31" s="22">
        <f t="shared" si="1"/>
        <v>21.279600000000009</v>
      </c>
      <c r="I31" s="23">
        <f t="shared" si="2"/>
        <v>0.43319368274480607</v>
      </c>
      <c r="J31" s="23">
        <f t="shared" si="10"/>
        <v>2.5650934167855303E-2</v>
      </c>
      <c r="K31" s="108">
        <f t="shared" si="11"/>
        <v>2.7105425707174748E-2</v>
      </c>
    </row>
    <row r="32" spans="1:11" s="1" customFormat="1" x14ac:dyDescent="0.2">
      <c r="A32" s="110" t="s">
        <v>76</v>
      </c>
      <c r="B32" s="74"/>
      <c r="C32" s="35"/>
      <c r="D32" s="35">
        <f>SUM(D30:D31)</f>
        <v>148.95240000000001</v>
      </c>
      <c r="E32" s="73"/>
      <c r="F32" s="35"/>
      <c r="G32" s="35">
        <f>SUM(G30:G31)</f>
        <v>155.20485000000002</v>
      </c>
      <c r="H32" s="35">
        <f t="shared" si="1"/>
        <v>6.2524500000000103</v>
      </c>
      <c r="I32" s="36">
        <f t="shared" si="2"/>
        <v>4.1976161511999871E-2</v>
      </c>
      <c r="J32" s="36">
        <f t="shared" si="10"/>
        <v>5.6548650324590097E-2</v>
      </c>
      <c r="K32" s="111">
        <f t="shared" si="11"/>
        <v>5.9755143036271607E-2</v>
      </c>
    </row>
    <row r="33" spans="1:11" s="1" customFormat="1" x14ac:dyDescent="0.2">
      <c r="A33" s="110" t="s">
        <v>95</v>
      </c>
      <c r="B33" s="74"/>
      <c r="C33" s="35"/>
      <c r="D33" s="35">
        <f>D28+D32</f>
        <v>542.84840000000008</v>
      </c>
      <c r="E33" s="73"/>
      <c r="F33" s="35"/>
      <c r="G33" s="35">
        <f>G28+G32</f>
        <v>598.37535000000003</v>
      </c>
      <c r="H33" s="35">
        <f t="shared" si="1"/>
        <v>55.526949999999943</v>
      </c>
      <c r="I33" s="36">
        <f t="shared" si="2"/>
        <v>0.10228813421942468</v>
      </c>
      <c r="J33" s="36">
        <f t="shared" si="10"/>
        <v>0.21801714592040269</v>
      </c>
      <c r="K33" s="111">
        <f t="shared" si="11"/>
        <v>0.23037942840464767</v>
      </c>
    </row>
    <row r="34" spans="1:11" s="1" customFormat="1" x14ac:dyDescent="0.2">
      <c r="A34" s="110" t="s">
        <v>96</v>
      </c>
      <c r="B34" s="74"/>
      <c r="C34" s="35"/>
      <c r="D34" s="35">
        <f>D29+D32</f>
        <v>534.71834000000001</v>
      </c>
      <c r="E34" s="73"/>
      <c r="F34" s="35"/>
      <c r="G34" s="35">
        <f>G29+G32</f>
        <v>588.76054500000009</v>
      </c>
      <c r="H34" s="35">
        <f t="shared" si="1"/>
        <v>54.042205000000081</v>
      </c>
      <c r="I34" s="36">
        <f t="shared" si="2"/>
        <v>0.10106667558849783</v>
      </c>
      <c r="J34" s="36">
        <f t="shared" si="10"/>
        <v>0.21451400638652782</v>
      </c>
      <c r="K34" s="111">
        <f t="shared" si="11"/>
        <v>0.22667764944580163</v>
      </c>
    </row>
    <row r="35" spans="1:11" x14ac:dyDescent="0.2">
      <c r="A35" s="107" t="s">
        <v>42</v>
      </c>
      <c r="B35" s="73">
        <f>$C$8</f>
        <v>15846</v>
      </c>
      <c r="C35" s="34">
        <v>3.5999999999999999E-3</v>
      </c>
      <c r="D35" s="22">
        <f>B35*C35</f>
        <v>57.0456</v>
      </c>
      <c r="E35" s="73">
        <f>$B$8</f>
        <v>16000.5</v>
      </c>
      <c r="F35" s="34">
        <v>3.5999999999999999E-3</v>
      </c>
      <c r="G35" s="22">
        <f>E35*F35</f>
        <v>57.601799999999997</v>
      </c>
      <c r="H35" s="22">
        <f t="shared" si="1"/>
        <v>0.55619999999999692</v>
      </c>
      <c r="I35" s="23">
        <f t="shared" si="2"/>
        <v>9.7500946611131598E-3</v>
      </c>
      <c r="J35" s="23">
        <f t="shared" si="10"/>
        <v>2.0987127955517972E-2</v>
      </c>
      <c r="K35" s="108">
        <f t="shared" si="11"/>
        <v>2.2177166487688426E-2</v>
      </c>
    </row>
    <row r="36" spans="1:11" x14ac:dyDescent="0.2">
      <c r="A36" s="107" t="s">
        <v>43</v>
      </c>
      <c r="B36" s="73">
        <f>$C$8</f>
        <v>15846</v>
      </c>
      <c r="C36" s="34">
        <v>2.0999999999999999E-3</v>
      </c>
      <c r="D36" s="22">
        <f>B36*C36</f>
        <v>33.276599999999995</v>
      </c>
      <c r="E36" s="73">
        <f>$B$8</f>
        <v>16000.5</v>
      </c>
      <c r="F36" s="34">
        <v>2.0999999999999999E-3</v>
      </c>
      <c r="G36" s="22">
        <f>E36*F36</f>
        <v>33.601050000000001</v>
      </c>
      <c r="H36" s="22">
        <f>G36-D36</f>
        <v>0.3244500000000059</v>
      </c>
      <c r="I36" s="23">
        <f t="shared" si="2"/>
        <v>9.750094661113394E-3</v>
      </c>
      <c r="J36" s="23">
        <f t="shared" si="10"/>
        <v>1.2242491307385483E-2</v>
      </c>
      <c r="K36" s="108">
        <f t="shared" si="11"/>
        <v>1.2936680451151582E-2</v>
      </c>
    </row>
    <row r="37" spans="1:11" x14ac:dyDescent="0.2">
      <c r="A37" s="107" t="s">
        <v>100</v>
      </c>
      <c r="B37" s="73">
        <f>$C$8</f>
        <v>15846</v>
      </c>
      <c r="C37" s="34">
        <v>1.1000000000000001E-3</v>
      </c>
      <c r="D37" s="22">
        <f>B37*C37</f>
        <v>17.430600000000002</v>
      </c>
      <c r="E37" s="73">
        <f>$B$8</f>
        <v>16000.5</v>
      </c>
      <c r="F37" s="34">
        <v>1.1000000000000001E-3</v>
      </c>
      <c r="G37" s="22">
        <f>E37*F37</f>
        <v>17.600550000000002</v>
      </c>
      <c r="H37" s="22">
        <f>G37-D37</f>
        <v>0.16995000000000005</v>
      </c>
      <c r="I37" s="23">
        <f t="shared" si="2"/>
        <v>9.7500946611132171E-3</v>
      </c>
      <c r="J37" s="23">
        <f t="shared" si="10"/>
        <v>6.4127335419638257E-3</v>
      </c>
      <c r="K37" s="108">
        <f t="shared" si="11"/>
        <v>6.7763564267936871E-3</v>
      </c>
    </row>
    <row r="38" spans="1:11" x14ac:dyDescent="0.2">
      <c r="A38" s="107" t="s">
        <v>44</v>
      </c>
      <c r="B38" s="73">
        <v>1</v>
      </c>
      <c r="C38" s="22">
        <v>0.25</v>
      </c>
      <c r="D38" s="22">
        <f>B38*C38</f>
        <v>0.25</v>
      </c>
      <c r="E38" s="73">
        <f t="shared" si="5"/>
        <v>1</v>
      </c>
      <c r="F38" s="22">
        <f>C38</f>
        <v>0.25</v>
      </c>
      <c r="G38" s="22">
        <f>E38*F38</f>
        <v>0.25</v>
      </c>
      <c r="H38" s="22">
        <f t="shared" si="1"/>
        <v>0</v>
      </c>
      <c r="I38" s="23">
        <f t="shared" si="2"/>
        <v>0</v>
      </c>
      <c r="J38" s="23">
        <f t="shared" si="10"/>
        <v>9.108711861225678E-5</v>
      </c>
      <c r="K38" s="108">
        <f t="shared" si="11"/>
        <v>9.6252055003873268E-5</v>
      </c>
    </row>
    <row r="39" spans="1:11" s="1" customFormat="1" x14ac:dyDescent="0.2">
      <c r="A39" s="110" t="s">
        <v>45</v>
      </c>
      <c r="B39" s="74"/>
      <c r="C39" s="35"/>
      <c r="D39" s="35">
        <f>SUM(D35:D38)</f>
        <v>108.00279999999999</v>
      </c>
      <c r="E39" s="73"/>
      <c r="F39" s="35"/>
      <c r="G39" s="35">
        <f>SUM(G35:G38)</f>
        <v>109.0534</v>
      </c>
      <c r="H39" s="35">
        <f t="shared" si="1"/>
        <v>1.0506000000000029</v>
      </c>
      <c r="I39" s="36">
        <f t="shared" si="2"/>
        <v>9.7275255826701056E-3</v>
      </c>
      <c r="J39" s="36">
        <f t="shared" si="10"/>
        <v>3.9733439923479538E-2</v>
      </c>
      <c r="K39" s="111">
        <f t="shared" si="11"/>
        <v>4.1986455420637565E-2</v>
      </c>
    </row>
    <row r="40" spans="1:11" s="1" customFormat="1" ht="13.5" thickBot="1" x14ac:dyDescent="0.25">
      <c r="A40" s="112" t="s">
        <v>46</v>
      </c>
      <c r="B40" s="113">
        <f>B4</f>
        <v>15000</v>
      </c>
      <c r="C40" s="114">
        <v>7.0000000000000001E-3</v>
      </c>
      <c r="D40" s="115">
        <f>B40*C40</f>
        <v>105</v>
      </c>
      <c r="E40" s="116">
        <f t="shared" si="5"/>
        <v>15000</v>
      </c>
      <c r="F40" s="114">
        <f>C40</f>
        <v>7.0000000000000001E-3</v>
      </c>
      <c r="G40" s="115">
        <f>E40*F40</f>
        <v>105</v>
      </c>
      <c r="H40" s="115">
        <f t="shared" si="1"/>
        <v>0</v>
      </c>
      <c r="I40" s="117">
        <f t="shared" si="2"/>
        <v>0</v>
      </c>
      <c r="J40" s="117">
        <f t="shared" si="10"/>
        <v>3.825658981714785E-2</v>
      </c>
      <c r="K40" s="118">
        <f t="shared" si="11"/>
        <v>4.0425863101626769E-2</v>
      </c>
    </row>
    <row r="41" spans="1:11" s="1" customFormat="1" x14ac:dyDescent="0.2">
      <c r="A41" s="37" t="s">
        <v>137</v>
      </c>
      <c r="B41" s="38"/>
      <c r="C41" s="39"/>
      <c r="D41" s="39">
        <f>SUM(D14,D24,D25,D26,D32,D39,D40)</f>
        <v>2557.3512000000001</v>
      </c>
      <c r="E41" s="38"/>
      <c r="F41" s="39"/>
      <c r="G41" s="39">
        <f>SUM(G14,G24,G25,G26,G32,G39,G40)</f>
        <v>2613.92875</v>
      </c>
      <c r="H41" s="39">
        <f t="shared" si="1"/>
        <v>56.577549999999974</v>
      </c>
      <c r="I41" s="40">
        <f>IF(ISERROR(H41/D41),0,(H41/D41))</f>
        <v>2.2123496373904362E-2</v>
      </c>
      <c r="J41" s="40">
        <f t="shared" si="10"/>
        <v>0.95238095238095244</v>
      </c>
      <c r="K41" s="41"/>
    </row>
    <row r="42" spans="1:11" x14ac:dyDescent="0.2">
      <c r="A42" s="150" t="s">
        <v>138</v>
      </c>
      <c r="B42" s="43"/>
      <c r="C42" s="26">
        <v>0.13</v>
      </c>
      <c r="D42" s="26">
        <f>D41*C42</f>
        <v>332.45565600000003</v>
      </c>
      <c r="E42" s="26"/>
      <c r="F42" s="26">
        <f>C42</f>
        <v>0.13</v>
      </c>
      <c r="G42" s="26">
        <f>G41*F42</f>
        <v>339.81073750000002</v>
      </c>
      <c r="H42" s="26">
        <f t="shared" si="1"/>
        <v>7.355081499999983</v>
      </c>
      <c r="I42" s="44">
        <f t="shared" si="2"/>
        <v>2.212349637390432E-2</v>
      </c>
      <c r="J42" s="44">
        <f t="shared" si="10"/>
        <v>0.12380952380952383</v>
      </c>
      <c r="K42" s="45"/>
    </row>
    <row r="43" spans="1:11" s="1" customFormat="1" x14ac:dyDescent="0.2">
      <c r="A43" s="46" t="s">
        <v>139</v>
      </c>
      <c r="B43" s="24"/>
      <c r="C43" s="25"/>
      <c r="D43" s="25">
        <f>SUM(D41:D42)</f>
        <v>2889.8068560000002</v>
      </c>
      <c r="E43" s="25"/>
      <c r="F43" s="25"/>
      <c r="G43" s="25">
        <f>SUM(G41:G42)</f>
        <v>2953.7394875</v>
      </c>
      <c r="H43" s="25">
        <f t="shared" si="1"/>
        <v>63.932631499999843</v>
      </c>
      <c r="I43" s="27">
        <f t="shared" si="2"/>
        <v>2.212349637390432E-2</v>
      </c>
      <c r="J43" s="27">
        <f t="shared" si="10"/>
        <v>1.0761904761904764</v>
      </c>
      <c r="K43" s="47"/>
    </row>
    <row r="44" spans="1:11" x14ac:dyDescent="0.2">
      <c r="A44" s="42" t="s">
        <v>140</v>
      </c>
      <c r="B44" s="43"/>
      <c r="C44" s="26">
        <v>-0.08</v>
      </c>
      <c r="D44" s="26">
        <f>D41*C44</f>
        <v>-204.58809600000001</v>
      </c>
      <c r="E44" s="26"/>
      <c r="F44" s="26">
        <f>C44</f>
        <v>-0.08</v>
      </c>
      <c r="G44" s="26">
        <f>G41*F44</f>
        <v>-209.11430000000001</v>
      </c>
      <c r="H44" s="26">
        <f t="shared" si="1"/>
        <v>-4.526204000000007</v>
      </c>
      <c r="I44" s="44">
        <f t="shared" si="2"/>
        <v>2.2123496373904407E-2</v>
      </c>
      <c r="J44" s="44">
        <f t="shared" si="10"/>
        <v>-7.6190476190476197E-2</v>
      </c>
      <c r="K44" s="45"/>
    </row>
    <row r="45" spans="1:11" s="1" customFormat="1" ht="13.5" thickBot="1" x14ac:dyDescent="0.25">
      <c r="A45" s="48" t="s">
        <v>141</v>
      </c>
      <c r="B45" s="49"/>
      <c r="C45" s="50"/>
      <c r="D45" s="50">
        <f>SUM(D43:D44)</f>
        <v>2685.2187600000002</v>
      </c>
      <c r="E45" s="50"/>
      <c r="F45" s="50"/>
      <c r="G45" s="50">
        <f>SUM(G43:G44)</f>
        <v>2744.6251874999998</v>
      </c>
      <c r="H45" s="50">
        <f t="shared" si="1"/>
        <v>59.406427499999609</v>
      </c>
      <c r="I45" s="51">
        <f t="shared" si="2"/>
        <v>2.2123496373904226E-2</v>
      </c>
      <c r="J45" s="51">
        <f t="shared" si="10"/>
        <v>1</v>
      </c>
      <c r="K45" s="52"/>
    </row>
    <row r="46" spans="1:11" x14ac:dyDescent="0.2">
      <c r="A46" s="53" t="s">
        <v>142</v>
      </c>
      <c r="B46" s="54"/>
      <c r="C46" s="55"/>
      <c r="D46" s="55">
        <f>SUM(D18,D24,D25,D27,D32,D39,D40)</f>
        <v>2418.57114</v>
      </c>
      <c r="E46" s="55"/>
      <c r="F46" s="55"/>
      <c r="G46" s="55">
        <f>SUM(G18,G24,G25,G27,G32,G39,G40)</f>
        <v>2473.6639449999998</v>
      </c>
      <c r="H46" s="55">
        <f>G46-D46</f>
        <v>55.092804999999771</v>
      </c>
      <c r="I46" s="56">
        <f>IF(ISERROR(H46/D46),0,(H46/D46))</f>
        <v>2.2779071530639274E-2</v>
      </c>
      <c r="J46" s="56"/>
      <c r="K46" s="57">
        <f>G46/$G$50</f>
        <v>0.95238095238095244</v>
      </c>
    </row>
    <row r="47" spans="1:11" x14ac:dyDescent="0.2">
      <c r="A47" s="58" t="s">
        <v>138</v>
      </c>
      <c r="B47" s="59"/>
      <c r="C47" s="31">
        <v>0.13</v>
      </c>
      <c r="D47" s="31">
        <f>D46*C47</f>
        <v>314.41424820000003</v>
      </c>
      <c r="E47" s="31"/>
      <c r="F47" s="31">
        <f>C47</f>
        <v>0.13</v>
      </c>
      <c r="G47" s="31">
        <f>G46*F47</f>
        <v>321.57631284999997</v>
      </c>
      <c r="H47" s="31">
        <f>G47-D47</f>
        <v>7.1620646499999339</v>
      </c>
      <c r="I47" s="32">
        <f>IF(ISERROR(H47/D47),0,(H47/D47))</f>
        <v>2.2779071530639156E-2</v>
      </c>
      <c r="J47" s="32"/>
      <c r="K47" s="60">
        <f>G47/$G$50</f>
        <v>0.12380952380952381</v>
      </c>
    </row>
    <row r="48" spans="1:11" x14ac:dyDescent="0.2">
      <c r="A48" s="141" t="s">
        <v>143</v>
      </c>
      <c r="B48" s="29"/>
      <c r="C48" s="30"/>
      <c r="D48" s="30">
        <f>SUM(D46:D47)</f>
        <v>2732.9853882000002</v>
      </c>
      <c r="E48" s="30"/>
      <c r="F48" s="30"/>
      <c r="G48" s="30">
        <f>SUM(G46:G47)</f>
        <v>2795.2402578499996</v>
      </c>
      <c r="H48" s="30">
        <f>G48-D48</f>
        <v>62.254869649999364</v>
      </c>
      <c r="I48" s="33">
        <f>IF(ISERROR(H48/D48),0,(H48/D48))</f>
        <v>2.2779071530639131E-2</v>
      </c>
      <c r="J48" s="33"/>
      <c r="K48" s="62">
        <f>G48/$G$50</f>
        <v>1.0761904761904761</v>
      </c>
    </row>
    <row r="49" spans="1:11" x14ac:dyDescent="0.2">
      <c r="A49" s="58" t="s">
        <v>140</v>
      </c>
      <c r="B49" s="59"/>
      <c r="C49" s="31">
        <v>-0.08</v>
      </c>
      <c r="D49" s="31">
        <f>D46*C49</f>
        <v>-193.48569120000002</v>
      </c>
      <c r="E49" s="31"/>
      <c r="F49" s="31">
        <f>C49</f>
        <v>-0.08</v>
      </c>
      <c r="G49" s="31">
        <f>G46*F49</f>
        <v>-197.89311559999999</v>
      </c>
      <c r="H49" s="31">
        <f>G49-D49</f>
        <v>-4.407424399999968</v>
      </c>
      <c r="I49" s="32">
        <f>IF(ISERROR(H49/D49),0,(H49/D49))</f>
        <v>2.2779071530639201E-2</v>
      </c>
      <c r="J49" s="32"/>
      <c r="K49" s="60">
        <f>G49/$G$50</f>
        <v>-7.6190476190476197E-2</v>
      </c>
    </row>
    <row r="50" spans="1:11" ht="13.5" thickBot="1" x14ac:dyDescent="0.25">
      <c r="A50" s="63" t="s">
        <v>144</v>
      </c>
      <c r="B50" s="64"/>
      <c r="C50" s="65"/>
      <c r="D50" s="65">
        <f>SUM(D48:D49)</f>
        <v>2539.4996970000002</v>
      </c>
      <c r="E50" s="65"/>
      <c r="F50" s="65"/>
      <c r="G50" s="65">
        <f>SUM(G48:G49)</f>
        <v>2597.3471422499997</v>
      </c>
      <c r="H50" s="65">
        <f>G50-D50</f>
        <v>57.84744524999951</v>
      </c>
      <c r="I50" s="66">
        <f>IF(ISERROR(H50/D50),0,(H50/D50))</f>
        <v>2.2779071530639173E-2</v>
      </c>
      <c r="J50" s="66"/>
      <c r="K50" s="67">
        <f>G50/$G$50</f>
        <v>1</v>
      </c>
    </row>
    <row r="51" spans="1:11" x14ac:dyDescent="0.2">
      <c r="C51" s="68"/>
      <c r="F51" s="69"/>
    </row>
    <row r="52" spans="1:11" x14ac:dyDescent="0.2">
      <c r="F52" s="69"/>
    </row>
    <row r="53" spans="1:11" x14ac:dyDescent="0.2">
      <c r="F53" s="69"/>
    </row>
    <row r="54" spans="1:11" x14ac:dyDescent="0.2">
      <c r="A54" s="70"/>
      <c r="B54" s="71"/>
      <c r="F54" s="69"/>
    </row>
    <row r="55" spans="1:11" x14ac:dyDescent="0.2">
      <c r="B55" s="71"/>
      <c r="F55" s="69"/>
    </row>
    <row r="56" spans="1:11" x14ac:dyDescent="0.2">
      <c r="F56" s="69"/>
    </row>
    <row r="57" spans="1:11" x14ac:dyDescent="0.2">
      <c r="D57" s="72"/>
      <c r="F57" s="69"/>
    </row>
    <row r="58" spans="1:11" x14ac:dyDescent="0.2">
      <c r="F58" s="69"/>
    </row>
    <row r="59" spans="1:11" x14ac:dyDescent="0.2">
      <c r="A59" s="70"/>
      <c r="B59" s="71"/>
      <c r="F59" s="69"/>
    </row>
    <row r="60" spans="1:11" x14ac:dyDescent="0.2">
      <c r="B60" s="72"/>
      <c r="D60" s="72"/>
      <c r="F60" s="69"/>
    </row>
    <row r="61" spans="1:11" x14ac:dyDescent="0.2">
      <c r="F61" s="69"/>
    </row>
    <row r="62" spans="1:11" x14ac:dyDescent="0.2">
      <c r="F62" s="69"/>
    </row>
    <row r="63" spans="1:11" x14ac:dyDescent="0.2">
      <c r="F63" s="69"/>
      <c r="K63"/>
    </row>
    <row r="64" spans="1:11" x14ac:dyDescent="0.2">
      <c r="F64" s="69"/>
      <c r="K64"/>
    </row>
    <row r="65" spans="6:11" x14ac:dyDescent="0.2">
      <c r="F65" s="69"/>
      <c r="K65"/>
    </row>
    <row r="66" spans="6:11" x14ac:dyDescent="0.2">
      <c r="F66" s="69"/>
      <c r="K66"/>
    </row>
    <row r="67" spans="6:11" x14ac:dyDescent="0.2">
      <c r="F67" s="69"/>
      <c r="K67"/>
    </row>
  </sheetData>
  <mergeCells count="1">
    <mergeCell ref="A1:K1"/>
  </mergeCell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Impacts'!$A$3:$A$21</xm:f>
          </x14:formula1>
          <xm:sqref>B3</xm:sqref>
        </x14:dataValidation>
      </x14:dataValidations>
    </ext>
  </extLst>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8">
    <pageSetUpPr fitToPage="1"/>
  </sheetPr>
  <dimension ref="A1:K67"/>
  <sheetViews>
    <sheetView topLeftCell="A19" workbookViewId="0">
      <selection activeCell="C19" sqref="C19"/>
    </sheetView>
  </sheetViews>
  <sheetFormatPr defaultRowHeight="12.75" x14ac:dyDescent="0.2"/>
  <cols>
    <col min="1" max="1" width="64.7109375" bestFit="1" customWidth="1"/>
    <col min="2" max="2" width="15.5703125" bestFit="1" customWidth="1"/>
    <col min="3" max="3" width="12.1406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48" t="s">
        <v>109</v>
      </c>
      <c r="B1" s="349"/>
      <c r="C1" s="349"/>
      <c r="D1" s="349"/>
      <c r="E1" s="349"/>
      <c r="F1" s="349"/>
      <c r="G1" s="349"/>
      <c r="H1" s="349"/>
      <c r="I1" s="349"/>
      <c r="J1" s="349"/>
      <c r="K1" s="350"/>
    </row>
    <row r="3" spans="1:11" x14ac:dyDescent="0.2">
      <c r="A3" s="13" t="s">
        <v>13</v>
      </c>
      <c r="B3" s="13" t="s">
        <v>181</v>
      </c>
      <c r="C3" s="13" t="s">
        <v>120</v>
      </c>
    </row>
    <row r="4" spans="1:11" x14ac:dyDescent="0.2">
      <c r="A4" s="15" t="s">
        <v>62</v>
      </c>
      <c r="B4" s="15">
        <v>1000</v>
      </c>
      <c r="C4" s="15">
        <f>B4</f>
        <v>1000</v>
      </c>
    </row>
    <row r="5" spans="1:11" x14ac:dyDescent="0.2">
      <c r="A5" s="15" t="s">
        <v>16</v>
      </c>
      <c r="B5" s="15">
        <f>VLOOKUP($B$3,'Data for Bill Impacts'!$A$3:$Y$39,5,0)</f>
        <v>0</v>
      </c>
      <c r="C5" s="15">
        <f>B5</f>
        <v>0</v>
      </c>
    </row>
    <row r="6" spans="1:11" x14ac:dyDescent="0.2">
      <c r="A6" s="15" t="s">
        <v>20</v>
      </c>
      <c r="B6" s="15">
        <f>VLOOKUP($B$3,'Data for Bill Impacts'!$A$3:$Y$39,2,0)</f>
        <v>1.0667</v>
      </c>
      <c r="C6" s="15">
        <f>VLOOKUP($C$3,'Data for Bill Impacts'!$A$3:$Y$39,2,0)</f>
        <v>1.0654999999999999</v>
      </c>
    </row>
    <row r="7" spans="1:11" x14ac:dyDescent="0.2">
      <c r="A7" s="15" t="s">
        <v>15</v>
      </c>
      <c r="B7" s="15">
        <f>VLOOKUP($B$3,'Data for Bill Impacts'!$A$3:$Y$39,4,0)</f>
        <v>750</v>
      </c>
      <c r="C7" s="15">
        <f>B7</f>
        <v>750</v>
      </c>
    </row>
    <row r="8" spans="1:11" x14ac:dyDescent="0.2">
      <c r="A8" s="15" t="s">
        <v>82</v>
      </c>
      <c r="B8" s="15">
        <f>B4*B6</f>
        <v>1066.7</v>
      </c>
      <c r="C8" s="15">
        <f>C4*C6</f>
        <v>1065.5</v>
      </c>
    </row>
    <row r="9" spans="1:11" x14ac:dyDescent="0.2">
      <c r="A9" s="15" t="s">
        <v>21</v>
      </c>
      <c r="B9" s="16" t="str">
        <f>VLOOKUP($B$3,'Data for Bill Impacts'!$A$3:$Y$39,6,0)</f>
        <v>kWh</v>
      </c>
      <c r="C9" s="16" t="str">
        <f>VLOOKUP($C$3,'Data for Bill Impacts'!$A$3:$Y$39,6,0)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0.10299999999999999</v>
      </c>
      <c r="D12" s="104">
        <f>B12*C12</f>
        <v>77.25</v>
      </c>
      <c r="E12" s="102">
        <f>B12</f>
        <v>750</v>
      </c>
      <c r="F12" s="103">
        <f>C12</f>
        <v>0.10299999999999999</v>
      </c>
      <c r="G12" s="104">
        <f>E12*F12</f>
        <v>77.25</v>
      </c>
      <c r="H12" s="104">
        <f>G12-D12</f>
        <v>0</v>
      </c>
      <c r="I12" s="105">
        <f>IF(ISERROR(H12/D12),0,(H12/D12))</f>
        <v>0</v>
      </c>
      <c r="J12" s="105">
        <f>G12/$G$45</f>
        <v>0.36651706483882585</v>
      </c>
      <c r="K12" s="106"/>
    </row>
    <row r="13" spans="1:11" x14ac:dyDescent="0.2">
      <c r="A13" s="107" t="s">
        <v>32</v>
      </c>
      <c r="B13" s="73">
        <f>IF(B4&gt;B7,(B4)-B7,0)</f>
        <v>250</v>
      </c>
      <c r="C13" s="21">
        <v>0.121</v>
      </c>
      <c r="D13" s="22">
        <f>B13*C13</f>
        <v>30.25</v>
      </c>
      <c r="E13" s="73">
        <f t="shared" ref="E13" si="0">B13</f>
        <v>250</v>
      </c>
      <c r="F13" s="21">
        <f>C13</f>
        <v>0.121</v>
      </c>
      <c r="G13" s="22">
        <f>E13*F13</f>
        <v>30.25</v>
      </c>
      <c r="H13" s="22">
        <f t="shared" ref="H13:H45" si="1">G13-D13</f>
        <v>0</v>
      </c>
      <c r="I13" s="23">
        <f t="shared" ref="I13:I45" si="2">IF(ISERROR(H13/D13),0,(H13/D13))</f>
        <v>0</v>
      </c>
      <c r="J13" s="23">
        <f>G13/$G$45</f>
        <v>0.1435228635776632</v>
      </c>
      <c r="K13" s="108"/>
    </row>
    <row r="14" spans="1:11" s="1" customFormat="1" x14ac:dyDescent="0.2">
      <c r="A14" s="46" t="s">
        <v>33</v>
      </c>
      <c r="B14" s="24"/>
      <c r="C14" s="25"/>
      <c r="D14" s="25">
        <f>SUM(D12:D13)</f>
        <v>107.5</v>
      </c>
      <c r="E14" s="76"/>
      <c r="F14" s="25"/>
      <c r="G14" s="25">
        <f>SUM(G12:G13)</f>
        <v>107.5</v>
      </c>
      <c r="H14" s="25">
        <f t="shared" si="1"/>
        <v>0</v>
      </c>
      <c r="I14" s="27">
        <f t="shared" si="2"/>
        <v>0</v>
      </c>
      <c r="J14" s="27">
        <f>G14/$G$45</f>
        <v>0.51003992841648904</v>
      </c>
      <c r="K14" s="108"/>
    </row>
    <row r="15" spans="1:11" s="1" customFormat="1" x14ac:dyDescent="0.2">
      <c r="A15" s="109" t="s">
        <v>34</v>
      </c>
      <c r="B15" s="75">
        <f>B4*0.65</f>
        <v>650</v>
      </c>
      <c r="C15" s="28">
        <v>8.6999999999999994E-2</v>
      </c>
      <c r="D15" s="22">
        <f>B15*C15</f>
        <v>56.55</v>
      </c>
      <c r="E15" s="73">
        <f t="shared" ref="E15:F17" si="3">B15</f>
        <v>650</v>
      </c>
      <c r="F15" s="28">
        <f t="shared" si="3"/>
        <v>8.6999999999999994E-2</v>
      </c>
      <c r="G15" s="22">
        <f>E15*F15</f>
        <v>56.55</v>
      </c>
      <c r="H15" s="22">
        <f t="shared" si="1"/>
        <v>0</v>
      </c>
      <c r="I15" s="23">
        <f t="shared" si="2"/>
        <v>0</v>
      </c>
      <c r="J15" s="23"/>
      <c r="K15" s="108">
        <f t="shared" ref="K15:K25" si="4">G15/$G$50</f>
        <v>0.26403114725439325</v>
      </c>
    </row>
    <row r="16" spans="1:11" s="1" customFormat="1" x14ac:dyDescent="0.2">
      <c r="A16" s="109" t="s">
        <v>35</v>
      </c>
      <c r="B16" s="75">
        <f>B4*0.17</f>
        <v>170</v>
      </c>
      <c r="C16" s="28">
        <v>0.13200000000000001</v>
      </c>
      <c r="D16" s="22">
        <f>B16*C16</f>
        <v>22.44</v>
      </c>
      <c r="E16" s="73">
        <f t="shared" si="3"/>
        <v>170</v>
      </c>
      <c r="F16" s="28">
        <f t="shared" si="3"/>
        <v>0.13200000000000001</v>
      </c>
      <c r="G16" s="22">
        <f>E16*F16</f>
        <v>22.44</v>
      </c>
      <c r="H16" s="22">
        <f t="shared" si="1"/>
        <v>0</v>
      </c>
      <c r="I16" s="23">
        <f t="shared" si="2"/>
        <v>0</v>
      </c>
      <c r="J16" s="23"/>
      <c r="K16" s="108">
        <f t="shared" si="4"/>
        <v>0.10477204145691574</v>
      </c>
    </row>
    <row r="17" spans="1:11" s="1" customFormat="1" x14ac:dyDescent="0.2">
      <c r="A17" s="109" t="s">
        <v>36</v>
      </c>
      <c r="B17" s="75">
        <f>B4*0.18</f>
        <v>180</v>
      </c>
      <c r="C17" s="28">
        <v>0.18</v>
      </c>
      <c r="D17" s="22">
        <f>B17*C17</f>
        <v>32.4</v>
      </c>
      <c r="E17" s="73">
        <f t="shared" si="3"/>
        <v>180</v>
      </c>
      <c r="F17" s="28">
        <f t="shared" si="3"/>
        <v>0.18</v>
      </c>
      <c r="G17" s="22">
        <f>E17*F17</f>
        <v>32.4</v>
      </c>
      <c r="H17" s="22">
        <f t="shared" si="1"/>
        <v>0</v>
      </c>
      <c r="I17" s="23">
        <f t="shared" si="2"/>
        <v>0</v>
      </c>
      <c r="J17" s="23"/>
      <c r="K17" s="108">
        <f t="shared" si="4"/>
        <v>0.1512751400714826</v>
      </c>
    </row>
    <row r="18" spans="1:11" s="1" customFormat="1" x14ac:dyDescent="0.2">
      <c r="A18" s="61" t="s">
        <v>37</v>
      </c>
      <c r="B18" s="29"/>
      <c r="C18" s="30"/>
      <c r="D18" s="30">
        <f>SUM(D15:D17)</f>
        <v>111.38999999999999</v>
      </c>
      <c r="E18" s="77"/>
      <c r="F18" s="30"/>
      <c r="G18" s="30">
        <f>SUM(G15:G17)</f>
        <v>111.38999999999999</v>
      </c>
      <c r="H18" s="31">
        <f t="shared" si="1"/>
        <v>0</v>
      </c>
      <c r="I18" s="32">
        <f t="shared" si="2"/>
        <v>0</v>
      </c>
      <c r="J18" s="33">
        <f>G18/$G$45</f>
        <v>0.52849625698895542</v>
      </c>
      <c r="K18" s="62">
        <f t="shared" si="4"/>
        <v>0.52007832878279159</v>
      </c>
    </row>
    <row r="19" spans="1:11" x14ac:dyDescent="0.2">
      <c r="A19" s="107" t="s">
        <v>38</v>
      </c>
      <c r="B19" s="73">
        <v>1</v>
      </c>
      <c r="C19" s="122">
        <f>VLOOKUP($C$3,'Data for Bill Impacts'!$A$3:$Y$39,7,0)</f>
        <v>26.94</v>
      </c>
      <c r="D19" s="22">
        <f>B19*C19</f>
        <v>26.94</v>
      </c>
      <c r="E19" s="73">
        <f t="shared" ref="E19:E40" si="5">B19</f>
        <v>1</v>
      </c>
      <c r="F19" s="78">
        <f>VLOOKUP($B$3,'Data for Bill Impacts'!$A$3:$Y$39,17,0)</f>
        <v>40.82</v>
      </c>
      <c r="G19" s="22">
        <f>E19*F19</f>
        <v>40.82</v>
      </c>
      <c r="H19" s="22">
        <f t="shared" si="1"/>
        <v>13.879999999999999</v>
      </c>
      <c r="I19" s="23">
        <f t="shared" si="2"/>
        <v>0.51521900519673347</v>
      </c>
      <c r="J19" s="23">
        <f>G19/$G$45</f>
        <v>0.19367283607405658</v>
      </c>
      <c r="K19" s="108">
        <f t="shared" si="4"/>
        <v>0.19058800054684941</v>
      </c>
    </row>
    <row r="20" spans="1:11" x14ac:dyDescent="0.2">
      <c r="A20" s="107" t="s">
        <v>188</v>
      </c>
      <c r="B20" s="73">
        <v>1</v>
      </c>
      <c r="C20" s="122">
        <f>'Data for Bill Impacts'!K29</f>
        <v>-0.27</v>
      </c>
      <c r="D20" s="22">
        <f>B20*C20</f>
        <v>-0.27</v>
      </c>
      <c r="E20" s="73">
        <f t="shared" si="5"/>
        <v>1</v>
      </c>
      <c r="F20" s="122">
        <v>0</v>
      </c>
      <c r="G20" s="22">
        <f t="shared" ref="G20" si="6">E20*F20</f>
        <v>0</v>
      </c>
      <c r="H20" s="22">
        <f t="shared" si="1"/>
        <v>0.27</v>
      </c>
      <c r="I20" s="23">
        <f t="shared" si="2"/>
        <v>-1</v>
      </c>
      <c r="J20" s="23">
        <f>G20/$G$45</f>
        <v>0</v>
      </c>
      <c r="K20" s="108">
        <f t="shared" si="4"/>
        <v>0</v>
      </c>
    </row>
    <row r="21" spans="1:11" x14ac:dyDescent="0.2">
      <c r="A21" s="107" t="s">
        <v>39</v>
      </c>
      <c r="B21" s="73">
        <f>C4</f>
        <v>1000</v>
      </c>
      <c r="C21" s="78">
        <f>VLOOKUP($C$3,'Data for Bill Impacts'!$A$3:$Y$39,10,0)</f>
        <v>1.9E-2</v>
      </c>
      <c r="D21" s="22">
        <f>B21*C21</f>
        <v>19</v>
      </c>
      <c r="E21" s="73">
        <f>B4</f>
        <v>1000</v>
      </c>
      <c r="F21" s="78">
        <f>VLOOKUP($B$3,'Data for Bill Impacts'!$A$3:$Y$39,19,0)</f>
        <v>1.8700000000000001E-2</v>
      </c>
      <c r="G21" s="22">
        <f>E21*F21</f>
        <v>18.700000000000003</v>
      </c>
      <c r="H21" s="22">
        <f t="shared" si="1"/>
        <v>-0.29999999999999716</v>
      </c>
      <c r="I21" s="23">
        <f t="shared" si="2"/>
        <v>-1.5789473684210378E-2</v>
      </c>
      <c r="J21" s="23">
        <f>G21/$G$45</f>
        <v>8.8723224757100899E-2</v>
      </c>
      <c r="K21" s="108">
        <f t="shared" si="4"/>
        <v>8.7310034547429791E-2</v>
      </c>
    </row>
    <row r="22" spans="1:11" x14ac:dyDescent="0.2">
      <c r="A22" s="107" t="s">
        <v>189</v>
      </c>
      <c r="B22" s="73">
        <f>C4</f>
        <v>1000</v>
      </c>
      <c r="C22" s="78">
        <f>'Data for Bill Impacts'!H29</f>
        <v>4.0000000000000002E-4</v>
      </c>
      <c r="D22" s="22">
        <f>B22*C22</f>
        <v>0.4</v>
      </c>
      <c r="E22" s="73">
        <f>C4</f>
        <v>1000</v>
      </c>
      <c r="F22" s="126">
        <v>0</v>
      </c>
      <c r="G22" s="22">
        <f>E22*F22</f>
        <v>0</v>
      </c>
      <c r="H22" s="22">
        <f t="shared" ref="H22" si="7">G22-D22</f>
        <v>-0.4</v>
      </c>
      <c r="I22" s="23">
        <f t="shared" ref="I22" si="8">IF(ISERROR(H22/D22),0,(H22/D22))</f>
        <v>-1</v>
      </c>
      <c r="J22" s="23">
        <f>G22/$G$45</f>
        <v>0</v>
      </c>
      <c r="K22" s="108">
        <f t="shared" si="4"/>
        <v>0</v>
      </c>
    </row>
    <row r="23" spans="1:11" x14ac:dyDescent="0.2">
      <c r="A23" s="107" t="s">
        <v>194</v>
      </c>
      <c r="B23" s="73">
        <f>IF($B$9="kWh",$B$4,$B$5)</f>
        <v>1000</v>
      </c>
      <c r="C23" s="78">
        <f>'Data for Bill Impacts'!L29</f>
        <v>-2.0000000000000001E-4</v>
      </c>
      <c r="D23" s="22">
        <f>B23*C23</f>
        <v>-0.2</v>
      </c>
      <c r="E23" s="73">
        <f t="shared" si="5"/>
        <v>1000</v>
      </c>
      <c r="F23" s="126">
        <v>0</v>
      </c>
      <c r="G23" s="22">
        <f>E23*F23</f>
        <v>0</v>
      </c>
      <c r="H23" s="22">
        <f t="shared" si="1"/>
        <v>0.2</v>
      </c>
      <c r="I23" s="23">
        <f>IF(ISERROR(H23/D23),0,(H23/D23))</f>
        <v>-1</v>
      </c>
      <c r="J23" s="23">
        <f t="shared" ref="J23" si="9">G23/$G$45</f>
        <v>0</v>
      </c>
      <c r="K23" s="108">
        <f t="shared" si="4"/>
        <v>0</v>
      </c>
    </row>
    <row r="24" spans="1:11" s="1" customFormat="1" x14ac:dyDescent="0.2">
      <c r="A24" s="110" t="s">
        <v>72</v>
      </c>
      <c r="B24" s="74"/>
      <c r="C24" s="35"/>
      <c r="D24" s="35">
        <f>SUM(D19:D23)</f>
        <v>45.87</v>
      </c>
      <c r="E24" s="73"/>
      <c r="F24" s="35"/>
      <c r="G24" s="35">
        <f>SUM(G19:G23)</f>
        <v>59.52</v>
      </c>
      <c r="H24" s="35">
        <f t="shared" si="1"/>
        <v>13.650000000000006</v>
      </c>
      <c r="I24" s="36">
        <f t="shared" si="2"/>
        <v>0.29758011772400278</v>
      </c>
      <c r="J24" s="36">
        <f>G24/$G$45</f>
        <v>0.28239606083115748</v>
      </c>
      <c r="K24" s="111">
        <f t="shared" si="4"/>
        <v>0.27789803509427918</v>
      </c>
    </row>
    <row r="25" spans="1:11" s="1" customFormat="1" x14ac:dyDescent="0.2">
      <c r="A25" s="119" t="s">
        <v>73</v>
      </c>
      <c r="B25" s="120">
        <v>1</v>
      </c>
      <c r="C25" s="78">
        <f>VLOOKUP($C$3,'Data for Bill Impacts'!$A$3:$Y$39,9,0)</f>
        <v>0.79</v>
      </c>
      <c r="D25" s="22">
        <f>B25*C25</f>
        <v>0.79</v>
      </c>
      <c r="E25" s="73">
        <v>1</v>
      </c>
      <c r="F25" s="78">
        <f>VLOOKUP($B$3,'Data for Bill Impacts'!$A$3:$Y$39,18,0)</f>
        <v>0.79</v>
      </c>
      <c r="G25" s="22">
        <f>E25*F25</f>
        <v>0.79</v>
      </c>
      <c r="H25" s="22">
        <f t="shared" si="1"/>
        <v>0</v>
      </c>
      <c r="I25" s="23">
        <f>IF(ISERROR(H25/D25),0,(H25/D25))</f>
        <v>0</v>
      </c>
      <c r="J25" s="23">
        <f>G25/$G$45</f>
        <v>3.7482004041769898E-3</v>
      </c>
      <c r="K25" s="108">
        <f t="shared" si="4"/>
        <v>3.6884987856935576E-3</v>
      </c>
    </row>
    <row r="26" spans="1:11" s="1" customFormat="1" x14ac:dyDescent="0.2">
      <c r="A26" s="119" t="s">
        <v>75</v>
      </c>
      <c r="B26" s="120">
        <f>C8-C4</f>
        <v>65.5</v>
      </c>
      <c r="C26" s="121">
        <f>IF(C4&gt;C7,C13,C12)</f>
        <v>0.121</v>
      </c>
      <c r="D26" s="22">
        <f>B26*C26</f>
        <v>7.9254999999999995</v>
      </c>
      <c r="E26" s="73">
        <f>B8-B4</f>
        <v>66.700000000000045</v>
      </c>
      <c r="F26" s="121">
        <f>IF(B4&gt;B7,C13,C12)</f>
        <v>0.121</v>
      </c>
      <c r="G26" s="22">
        <f>E26*F26</f>
        <v>8.0707000000000058</v>
      </c>
      <c r="H26" s="22">
        <f t="shared" si="1"/>
        <v>0.14520000000000621</v>
      </c>
      <c r="I26" s="23">
        <f>IF(ISERROR(H26/D26),0,(H26/D26))</f>
        <v>1.8320610687023686E-2</v>
      </c>
      <c r="J26" s="23">
        <f t="shared" ref="J26:J45" si="10">G26/$G$45</f>
        <v>3.8291900002520571E-2</v>
      </c>
      <c r="K26" s="108">
        <f t="shared" ref="K26:K40" si="11">G26/$G$50</f>
        <v>3.7681983733793695E-2</v>
      </c>
    </row>
    <row r="27" spans="1:11" s="1" customFormat="1" x14ac:dyDescent="0.2">
      <c r="A27" s="119" t="s">
        <v>74</v>
      </c>
      <c r="B27" s="120">
        <f>C8-C4</f>
        <v>65.5</v>
      </c>
      <c r="C27" s="121">
        <f>0.65*C15+0.17*C16+0.18*C17</f>
        <v>0.11139</v>
      </c>
      <c r="D27" s="22">
        <f>B27*C27</f>
        <v>7.2960450000000003</v>
      </c>
      <c r="E27" s="73">
        <f>B8-B4</f>
        <v>66.700000000000045</v>
      </c>
      <c r="F27" s="121">
        <f>C27</f>
        <v>0.11139</v>
      </c>
      <c r="G27" s="22">
        <f>E27*F27</f>
        <v>7.4297130000000049</v>
      </c>
      <c r="H27" s="22">
        <f t="shared" si="1"/>
        <v>0.13366800000000456</v>
      </c>
      <c r="I27" s="23">
        <f>IF(ISERROR(H27/D27),0,(H27/D27))</f>
        <v>1.8320610687023526E-2</v>
      </c>
      <c r="J27" s="23">
        <f t="shared" si="10"/>
        <v>3.5250700341163357E-2</v>
      </c>
      <c r="K27" s="108">
        <f t="shared" si="11"/>
        <v>3.4689224529812226E-2</v>
      </c>
    </row>
    <row r="28" spans="1:11" s="1" customFormat="1" x14ac:dyDescent="0.2">
      <c r="A28" s="110" t="s">
        <v>78</v>
      </c>
      <c r="B28" s="74"/>
      <c r="C28" s="35"/>
      <c r="D28" s="35">
        <f>SUM(D24,D25:D26)</f>
        <v>54.585499999999996</v>
      </c>
      <c r="E28" s="73"/>
      <c r="F28" s="35"/>
      <c r="G28" s="35">
        <f>SUM(G24,G25:G26)</f>
        <v>68.380700000000004</v>
      </c>
      <c r="H28" s="35">
        <f t="shared" si="1"/>
        <v>13.795200000000008</v>
      </c>
      <c r="I28" s="36">
        <f>IF(ISERROR(H28/D28),0,(H28/D28))</f>
        <v>0.25272645665973581</v>
      </c>
      <c r="J28" s="36">
        <f t="shared" si="10"/>
        <v>0.32443616123785501</v>
      </c>
      <c r="K28" s="111">
        <f t="shared" si="11"/>
        <v>0.3192685176137664</v>
      </c>
    </row>
    <row r="29" spans="1:11" s="1" customFormat="1" x14ac:dyDescent="0.2">
      <c r="A29" s="110" t="s">
        <v>77</v>
      </c>
      <c r="B29" s="74"/>
      <c r="C29" s="35"/>
      <c r="D29" s="35">
        <f>SUM(D24,D25,D27)</f>
        <v>53.956044999999996</v>
      </c>
      <c r="E29" s="73"/>
      <c r="F29" s="35"/>
      <c r="G29" s="35">
        <f>SUM(G24,G25,G27)</f>
        <v>67.739713000000009</v>
      </c>
      <c r="H29" s="35">
        <f t="shared" si="1"/>
        <v>13.783668000000013</v>
      </c>
      <c r="I29" s="36">
        <f>IF(ISERROR(H29/D29),0,(H29/D29))</f>
        <v>0.25546105167641575</v>
      </c>
      <c r="J29" s="36">
        <f t="shared" si="10"/>
        <v>0.32139496157649783</v>
      </c>
      <c r="K29" s="111">
        <f t="shared" si="11"/>
        <v>0.31627575840978495</v>
      </c>
    </row>
    <row r="30" spans="1:11" x14ac:dyDescent="0.2">
      <c r="A30" s="107" t="s">
        <v>40</v>
      </c>
      <c r="B30" s="73">
        <f>$C$8</f>
        <v>1065.5</v>
      </c>
      <c r="C30" s="126">
        <f>VLOOKUP($C$3,'Data for Bill Impacts'!$A$3:$Y$39,15,0)</f>
        <v>5.8707628331982429E-3</v>
      </c>
      <c r="D30" s="22">
        <f>B30*C30</f>
        <v>6.2552977987727276</v>
      </c>
      <c r="E30" s="73">
        <f>$B$8</f>
        <v>1066.7</v>
      </c>
      <c r="F30" s="78">
        <f>VLOOKUP($B$3,'Data for Bill Impacts'!$A$3:$Y$39,24,0)</f>
        <v>5.3E-3</v>
      </c>
      <c r="G30" s="22">
        <f>E30*F30</f>
        <v>5.6535100000000007</v>
      </c>
      <c r="H30" s="22">
        <f t="shared" si="1"/>
        <v>-0.60178779877272692</v>
      </c>
      <c r="I30" s="23">
        <f t="shared" si="2"/>
        <v>-9.6204500270282267E-2</v>
      </c>
      <c r="J30" s="23">
        <f t="shared" si="10"/>
        <v>2.6823403122808422E-2</v>
      </c>
      <c r="K30" s="108">
        <f t="shared" si="11"/>
        <v>2.6396157936590364E-2</v>
      </c>
    </row>
    <row r="31" spans="1:11" x14ac:dyDescent="0.2">
      <c r="A31" s="107" t="s">
        <v>41</v>
      </c>
      <c r="B31" s="73">
        <f>$C$8</f>
        <v>1065.5</v>
      </c>
      <c r="C31" s="126">
        <f>VLOOKUP($C$3,'Data for Bill Impacts'!$A$3:$Y$39,16,0)</f>
        <v>4.9991353519971207E-3</v>
      </c>
      <c r="D31" s="22">
        <f>B31*C31</f>
        <v>5.3265787175529322</v>
      </c>
      <c r="E31" s="73">
        <f>$B$8</f>
        <v>1066.7</v>
      </c>
      <c r="F31" s="78">
        <f>VLOOKUP($B$3,'Data for Bill Impacts'!$A$3:$Y$39,25,0)</f>
        <v>4.4000000000000003E-3</v>
      </c>
      <c r="G31" s="22">
        <f>E31*F31</f>
        <v>4.6934800000000001</v>
      </c>
      <c r="H31" s="22">
        <f t="shared" si="1"/>
        <v>-0.63309871755293212</v>
      </c>
      <c r="I31" s="23">
        <f t="shared" si="2"/>
        <v>-0.11885654021532646</v>
      </c>
      <c r="J31" s="23">
        <f t="shared" si="10"/>
        <v>2.2268485611388122E-2</v>
      </c>
      <c r="K31" s="108">
        <f t="shared" si="11"/>
        <v>2.1913791494527848E-2</v>
      </c>
    </row>
    <row r="32" spans="1:11" s="1" customFormat="1" x14ac:dyDescent="0.2">
      <c r="A32" s="110" t="s">
        <v>76</v>
      </c>
      <c r="B32" s="74"/>
      <c r="C32" s="35"/>
      <c r="D32" s="35">
        <f>SUM(D30:D31)</f>
        <v>11.581876516325661</v>
      </c>
      <c r="E32" s="73"/>
      <c r="F32" s="35"/>
      <c r="G32" s="35">
        <f>SUM(G30:G31)</f>
        <v>10.346990000000002</v>
      </c>
      <c r="H32" s="35">
        <f t="shared" si="1"/>
        <v>-1.234886516325659</v>
      </c>
      <c r="I32" s="36">
        <f t="shared" si="2"/>
        <v>-0.10662231759982756</v>
      </c>
      <c r="J32" s="36">
        <f t="shared" si="10"/>
        <v>4.9091888734196551E-2</v>
      </c>
      <c r="K32" s="111">
        <f t="shared" si="11"/>
        <v>4.8309949431118215E-2</v>
      </c>
    </row>
    <row r="33" spans="1:11" s="1" customFormat="1" x14ac:dyDescent="0.2">
      <c r="A33" s="110" t="s">
        <v>95</v>
      </c>
      <c r="B33" s="74"/>
      <c r="C33" s="35"/>
      <c r="D33" s="35">
        <f>D28+D32</f>
        <v>66.16737651632566</v>
      </c>
      <c r="E33" s="73"/>
      <c r="F33" s="35"/>
      <c r="G33" s="35">
        <f>G28+G32</f>
        <v>78.72769000000001</v>
      </c>
      <c r="H33" s="35">
        <f t="shared" si="1"/>
        <v>12.560313483674349</v>
      </c>
      <c r="I33" s="36">
        <f t="shared" si="2"/>
        <v>0.18982637887381418</v>
      </c>
      <c r="J33" s="36">
        <f t="shared" si="10"/>
        <v>0.37352804997205158</v>
      </c>
      <c r="K33" s="111">
        <f t="shared" si="11"/>
        <v>0.36757846704488467</v>
      </c>
    </row>
    <row r="34" spans="1:11" s="1" customFormat="1" x14ac:dyDescent="0.2">
      <c r="A34" s="110" t="s">
        <v>96</v>
      </c>
      <c r="B34" s="74"/>
      <c r="C34" s="35"/>
      <c r="D34" s="35">
        <f>D29+D32</f>
        <v>65.537921516325653</v>
      </c>
      <c r="E34" s="73"/>
      <c r="F34" s="35"/>
      <c r="G34" s="35">
        <f>G29+G32</f>
        <v>78.086703000000014</v>
      </c>
      <c r="H34" s="35">
        <f t="shared" si="1"/>
        <v>12.548781483674361</v>
      </c>
      <c r="I34" s="36">
        <f t="shared" si="2"/>
        <v>0.19147359564261479</v>
      </c>
      <c r="J34" s="36">
        <f t="shared" si="10"/>
        <v>0.37048685031069439</v>
      </c>
      <c r="K34" s="111">
        <f t="shared" si="11"/>
        <v>0.36458570784090322</v>
      </c>
    </row>
    <row r="35" spans="1:11" x14ac:dyDescent="0.2">
      <c r="A35" s="107" t="s">
        <v>42</v>
      </c>
      <c r="B35" s="73">
        <f>$C$8</f>
        <v>1065.5</v>
      </c>
      <c r="C35" s="34">
        <v>3.5999999999999999E-3</v>
      </c>
      <c r="D35" s="22">
        <f>B35*C35</f>
        <v>3.8357999999999999</v>
      </c>
      <c r="E35" s="73">
        <f>$B$8</f>
        <v>1066.7</v>
      </c>
      <c r="F35" s="34">
        <v>3.5999999999999999E-3</v>
      </c>
      <c r="G35" s="22">
        <f>E35*F35</f>
        <v>3.8401200000000002</v>
      </c>
      <c r="H35" s="22">
        <f t="shared" si="1"/>
        <v>4.3200000000003236E-3</v>
      </c>
      <c r="I35" s="23">
        <f t="shared" si="2"/>
        <v>1.1262318160488879E-3</v>
      </c>
      <c r="J35" s="23">
        <f t="shared" si="10"/>
        <v>1.8219670045681192E-2</v>
      </c>
      <c r="K35" s="108">
        <f t="shared" si="11"/>
        <v>1.7929465768250056E-2</v>
      </c>
    </row>
    <row r="36" spans="1:11" x14ac:dyDescent="0.2">
      <c r="A36" s="107" t="s">
        <v>43</v>
      </c>
      <c r="B36" s="73">
        <f>$C$8</f>
        <v>1065.5</v>
      </c>
      <c r="C36" s="34">
        <v>2.0999999999999999E-3</v>
      </c>
      <c r="D36" s="22">
        <f>B36*C36</f>
        <v>2.2375499999999997</v>
      </c>
      <c r="E36" s="73">
        <f>$B$8</f>
        <v>1066.7</v>
      </c>
      <c r="F36" s="34">
        <v>2.0999999999999999E-3</v>
      </c>
      <c r="G36" s="22">
        <f>E36*F36</f>
        <v>2.2400699999999998</v>
      </c>
      <c r="H36" s="22">
        <f>G36-D36</f>
        <v>2.5200000000000777E-3</v>
      </c>
      <c r="I36" s="23">
        <f t="shared" si="2"/>
        <v>1.1262318160488382E-3</v>
      </c>
      <c r="J36" s="23">
        <f t="shared" si="10"/>
        <v>1.0628140859980694E-2</v>
      </c>
      <c r="K36" s="108">
        <f t="shared" si="11"/>
        <v>1.0458855031479199E-2</v>
      </c>
    </row>
    <row r="37" spans="1:11" x14ac:dyDescent="0.2">
      <c r="A37" s="107" t="s">
        <v>100</v>
      </c>
      <c r="B37" s="73">
        <f>$C$8</f>
        <v>1065.5</v>
      </c>
      <c r="C37" s="34">
        <v>1.1000000000000001E-3</v>
      </c>
      <c r="D37" s="22">
        <f>B37*C37</f>
        <v>1.17205</v>
      </c>
      <c r="E37" s="73">
        <f>$B$8</f>
        <v>1066.7</v>
      </c>
      <c r="F37" s="34">
        <v>1.1000000000000001E-3</v>
      </c>
      <c r="G37" s="22">
        <f>E37*F37</f>
        <v>1.17337</v>
      </c>
      <c r="H37" s="22">
        <f>G37-D37</f>
        <v>1.3199999999999878E-3</v>
      </c>
      <c r="I37" s="23">
        <f t="shared" si="2"/>
        <v>1.1262318160487929E-3</v>
      </c>
      <c r="J37" s="23">
        <f t="shared" si="10"/>
        <v>5.5671214028470304E-3</v>
      </c>
      <c r="K37" s="108">
        <f t="shared" si="11"/>
        <v>5.4784478736319619E-3</v>
      </c>
    </row>
    <row r="38" spans="1:11" x14ac:dyDescent="0.2">
      <c r="A38" s="107" t="s">
        <v>44</v>
      </c>
      <c r="B38" s="73">
        <v>1</v>
      </c>
      <c r="C38" s="22">
        <v>0.25</v>
      </c>
      <c r="D38" s="22">
        <f>B38*C38</f>
        <v>0.25</v>
      </c>
      <c r="E38" s="73">
        <f t="shared" si="5"/>
        <v>1</v>
      </c>
      <c r="F38" s="22">
        <f>C38</f>
        <v>0.25</v>
      </c>
      <c r="G38" s="22">
        <f>E38*F38</f>
        <v>0.25</v>
      </c>
      <c r="H38" s="22">
        <f t="shared" si="1"/>
        <v>0</v>
      </c>
      <c r="I38" s="23">
        <f t="shared" si="2"/>
        <v>0</v>
      </c>
      <c r="J38" s="23">
        <f t="shared" si="10"/>
        <v>1.1861393684104396E-3</v>
      </c>
      <c r="K38" s="108">
        <f t="shared" si="11"/>
        <v>1.1672464511688473E-3</v>
      </c>
    </row>
    <row r="39" spans="1:11" s="1" customFormat="1" x14ac:dyDescent="0.2">
      <c r="A39" s="110" t="s">
        <v>45</v>
      </c>
      <c r="B39" s="74"/>
      <c r="C39" s="35"/>
      <c r="D39" s="35">
        <f>SUM(D35:D38)</f>
        <v>7.4954000000000001</v>
      </c>
      <c r="E39" s="73"/>
      <c r="F39" s="35"/>
      <c r="G39" s="35">
        <f>SUM(G35:G38)</f>
        <v>7.5035600000000002</v>
      </c>
      <c r="H39" s="35">
        <f t="shared" si="1"/>
        <v>8.1600000000001671E-3</v>
      </c>
      <c r="I39" s="36">
        <f t="shared" si="2"/>
        <v>1.0886677161992913E-3</v>
      </c>
      <c r="J39" s="36">
        <f t="shared" si="10"/>
        <v>3.5601071676919359E-2</v>
      </c>
      <c r="K39" s="111">
        <f t="shared" si="11"/>
        <v>3.5034015124530068E-2</v>
      </c>
    </row>
    <row r="40" spans="1:11" s="1" customFormat="1" ht="13.5" thickBot="1" x14ac:dyDescent="0.25">
      <c r="A40" s="112" t="s">
        <v>46</v>
      </c>
      <c r="B40" s="113">
        <f>B4</f>
        <v>1000</v>
      </c>
      <c r="C40" s="114">
        <v>7.0000000000000001E-3</v>
      </c>
      <c r="D40" s="115">
        <f>B40*C40</f>
        <v>7</v>
      </c>
      <c r="E40" s="116">
        <f t="shared" si="5"/>
        <v>1000</v>
      </c>
      <c r="F40" s="114">
        <f>C40</f>
        <v>7.0000000000000001E-3</v>
      </c>
      <c r="G40" s="115">
        <f>E40*F40</f>
        <v>7</v>
      </c>
      <c r="H40" s="115">
        <f t="shared" si="1"/>
        <v>0</v>
      </c>
      <c r="I40" s="117">
        <f t="shared" si="2"/>
        <v>0</v>
      </c>
      <c r="J40" s="117">
        <f t="shared" si="10"/>
        <v>3.3211902315492314E-2</v>
      </c>
      <c r="K40" s="118">
        <f t="shared" si="11"/>
        <v>3.2682900632727725E-2</v>
      </c>
    </row>
    <row r="41" spans="1:11" s="1" customFormat="1" x14ac:dyDescent="0.2">
      <c r="A41" s="37" t="s">
        <v>137</v>
      </c>
      <c r="B41" s="38"/>
      <c r="C41" s="39"/>
      <c r="D41" s="39">
        <f>SUM(D14,D24,D25,D26,D32,D39,D40)</f>
        <v>188.16277651632564</v>
      </c>
      <c r="E41" s="38"/>
      <c r="F41" s="39"/>
      <c r="G41" s="39">
        <f>SUM(G14,G24,G25,G26,G32,G39,G40)</f>
        <v>200.73125000000002</v>
      </c>
      <c r="H41" s="39">
        <f t="shared" si="1"/>
        <v>12.568473483674381</v>
      </c>
      <c r="I41" s="40">
        <f>IF(ISERROR(H41/D41),0,(H41/D41))</f>
        <v>6.6795748427871962E-2</v>
      </c>
      <c r="J41" s="40">
        <f t="shared" si="10"/>
        <v>0.95238095238095233</v>
      </c>
      <c r="K41" s="41"/>
    </row>
    <row r="42" spans="1:11" x14ac:dyDescent="0.2">
      <c r="A42" s="150" t="s">
        <v>138</v>
      </c>
      <c r="B42" s="43"/>
      <c r="C42" s="26">
        <v>0.13</v>
      </c>
      <c r="D42" s="26">
        <f>D41*C42</f>
        <v>24.461160947122334</v>
      </c>
      <c r="E42" s="26"/>
      <c r="F42" s="26">
        <f>C42</f>
        <v>0.13</v>
      </c>
      <c r="G42" s="26">
        <f>G41*F42</f>
        <v>26.095062500000004</v>
      </c>
      <c r="H42" s="26">
        <f t="shared" si="1"/>
        <v>1.6339015528776706</v>
      </c>
      <c r="I42" s="44">
        <f t="shared" si="2"/>
        <v>6.6795748427872004E-2</v>
      </c>
      <c r="J42" s="44">
        <f t="shared" si="10"/>
        <v>0.12380952380952381</v>
      </c>
      <c r="K42" s="45"/>
    </row>
    <row r="43" spans="1:11" s="1" customFormat="1" x14ac:dyDescent="0.2">
      <c r="A43" s="46" t="s">
        <v>139</v>
      </c>
      <c r="B43" s="24"/>
      <c r="C43" s="25"/>
      <c r="D43" s="25">
        <f>SUM(D41:D42)</f>
        <v>212.62393746344796</v>
      </c>
      <c r="E43" s="25"/>
      <c r="F43" s="25"/>
      <c r="G43" s="25">
        <f>SUM(G41:G42)</f>
        <v>226.82631250000003</v>
      </c>
      <c r="H43" s="25">
        <f t="shared" si="1"/>
        <v>14.20237503655207</v>
      </c>
      <c r="I43" s="27">
        <f t="shared" si="2"/>
        <v>6.6795748427872059E-2</v>
      </c>
      <c r="J43" s="27">
        <f t="shared" si="10"/>
        <v>1.0761904761904761</v>
      </c>
      <c r="K43" s="47"/>
    </row>
    <row r="44" spans="1:11" x14ac:dyDescent="0.2">
      <c r="A44" s="42" t="s">
        <v>140</v>
      </c>
      <c r="B44" s="43"/>
      <c r="C44" s="26">
        <v>-0.08</v>
      </c>
      <c r="D44" s="26">
        <f>D41*C44</f>
        <v>-15.053022121306052</v>
      </c>
      <c r="E44" s="26"/>
      <c r="F44" s="26">
        <f>C44</f>
        <v>-0.08</v>
      </c>
      <c r="G44" s="26">
        <f>G41*F44</f>
        <v>-16.058500000000002</v>
      </c>
      <c r="H44" s="26">
        <f t="shared" si="1"/>
        <v>-1.0054778786939504</v>
      </c>
      <c r="I44" s="44">
        <f t="shared" si="2"/>
        <v>6.6795748427871948E-2</v>
      </c>
      <c r="J44" s="44">
        <f t="shared" si="10"/>
        <v>-7.6190476190476197E-2</v>
      </c>
      <c r="K44" s="45"/>
    </row>
    <row r="45" spans="1:11" s="1" customFormat="1" ht="13.5" thickBot="1" x14ac:dyDescent="0.25">
      <c r="A45" s="48" t="s">
        <v>141</v>
      </c>
      <c r="B45" s="49"/>
      <c r="C45" s="50"/>
      <c r="D45" s="50">
        <f>SUM(D43:D44)</f>
        <v>197.57091534214192</v>
      </c>
      <c r="E45" s="50"/>
      <c r="F45" s="50"/>
      <c r="G45" s="50">
        <f>SUM(G43:G44)</f>
        <v>210.76781250000002</v>
      </c>
      <c r="H45" s="50">
        <f t="shared" si="1"/>
        <v>13.196897157858103</v>
      </c>
      <c r="I45" s="51">
        <f t="shared" si="2"/>
        <v>6.6795748427871976E-2</v>
      </c>
      <c r="J45" s="51">
        <f t="shared" si="10"/>
        <v>1</v>
      </c>
      <c r="K45" s="52"/>
    </row>
    <row r="46" spans="1:11" x14ac:dyDescent="0.2">
      <c r="A46" s="53" t="s">
        <v>142</v>
      </c>
      <c r="B46" s="54"/>
      <c r="C46" s="55"/>
      <c r="D46" s="55">
        <f>SUM(D18,D24,D25,D27,D32,D39,D40)</f>
        <v>191.42332151632561</v>
      </c>
      <c r="E46" s="55"/>
      <c r="F46" s="55"/>
      <c r="G46" s="55">
        <f>SUM(G18,G24,G25,G27,G32,G39,G40)</f>
        <v>203.98026299999998</v>
      </c>
      <c r="H46" s="55">
        <f>G46-D46</f>
        <v>12.556941483674365</v>
      </c>
      <c r="I46" s="56">
        <f>IF(ISERROR(H46/D46),0,(H46/D46))</f>
        <v>6.5597761987446448E-2</v>
      </c>
      <c r="J46" s="56"/>
      <c r="K46" s="57">
        <f>G46/$G$50</f>
        <v>0.95238095238095244</v>
      </c>
    </row>
    <row r="47" spans="1:11" x14ac:dyDescent="0.2">
      <c r="A47" s="58" t="s">
        <v>138</v>
      </c>
      <c r="B47" s="59"/>
      <c r="C47" s="31">
        <v>0.13</v>
      </c>
      <c r="D47" s="31">
        <f>D46*C47</f>
        <v>24.88503179712233</v>
      </c>
      <c r="E47" s="31"/>
      <c r="F47" s="31">
        <f>C47</f>
        <v>0.13</v>
      </c>
      <c r="G47" s="31">
        <f>G46*F47</f>
        <v>26.517434189999999</v>
      </c>
      <c r="H47" s="31">
        <f>G47-D47</f>
        <v>1.632402392877669</v>
      </c>
      <c r="I47" s="32">
        <f>IF(ISERROR(H47/D47),0,(H47/D47))</f>
        <v>6.5597761987446518E-2</v>
      </c>
      <c r="J47" s="32"/>
      <c r="K47" s="60">
        <f>G47/$G$50</f>
        <v>0.12380952380952383</v>
      </c>
    </row>
    <row r="48" spans="1:11" x14ac:dyDescent="0.2">
      <c r="A48" s="141" t="s">
        <v>143</v>
      </c>
      <c r="B48" s="29"/>
      <c r="C48" s="30"/>
      <c r="D48" s="30">
        <f>SUM(D46:D47)</f>
        <v>216.30835331344795</v>
      </c>
      <c r="E48" s="30"/>
      <c r="F48" s="30"/>
      <c r="G48" s="30">
        <f>SUM(G46:G47)</f>
        <v>230.49769718999997</v>
      </c>
      <c r="H48" s="30">
        <f>G48-D48</f>
        <v>14.189343876552016</v>
      </c>
      <c r="I48" s="33">
        <f>IF(ISERROR(H48/D48),0,(H48/D48))</f>
        <v>6.5597761987446379E-2</v>
      </c>
      <c r="J48" s="33"/>
      <c r="K48" s="62">
        <f>G48/$G$50</f>
        <v>1.0761904761904761</v>
      </c>
    </row>
    <row r="49" spans="1:11" x14ac:dyDescent="0.2">
      <c r="A49" s="58" t="s">
        <v>140</v>
      </c>
      <c r="B49" s="59"/>
      <c r="C49" s="31">
        <v>-0.08</v>
      </c>
      <c r="D49" s="31">
        <f>D46*C49</f>
        <v>-15.313865721306049</v>
      </c>
      <c r="E49" s="31"/>
      <c r="F49" s="31">
        <f>C49</f>
        <v>-0.08</v>
      </c>
      <c r="G49" s="31">
        <f>G46*F49</f>
        <v>-16.318421039999997</v>
      </c>
      <c r="H49" s="31">
        <f>G49-D49</f>
        <v>-1.0045553186939475</v>
      </c>
      <c r="I49" s="32">
        <f>IF(ISERROR(H49/D49),0,(H49/D49))</f>
        <v>6.5597761987446337E-2</v>
      </c>
      <c r="J49" s="32"/>
      <c r="K49" s="60">
        <f>G49/$G$50</f>
        <v>-7.6190476190476183E-2</v>
      </c>
    </row>
    <row r="50" spans="1:11" ht="13.5" thickBot="1" x14ac:dyDescent="0.25">
      <c r="A50" s="63" t="s">
        <v>144</v>
      </c>
      <c r="B50" s="64"/>
      <c r="C50" s="65"/>
      <c r="D50" s="65">
        <f>SUM(D48:D49)</f>
        <v>200.99448759214189</v>
      </c>
      <c r="E50" s="65"/>
      <c r="F50" s="65"/>
      <c r="G50" s="65">
        <f>SUM(G48:G49)</f>
        <v>214.17927614999996</v>
      </c>
      <c r="H50" s="65">
        <f>G50-D50</f>
        <v>13.18478855785807</v>
      </c>
      <c r="I50" s="66">
        <f>IF(ISERROR(H50/D50),0,(H50/D50))</f>
        <v>6.5597761987446393E-2</v>
      </c>
      <c r="J50" s="66"/>
      <c r="K50" s="67">
        <f>G50/$G$50</f>
        <v>1</v>
      </c>
    </row>
    <row r="51" spans="1:11" x14ac:dyDescent="0.2">
      <c r="C51" s="68"/>
      <c r="F51" s="69"/>
    </row>
    <row r="52" spans="1:11" x14ac:dyDescent="0.2">
      <c r="F52" s="69"/>
    </row>
    <row r="53" spans="1:11" x14ac:dyDescent="0.2">
      <c r="F53" s="69"/>
    </row>
    <row r="54" spans="1:11" x14ac:dyDescent="0.2">
      <c r="A54" s="70"/>
      <c r="B54" s="71"/>
      <c r="F54" s="69"/>
    </row>
    <row r="55" spans="1:11" x14ac:dyDescent="0.2">
      <c r="B55" s="71"/>
      <c r="F55" s="69"/>
    </row>
    <row r="56" spans="1:11" x14ac:dyDescent="0.2">
      <c r="F56" s="69"/>
    </row>
    <row r="57" spans="1:11" x14ac:dyDescent="0.2">
      <c r="D57" s="72"/>
      <c r="F57" s="69"/>
    </row>
    <row r="58" spans="1:11" x14ac:dyDescent="0.2">
      <c r="F58" s="69"/>
    </row>
    <row r="59" spans="1:11" x14ac:dyDescent="0.2">
      <c r="A59" s="70"/>
      <c r="B59" s="71"/>
      <c r="F59" s="69"/>
    </row>
    <row r="60" spans="1:11" x14ac:dyDescent="0.2">
      <c r="B60" s="72"/>
      <c r="D60" s="72"/>
      <c r="F60" s="69"/>
    </row>
    <row r="61" spans="1:11" x14ac:dyDescent="0.2">
      <c r="F61" s="69"/>
    </row>
    <row r="62" spans="1:11" x14ac:dyDescent="0.2">
      <c r="F62" s="69"/>
    </row>
    <row r="63" spans="1:11" x14ac:dyDescent="0.2">
      <c r="F63" s="69"/>
      <c r="K63"/>
    </row>
    <row r="64" spans="1:11" x14ac:dyDescent="0.2">
      <c r="F64" s="69"/>
      <c r="K64"/>
    </row>
    <row r="65" spans="6:11" x14ac:dyDescent="0.2">
      <c r="F65" s="69"/>
      <c r="K65"/>
    </row>
    <row r="66" spans="6:11" x14ac:dyDescent="0.2">
      <c r="F66" s="69"/>
      <c r="K66"/>
    </row>
    <row r="67" spans="6:11" x14ac:dyDescent="0.2">
      <c r="F67" s="69"/>
      <c r="K67"/>
    </row>
  </sheetData>
  <mergeCells count="1">
    <mergeCell ref="A1:K1"/>
  </mergeCell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Impacts'!$A$3:$A$21</xm:f>
          </x14:formula1>
          <xm:sqref>B3</xm:sqref>
        </x14:dataValidation>
      </x14:dataValidations>
    </ext>
  </extLst>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9">
    <pageSetUpPr fitToPage="1"/>
  </sheetPr>
  <dimension ref="A1:K67"/>
  <sheetViews>
    <sheetView topLeftCell="A19" workbookViewId="0">
      <selection activeCell="C19" sqref="C19"/>
    </sheetView>
  </sheetViews>
  <sheetFormatPr defaultRowHeight="12.75" x14ac:dyDescent="0.2"/>
  <cols>
    <col min="1" max="1" width="64.7109375" bestFit="1" customWidth="1"/>
    <col min="2" max="2" width="15.5703125" bestFit="1" customWidth="1"/>
    <col min="3" max="3" width="12.1406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48" t="s">
        <v>112</v>
      </c>
      <c r="B1" s="349"/>
      <c r="C1" s="349"/>
      <c r="D1" s="349"/>
      <c r="E1" s="349"/>
      <c r="F1" s="349"/>
      <c r="G1" s="349"/>
      <c r="H1" s="349"/>
      <c r="I1" s="349"/>
      <c r="J1" s="349"/>
      <c r="K1" s="350"/>
    </row>
    <row r="3" spans="1:11" x14ac:dyDescent="0.2">
      <c r="A3" s="13" t="s">
        <v>13</v>
      </c>
      <c r="B3" s="13" t="s">
        <v>181</v>
      </c>
      <c r="C3" s="13" t="s">
        <v>120</v>
      </c>
    </row>
    <row r="4" spans="1:11" x14ac:dyDescent="0.2">
      <c r="A4" s="15" t="s">
        <v>62</v>
      </c>
      <c r="B4" s="79">
        <f>C4</f>
        <v>1819.4414974238871</v>
      </c>
      <c r="C4" s="79">
        <f>'Data for Bill Impacts_HONI Avg '!E29</f>
        <v>1819.4414974238871</v>
      </c>
    </row>
    <row r="5" spans="1:11" x14ac:dyDescent="0.2">
      <c r="A5" s="15" t="s">
        <v>16</v>
      </c>
      <c r="B5" s="15">
        <f>VLOOKUP($B$3,'Data for Bill Impacts'!$A$3:$Y$39,5,0)</f>
        <v>0</v>
      </c>
      <c r="C5" s="15">
        <f>B5</f>
        <v>0</v>
      </c>
    </row>
    <row r="6" spans="1:11" x14ac:dyDescent="0.2">
      <c r="A6" s="15" t="s">
        <v>20</v>
      </c>
      <c r="B6" s="15">
        <f>VLOOKUP($B$3,'Data for Bill Impacts'!$A$3:$Y$39,2,0)</f>
        <v>1.0667</v>
      </c>
      <c r="C6" s="15">
        <f>VLOOKUP($C$3,'Data for Bill Impacts'!$A$3:$Y$39,2,0)</f>
        <v>1.0654999999999999</v>
      </c>
    </row>
    <row r="7" spans="1:11" x14ac:dyDescent="0.2">
      <c r="A7" s="15" t="s">
        <v>15</v>
      </c>
      <c r="B7" s="15">
        <f>VLOOKUP($B$3,'Data for Bill Impacts'!$A$3:$Y$39,4,0)</f>
        <v>750</v>
      </c>
      <c r="C7" s="15">
        <f>B7</f>
        <v>750</v>
      </c>
    </row>
    <row r="8" spans="1:11" x14ac:dyDescent="0.2">
      <c r="A8" s="15" t="s">
        <v>82</v>
      </c>
      <c r="B8" s="164">
        <f>B4*B6</f>
        <v>1940.7982453020604</v>
      </c>
      <c r="C8" s="164">
        <f>C4*C6</f>
        <v>1938.6149155051514</v>
      </c>
    </row>
    <row r="9" spans="1:11" x14ac:dyDescent="0.2">
      <c r="A9" s="15" t="s">
        <v>21</v>
      </c>
      <c r="B9" s="16" t="str">
        <f>VLOOKUP($B$3,'Data for Bill Impacts'!$A$3:$Y$39,6,0)</f>
        <v>kWh</v>
      </c>
      <c r="C9" s="16" t="str">
        <f>VLOOKUP($C$3,'Data for Bill Impacts'!$A$3:$Y$39,6,0)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0.10299999999999999</v>
      </c>
      <c r="D12" s="104">
        <f>B12*C12</f>
        <v>77.25</v>
      </c>
      <c r="E12" s="102">
        <f>B12</f>
        <v>750</v>
      </c>
      <c r="F12" s="103">
        <f>C12</f>
        <v>0.10299999999999999</v>
      </c>
      <c r="G12" s="104">
        <f>E12*F12</f>
        <v>77.25</v>
      </c>
      <c r="H12" s="104">
        <f>G12-D12</f>
        <v>0</v>
      </c>
      <c r="I12" s="105">
        <f>IF(ISERROR(H12/D12),0,(H12/D12))</f>
        <v>0</v>
      </c>
      <c r="J12" s="105">
        <f>G12/$G$45</f>
        <v>0.21513409126389399</v>
      </c>
      <c r="K12" s="106"/>
    </row>
    <row r="13" spans="1:11" x14ac:dyDescent="0.2">
      <c r="A13" s="107" t="s">
        <v>32</v>
      </c>
      <c r="B13" s="73">
        <f>IF(B4&gt;B7,(B4)-B7,0)</f>
        <v>1069.4414974238871</v>
      </c>
      <c r="C13" s="21">
        <v>0.121</v>
      </c>
      <c r="D13" s="22">
        <f>B13*C13</f>
        <v>129.40242118829033</v>
      </c>
      <c r="E13" s="73">
        <f t="shared" ref="E13" si="0">B13</f>
        <v>1069.4414974238871</v>
      </c>
      <c r="F13" s="21">
        <f>C13</f>
        <v>0.121</v>
      </c>
      <c r="G13" s="22">
        <f>E13*F13</f>
        <v>129.40242118829033</v>
      </c>
      <c r="H13" s="22">
        <f t="shared" ref="H13:H45" si="1">G13-D13</f>
        <v>0</v>
      </c>
      <c r="I13" s="23">
        <f t="shared" ref="I13:I45" si="2">IF(ISERROR(H13/D13),0,(H13/D13))</f>
        <v>0</v>
      </c>
      <c r="J13" s="23">
        <f>G13/$G$45</f>
        <v>0.36037375132285437</v>
      </c>
      <c r="K13" s="108"/>
    </row>
    <row r="14" spans="1:11" s="1" customFormat="1" x14ac:dyDescent="0.2">
      <c r="A14" s="46" t="s">
        <v>33</v>
      </c>
      <c r="B14" s="24"/>
      <c r="C14" s="25"/>
      <c r="D14" s="25">
        <f>SUM(D12:D13)</f>
        <v>206.65242118829033</v>
      </c>
      <c r="E14" s="76"/>
      <c r="F14" s="25"/>
      <c r="G14" s="25">
        <f>SUM(G12:G13)</f>
        <v>206.65242118829033</v>
      </c>
      <c r="H14" s="25">
        <f t="shared" si="1"/>
        <v>0</v>
      </c>
      <c r="I14" s="27">
        <f t="shared" si="2"/>
        <v>0</v>
      </c>
      <c r="J14" s="27">
        <f>G14/$G$45</f>
        <v>0.57550784258674836</v>
      </c>
      <c r="K14" s="108"/>
    </row>
    <row r="15" spans="1:11" s="1" customFormat="1" x14ac:dyDescent="0.2">
      <c r="A15" s="109" t="s">
        <v>34</v>
      </c>
      <c r="B15" s="75">
        <f>B4*0.65</f>
        <v>1182.6369733255267</v>
      </c>
      <c r="C15" s="28">
        <v>8.6999999999999994E-2</v>
      </c>
      <c r="D15" s="22">
        <f>B15*C15</f>
        <v>102.88941667932082</v>
      </c>
      <c r="E15" s="73">
        <f t="shared" ref="E15:F17" si="3">B15</f>
        <v>1182.6369733255267</v>
      </c>
      <c r="F15" s="28">
        <f t="shared" si="3"/>
        <v>8.6999999999999994E-2</v>
      </c>
      <c r="G15" s="22">
        <f>E15*F15</f>
        <v>102.88941667932082</v>
      </c>
      <c r="H15" s="22">
        <f t="shared" si="1"/>
        <v>0</v>
      </c>
      <c r="I15" s="23">
        <f t="shared" si="2"/>
        <v>0</v>
      </c>
      <c r="J15" s="23"/>
      <c r="K15" s="108">
        <f t="shared" ref="K15:K25" si="4">G15/$G$50</f>
        <v>0.29091947064350948</v>
      </c>
    </row>
    <row r="16" spans="1:11" s="1" customFormat="1" x14ac:dyDescent="0.2">
      <c r="A16" s="109" t="s">
        <v>35</v>
      </c>
      <c r="B16" s="75">
        <f>B4*0.17</f>
        <v>309.30505456206083</v>
      </c>
      <c r="C16" s="28">
        <v>0.13200000000000001</v>
      </c>
      <c r="D16" s="22">
        <f>B16*C16</f>
        <v>40.828267202192031</v>
      </c>
      <c r="E16" s="73">
        <f t="shared" si="3"/>
        <v>309.30505456206083</v>
      </c>
      <c r="F16" s="28">
        <f t="shared" si="3"/>
        <v>0.13200000000000001</v>
      </c>
      <c r="G16" s="22">
        <f>E16*F16</f>
        <v>40.828267202192031</v>
      </c>
      <c r="H16" s="22">
        <f t="shared" si="1"/>
        <v>0</v>
      </c>
      <c r="I16" s="23">
        <f t="shared" si="2"/>
        <v>0</v>
      </c>
      <c r="J16" s="23"/>
      <c r="K16" s="108">
        <f t="shared" si="4"/>
        <v>0.11544178463731837</v>
      </c>
    </row>
    <row r="17" spans="1:11" s="1" customFormat="1" x14ac:dyDescent="0.2">
      <c r="A17" s="109" t="s">
        <v>36</v>
      </c>
      <c r="B17" s="75">
        <f>B4*0.18</f>
        <v>327.49946953629967</v>
      </c>
      <c r="C17" s="28">
        <v>0.18</v>
      </c>
      <c r="D17" s="22">
        <f>B17*C17</f>
        <v>58.949904516533941</v>
      </c>
      <c r="E17" s="73">
        <f t="shared" si="3"/>
        <v>327.49946953629967</v>
      </c>
      <c r="F17" s="28">
        <f t="shared" si="3"/>
        <v>0.18</v>
      </c>
      <c r="G17" s="22">
        <f>E17*F17</f>
        <v>58.949904516533941</v>
      </c>
      <c r="H17" s="22">
        <f t="shared" si="1"/>
        <v>0</v>
      </c>
      <c r="I17" s="23">
        <f t="shared" si="2"/>
        <v>0</v>
      </c>
      <c r="J17" s="23"/>
      <c r="K17" s="108">
        <f t="shared" si="4"/>
        <v>0.16668065161537943</v>
      </c>
    </row>
    <row r="18" spans="1:11" s="1" customFormat="1" x14ac:dyDescent="0.2">
      <c r="A18" s="61" t="s">
        <v>37</v>
      </c>
      <c r="B18" s="29"/>
      <c r="C18" s="30"/>
      <c r="D18" s="30">
        <f>SUM(D15:D17)</f>
        <v>202.66758839804677</v>
      </c>
      <c r="E18" s="77"/>
      <c r="F18" s="30"/>
      <c r="G18" s="30">
        <f>SUM(G15:G17)</f>
        <v>202.66758839804677</v>
      </c>
      <c r="H18" s="31">
        <f t="shared" si="1"/>
        <v>0</v>
      </c>
      <c r="I18" s="32">
        <f t="shared" si="2"/>
        <v>0</v>
      </c>
      <c r="J18" s="33">
        <f>G18/$G$45</f>
        <v>0.56441045253927113</v>
      </c>
      <c r="K18" s="62">
        <f t="shared" si="4"/>
        <v>0.57304190689620726</v>
      </c>
    </row>
    <row r="19" spans="1:11" x14ac:dyDescent="0.2">
      <c r="A19" s="107" t="s">
        <v>38</v>
      </c>
      <c r="B19" s="73">
        <v>1</v>
      </c>
      <c r="C19" s="122">
        <f>VLOOKUP($C$3,'Data for Bill Impacts'!$A$3:$Y$39,7,0)</f>
        <v>26.94</v>
      </c>
      <c r="D19" s="22">
        <f>B19*C19</f>
        <v>26.94</v>
      </c>
      <c r="E19" s="73">
        <f t="shared" ref="E19:E40" si="5">B19</f>
        <v>1</v>
      </c>
      <c r="F19" s="78">
        <f>VLOOKUP($B$3,'Data for Bill Impacts'!$A$3:$Y$39,17,0)</f>
        <v>40.82</v>
      </c>
      <c r="G19" s="22">
        <f>E19*F19</f>
        <v>40.82</v>
      </c>
      <c r="H19" s="22">
        <f t="shared" si="1"/>
        <v>13.879999999999999</v>
      </c>
      <c r="I19" s="23">
        <f t="shared" si="2"/>
        <v>0.51521900519673347</v>
      </c>
      <c r="J19" s="23">
        <f>G19/$G$45</f>
        <v>0.11367991722190489</v>
      </c>
      <c r="K19" s="108">
        <f t="shared" si="4"/>
        <v>0.11541840915164617</v>
      </c>
    </row>
    <row r="20" spans="1:11" x14ac:dyDescent="0.2">
      <c r="A20" s="107" t="s">
        <v>188</v>
      </c>
      <c r="B20" s="73">
        <v>1</v>
      </c>
      <c r="C20" s="122">
        <f>'Data for Bill Impacts'!K29</f>
        <v>-0.27</v>
      </c>
      <c r="D20" s="22">
        <f>B20*C20</f>
        <v>-0.27</v>
      </c>
      <c r="E20" s="73">
        <f t="shared" si="5"/>
        <v>1</v>
      </c>
      <c r="F20" s="122">
        <v>0</v>
      </c>
      <c r="G20" s="22">
        <f t="shared" ref="G20" si="6">E20*F20</f>
        <v>0</v>
      </c>
      <c r="H20" s="22">
        <f t="shared" si="1"/>
        <v>0.27</v>
      </c>
      <c r="I20" s="23">
        <f t="shared" si="2"/>
        <v>-1</v>
      </c>
      <c r="J20" s="23">
        <f>G20/$G$45</f>
        <v>0</v>
      </c>
      <c r="K20" s="108">
        <f t="shared" si="4"/>
        <v>0</v>
      </c>
    </row>
    <row r="21" spans="1:11" x14ac:dyDescent="0.2">
      <c r="A21" s="107" t="s">
        <v>39</v>
      </c>
      <c r="B21" s="73">
        <f>C4</f>
        <v>1819.4414974238871</v>
      </c>
      <c r="C21" s="78">
        <f>VLOOKUP($C$3,'Data for Bill Impacts'!$A$3:$Y$39,10,0)</f>
        <v>1.9E-2</v>
      </c>
      <c r="D21" s="22">
        <f>B21*C21</f>
        <v>34.569388451053854</v>
      </c>
      <c r="E21" s="73">
        <f>B4</f>
        <v>1819.4414974238871</v>
      </c>
      <c r="F21" s="78">
        <f>VLOOKUP($B$3,'Data for Bill Impacts'!$A$3:$Y$39,19,0)</f>
        <v>1.8700000000000001E-2</v>
      </c>
      <c r="G21" s="22">
        <f>E21*F21</f>
        <v>34.023556001826691</v>
      </c>
      <c r="H21" s="22">
        <f t="shared" si="1"/>
        <v>-0.5458324492271629</v>
      </c>
      <c r="I21" s="23">
        <f t="shared" si="2"/>
        <v>-1.5789473684210433E-2</v>
      </c>
      <c r="J21" s="23">
        <f>G21/$G$45</f>
        <v>9.4752450511575298E-2</v>
      </c>
      <c r="K21" s="108">
        <f t="shared" si="4"/>
        <v>9.6201487197765306E-2</v>
      </c>
    </row>
    <row r="22" spans="1:11" x14ac:dyDescent="0.2">
      <c r="A22" s="107" t="s">
        <v>189</v>
      </c>
      <c r="B22" s="73">
        <f>C4</f>
        <v>1819.4414974238871</v>
      </c>
      <c r="C22" s="78">
        <f>'Data for Bill Impacts'!H29</f>
        <v>4.0000000000000002E-4</v>
      </c>
      <c r="D22" s="22">
        <f>B22*C22</f>
        <v>0.72777659896955482</v>
      </c>
      <c r="E22" s="73">
        <f>C4</f>
        <v>1819.4414974238871</v>
      </c>
      <c r="F22" s="126">
        <v>0</v>
      </c>
      <c r="G22" s="22">
        <f>E22*F22</f>
        <v>0</v>
      </c>
      <c r="H22" s="22">
        <f t="shared" ref="H22" si="7">G22-D22</f>
        <v>-0.72777659896955482</v>
      </c>
      <c r="I22" s="23">
        <f t="shared" ref="I22" si="8">IF(ISERROR(H22/D22),0,(H22/D22))</f>
        <v>-1</v>
      </c>
      <c r="J22" s="23">
        <f>G22/$G$45</f>
        <v>0</v>
      </c>
      <c r="K22" s="108">
        <f t="shared" si="4"/>
        <v>0</v>
      </c>
    </row>
    <row r="23" spans="1:11" x14ac:dyDescent="0.2">
      <c r="A23" s="107" t="s">
        <v>194</v>
      </c>
      <c r="B23" s="73">
        <f>IF($B$9="kWh",$B$4,$B$5)</f>
        <v>1819.4414974238871</v>
      </c>
      <c r="C23" s="78">
        <f>'Data for Bill Impacts'!L29</f>
        <v>-2.0000000000000001E-4</v>
      </c>
      <c r="D23" s="22">
        <f>B23*C23</f>
        <v>-0.36388829948477741</v>
      </c>
      <c r="E23" s="73">
        <f t="shared" si="5"/>
        <v>1819.4414974238871</v>
      </c>
      <c r="F23" s="126">
        <v>0</v>
      </c>
      <c r="G23" s="22">
        <f>E23*F23</f>
        <v>0</v>
      </c>
      <c r="H23" s="22">
        <f t="shared" si="1"/>
        <v>0.36388829948477741</v>
      </c>
      <c r="I23" s="23">
        <f>IF(ISERROR(H23/D23),0,(H23/D23))</f>
        <v>-1</v>
      </c>
      <c r="J23" s="23">
        <f t="shared" ref="J23" si="9">G23/$G$45</f>
        <v>0</v>
      </c>
      <c r="K23" s="108">
        <f t="shared" si="4"/>
        <v>0</v>
      </c>
    </row>
    <row r="24" spans="1:11" s="1" customFormat="1" x14ac:dyDescent="0.2">
      <c r="A24" s="110" t="s">
        <v>72</v>
      </c>
      <c r="B24" s="74"/>
      <c r="C24" s="35"/>
      <c r="D24" s="35">
        <f>SUM(D19:D23)</f>
        <v>61.603276750538633</v>
      </c>
      <c r="E24" s="73"/>
      <c r="F24" s="35"/>
      <c r="G24" s="35">
        <f>SUM(G19:G23)</f>
        <v>74.843556001826698</v>
      </c>
      <c r="H24" s="35">
        <f t="shared" si="1"/>
        <v>13.240279251288065</v>
      </c>
      <c r="I24" s="36">
        <f t="shared" si="2"/>
        <v>0.21492816534588474</v>
      </c>
      <c r="J24" s="36">
        <f>G24/$G$45</f>
        <v>0.2084323677334802</v>
      </c>
      <c r="K24" s="111">
        <f t="shared" si="4"/>
        <v>0.2116198963494115</v>
      </c>
    </row>
    <row r="25" spans="1:11" s="1" customFormat="1" x14ac:dyDescent="0.2">
      <c r="A25" s="119" t="s">
        <v>73</v>
      </c>
      <c r="B25" s="120">
        <v>1</v>
      </c>
      <c r="C25" s="78">
        <f>VLOOKUP($C$3,'Data for Bill Impacts'!$A$3:$Y$39,9,0)</f>
        <v>0.79</v>
      </c>
      <c r="D25" s="22">
        <f>B25*C25</f>
        <v>0.79</v>
      </c>
      <c r="E25" s="73">
        <v>1</v>
      </c>
      <c r="F25" s="78">
        <f>VLOOKUP($B$3,'Data for Bill Impacts'!$A$3:$Y$39,18,0)</f>
        <v>0.79</v>
      </c>
      <c r="G25" s="22">
        <f>E25*F25</f>
        <v>0.79</v>
      </c>
      <c r="H25" s="22">
        <f t="shared" si="1"/>
        <v>0</v>
      </c>
      <c r="I25" s="23">
        <f>IF(ISERROR(H25/D25),0,(H25/D25))</f>
        <v>0</v>
      </c>
      <c r="J25" s="23">
        <f>G25/$G$45</f>
        <v>2.2000767909187867E-3</v>
      </c>
      <c r="K25" s="108">
        <f t="shared" si="4"/>
        <v>2.2337222741254403E-3</v>
      </c>
    </row>
    <row r="26" spans="1:11" s="1" customFormat="1" x14ac:dyDescent="0.2">
      <c r="A26" s="119" t="s">
        <v>75</v>
      </c>
      <c r="B26" s="120">
        <f>C8-C4</f>
        <v>119.17341808126434</v>
      </c>
      <c r="C26" s="121">
        <f>IF(C4&gt;C7,C13,C12)</f>
        <v>0.121</v>
      </c>
      <c r="D26" s="22">
        <f>B26*C26</f>
        <v>14.419983587832986</v>
      </c>
      <c r="E26" s="73">
        <f>B8-B4</f>
        <v>121.35674787817334</v>
      </c>
      <c r="F26" s="121">
        <f>IF(B4&gt;B7,C13,C12)</f>
        <v>0.121</v>
      </c>
      <c r="G26" s="22">
        <f>E26*F26</f>
        <v>14.684166493258973</v>
      </c>
      <c r="H26" s="22">
        <f t="shared" si="1"/>
        <v>0.26418290542598655</v>
      </c>
      <c r="I26" s="23">
        <f>IF(ISERROR(H26/D26),0,(H26/D26))</f>
        <v>1.8320610687025587E-2</v>
      </c>
      <c r="J26" s="23">
        <f t="shared" ref="J26:J45" si="10">G26/$G$45</f>
        <v>4.0894042906084012E-2</v>
      </c>
      <c r="K26" s="108">
        <f t="shared" ref="K26:K40" si="11">G26/$G$50</f>
        <v>4.1519430092353198E-2</v>
      </c>
    </row>
    <row r="27" spans="1:11" s="1" customFormat="1" x14ac:dyDescent="0.2">
      <c r="A27" s="119" t="s">
        <v>74</v>
      </c>
      <c r="B27" s="120">
        <f>C8-C4</f>
        <v>119.17341808126434</v>
      </c>
      <c r="C27" s="121">
        <f>0.65*C15+0.17*C16+0.18*C17</f>
        <v>0.11139</v>
      </c>
      <c r="D27" s="22">
        <f>B27*C27</f>
        <v>13.274727040072035</v>
      </c>
      <c r="E27" s="73">
        <f>B8-B4</f>
        <v>121.35674787817334</v>
      </c>
      <c r="F27" s="121">
        <f>C27</f>
        <v>0.11139</v>
      </c>
      <c r="G27" s="22">
        <f>E27*F27</f>
        <v>13.517928146149728</v>
      </c>
      <c r="H27" s="22">
        <f t="shared" si="1"/>
        <v>0.2432011060776933</v>
      </c>
      <c r="I27" s="23">
        <f>IF(ISERROR(H27/D27),0,(H27/D27))</f>
        <v>1.8320610687025739E-2</v>
      </c>
      <c r="J27" s="23">
        <f t="shared" si="10"/>
        <v>3.7646177184369412E-2</v>
      </c>
      <c r="K27" s="108">
        <f t="shared" si="11"/>
        <v>3.8221895189977047E-2</v>
      </c>
    </row>
    <row r="28" spans="1:11" s="1" customFormat="1" x14ac:dyDescent="0.2">
      <c r="A28" s="110" t="s">
        <v>78</v>
      </c>
      <c r="B28" s="74"/>
      <c r="C28" s="35"/>
      <c r="D28" s="35">
        <f>SUM(D24,D25:D26)</f>
        <v>76.81326033837162</v>
      </c>
      <c r="E28" s="73"/>
      <c r="F28" s="35"/>
      <c r="G28" s="35">
        <f>SUM(G24,G25:G26)</f>
        <v>90.317722495085675</v>
      </c>
      <c r="H28" s="35">
        <f t="shared" si="1"/>
        <v>13.504462156714055</v>
      </c>
      <c r="I28" s="36">
        <f>IF(ISERROR(H28/D28),0,(H28/D28))</f>
        <v>0.17580899570237327</v>
      </c>
      <c r="J28" s="36">
        <f t="shared" si="10"/>
        <v>0.251526487430483</v>
      </c>
      <c r="K28" s="111">
        <f t="shared" si="11"/>
        <v>0.25537304871589012</v>
      </c>
    </row>
    <row r="29" spans="1:11" s="1" customFormat="1" x14ac:dyDescent="0.2">
      <c r="A29" s="110" t="s">
        <v>77</v>
      </c>
      <c r="B29" s="74"/>
      <c r="C29" s="35"/>
      <c r="D29" s="35">
        <f>SUM(D24,D25,D27)</f>
        <v>75.668003790610669</v>
      </c>
      <c r="E29" s="73"/>
      <c r="F29" s="35"/>
      <c r="G29" s="35">
        <f>SUM(G24,G25,G27)</f>
        <v>89.151484147976433</v>
      </c>
      <c r="H29" s="35">
        <f t="shared" si="1"/>
        <v>13.483480357365764</v>
      </c>
      <c r="I29" s="36">
        <f>IF(ISERROR(H29/D29),0,(H29/D29))</f>
        <v>0.17819262676305561</v>
      </c>
      <c r="J29" s="36">
        <f t="shared" si="10"/>
        <v>0.24827862170876841</v>
      </c>
      <c r="K29" s="111">
        <f t="shared" si="11"/>
        <v>0.25207551381351401</v>
      </c>
    </row>
    <row r="30" spans="1:11" x14ac:dyDescent="0.2">
      <c r="A30" s="107" t="s">
        <v>40</v>
      </c>
      <c r="B30" s="73">
        <f>$C$8</f>
        <v>1938.6149155051514</v>
      </c>
      <c r="C30" s="126">
        <f>VLOOKUP($C$3,'Data for Bill Impacts'!$A$3:$Y$39,15,0)</f>
        <v>5.8707628331982429E-3</v>
      </c>
      <c r="D30" s="22">
        <f>B30*C30</f>
        <v>11.381148393831396</v>
      </c>
      <c r="E30" s="73">
        <f>$B$8</f>
        <v>1940.7982453020604</v>
      </c>
      <c r="F30" s="78">
        <f>VLOOKUP($B$3,'Data for Bill Impacts'!$A$3:$Y$39,24,0)</f>
        <v>5.3E-3</v>
      </c>
      <c r="G30" s="22">
        <f>E30*F30</f>
        <v>10.286230700100921</v>
      </c>
      <c r="H30" s="22">
        <f t="shared" si="1"/>
        <v>-1.0949176937304745</v>
      </c>
      <c r="I30" s="23">
        <f t="shared" si="2"/>
        <v>-9.6204500270282226E-2</v>
      </c>
      <c r="J30" s="23">
        <f t="shared" si="10"/>
        <v>2.8646199277630804E-2</v>
      </c>
      <c r="K30" s="108">
        <f t="shared" si="11"/>
        <v>2.9084281812162466E-2</v>
      </c>
    </row>
    <row r="31" spans="1:11" x14ac:dyDescent="0.2">
      <c r="A31" s="107" t="s">
        <v>41</v>
      </c>
      <c r="B31" s="73">
        <f>$C$8</f>
        <v>1938.6149155051514</v>
      </c>
      <c r="C31" s="126">
        <f>VLOOKUP($C$3,'Data for Bill Impacts'!$A$3:$Y$39,16,0)</f>
        <v>4.9991353519971207E-3</v>
      </c>
      <c r="D31" s="22">
        <f>B31*C31</f>
        <v>9.6913983580107139</v>
      </c>
      <c r="E31" s="73">
        <f>$B$8</f>
        <v>1940.7982453020604</v>
      </c>
      <c r="F31" s="78">
        <f>VLOOKUP($B$3,'Data for Bill Impacts'!$A$3:$Y$39,25,0)</f>
        <v>4.4000000000000003E-3</v>
      </c>
      <c r="G31" s="22">
        <f>E31*F31</f>
        <v>8.5395122793290668</v>
      </c>
      <c r="H31" s="22">
        <f t="shared" si="1"/>
        <v>-1.1518860786816472</v>
      </c>
      <c r="I31" s="23">
        <f t="shared" si="2"/>
        <v>-0.11885654021532624</v>
      </c>
      <c r="J31" s="23">
        <f t="shared" si="10"/>
        <v>2.3781750343693498E-2</v>
      </c>
      <c r="K31" s="108">
        <f t="shared" si="11"/>
        <v>2.4145441504436767E-2</v>
      </c>
    </row>
    <row r="32" spans="1:11" s="1" customFormat="1" x14ac:dyDescent="0.2">
      <c r="A32" s="110" t="s">
        <v>76</v>
      </c>
      <c r="B32" s="74"/>
      <c r="C32" s="35"/>
      <c r="D32" s="35">
        <f>SUM(D30:D31)</f>
        <v>21.072546751842111</v>
      </c>
      <c r="E32" s="73"/>
      <c r="F32" s="35"/>
      <c r="G32" s="35">
        <f>SUM(G30:G31)</f>
        <v>18.82574297942999</v>
      </c>
      <c r="H32" s="35">
        <f t="shared" si="1"/>
        <v>-2.2468037724121217</v>
      </c>
      <c r="I32" s="36">
        <f t="shared" si="2"/>
        <v>-0.10662231759982745</v>
      </c>
      <c r="J32" s="36">
        <f t="shared" si="10"/>
        <v>5.2427949621324306E-2</v>
      </c>
      <c r="K32" s="111">
        <f t="shared" si="11"/>
        <v>5.322972331659924E-2</v>
      </c>
    </row>
    <row r="33" spans="1:11" s="1" customFormat="1" x14ac:dyDescent="0.2">
      <c r="A33" s="110" t="s">
        <v>95</v>
      </c>
      <c r="B33" s="74"/>
      <c r="C33" s="35"/>
      <c r="D33" s="35">
        <f>D28+D32</f>
        <v>97.885807090213731</v>
      </c>
      <c r="E33" s="73"/>
      <c r="F33" s="35"/>
      <c r="G33" s="35">
        <f>G28+G32</f>
        <v>109.14346547451566</v>
      </c>
      <c r="H33" s="35">
        <f t="shared" si="1"/>
        <v>11.257658384301934</v>
      </c>
      <c r="I33" s="36">
        <f t="shared" si="2"/>
        <v>0.11500807644081257</v>
      </c>
      <c r="J33" s="36">
        <f t="shared" si="10"/>
        <v>0.3039544370518073</v>
      </c>
      <c r="K33" s="111">
        <f t="shared" si="11"/>
        <v>0.30860277203248937</v>
      </c>
    </row>
    <row r="34" spans="1:11" s="1" customFormat="1" x14ac:dyDescent="0.2">
      <c r="A34" s="110" t="s">
        <v>96</v>
      </c>
      <c r="B34" s="74"/>
      <c r="C34" s="35"/>
      <c r="D34" s="35">
        <f>D29+D32</f>
        <v>96.74055054245278</v>
      </c>
      <c r="E34" s="73"/>
      <c r="F34" s="35"/>
      <c r="G34" s="35">
        <f>G29+G32</f>
        <v>107.97722712740642</v>
      </c>
      <c r="H34" s="35">
        <f t="shared" si="1"/>
        <v>11.236676584953642</v>
      </c>
      <c r="I34" s="36">
        <f t="shared" si="2"/>
        <v>0.11615270454784767</v>
      </c>
      <c r="J34" s="36">
        <f t="shared" si="10"/>
        <v>0.30070657133009271</v>
      </c>
      <c r="K34" s="111">
        <f t="shared" si="11"/>
        <v>0.30530523713011326</v>
      </c>
    </row>
    <row r="35" spans="1:11" x14ac:dyDescent="0.2">
      <c r="A35" s="107" t="s">
        <v>42</v>
      </c>
      <c r="B35" s="73">
        <f>$C$8</f>
        <v>1938.6149155051514</v>
      </c>
      <c r="C35" s="34">
        <v>3.5999999999999999E-3</v>
      </c>
      <c r="D35" s="22">
        <f>B35*C35</f>
        <v>6.9790136958185451</v>
      </c>
      <c r="E35" s="73">
        <f>$B$8</f>
        <v>1940.7982453020604</v>
      </c>
      <c r="F35" s="34">
        <v>3.5999999999999999E-3</v>
      </c>
      <c r="G35" s="22">
        <f>E35*F35</f>
        <v>6.986873683087417</v>
      </c>
      <c r="H35" s="22">
        <f t="shared" si="1"/>
        <v>7.8599872688718264E-3</v>
      </c>
      <c r="I35" s="23">
        <f t="shared" si="2"/>
        <v>1.1262318160488944E-3</v>
      </c>
      <c r="J35" s="23">
        <f t="shared" si="10"/>
        <v>1.9457795735749222E-2</v>
      </c>
      <c r="K35" s="108">
        <f t="shared" si="11"/>
        <v>1.9755361230902806E-2</v>
      </c>
    </row>
    <row r="36" spans="1:11" x14ac:dyDescent="0.2">
      <c r="A36" s="107" t="s">
        <v>43</v>
      </c>
      <c r="B36" s="73">
        <f>$C$8</f>
        <v>1938.6149155051514</v>
      </c>
      <c r="C36" s="34">
        <v>2.0999999999999999E-3</v>
      </c>
      <c r="D36" s="22">
        <f>B36*C36</f>
        <v>4.0710913225608181</v>
      </c>
      <c r="E36" s="73">
        <f>$B$8</f>
        <v>1940.7982453020604</v>
      </c>
      <c r="F36" s="34">
        <v>2.0999999999999999E-3</v>
      </c>
      <c r="G36" s="22">
        <f>E36*F36</f>
        <v>4.0756763151343263</v>
      </c>
      <c r="H36" s="22">
        <f>G36-D36</f>
        <v>4.5849925735081953E-3</v>
      </c>
      <c r="I36" s="23">
        <f t="shared" si="2"/>
        <v>1.1262318160488035E-3</v>
      </c>
      <c r="J36" s="23">
        <f t="shared" si="10"/>
        <v>1.1350380845853712E-2</v>
      </c>
      <c r="K36" s="108">
        <f t="shared" si="11"/>
        <v>1.1523960718026634E-2</v>
      </c>
    </row>
    <row r="37" spans="1:11" x14ac:dyDescent="0.2">
      <c r="A37" s="107" t="s">
        <v>100</v>
      </c>
      <c r="B37" s="73">
        <f>$C$8</f>
        <v>1938.6149155051514</v>
      </c>
      <c r="C37" s="34">
        <v>1.1000000000000001E-3</v>
      </c>
      <c r="D37" s="22">
        <f>B37*C37</f>
        <v>2.1324764070556665</v>
      </c>
      <c r="E37" s="73">
        <f>$B$8</f>
        <v>1940.7982453020604</v>
      </c>
      <c r="F37" s="34">
        <v>1.1000000000000001E-3</v>
      </c>
      <c r="G37" s="22">
        <f>E37*F37</f>
        <v>2.1348780698322667</v>
      </c>
      <c r="H37" s="22">
        <f>G37-D37</f>
        <v>2.4016627766001442E-3</v>
      </c>
      <c r="I37" s="23">
        <f t="shared" si="2"/>
        <v>1.126231816049091E-3</v>
      </c>
      <c r="J37" s="23">
        <f t="shared" si="10"/>
        <v>5.9454375859233745E-3</v>
      </c>
      <c r="K37" s="108">
        <f t="shared" si="11"/>
        <v>6.0363603761091917E-3</v>
      </c>
    </row>
    <row r="38" spans="1:11" x14ac:dyDescent="0.2">
      <c r="A38" s="107" t="s">
        <v>44</v>
      </c>
      <c r="B38" s="73">
        <v>1</v>
      </c>
      <c r="C38" s="22">
        <v>0.25</v>
      </c>
      <c r="D38" s="22">
        <f>B38*C38</f>
        <v>0.25</v>
      </c>
      <c r="E38" s="73">
        <f t="shared" si="5"/>
        <v>1</v>
      </c>
      <c r="F38" s="22">
        <f>C38</f>
        <v>0.25</v>
      </c>
      <c r="G38" s="22">
        <f>E38*F38</f>
        <v>0.25</v>
      </c>
      <c r="H38" s="22">
        <f t="shared" si="1"/>
        <v>0</v>
      </c>
      <c r="I38" s="23">
        <f t="shared" si="2"/>
        <v>0</v>
      </c>
      <c r="J38" s="23">
        <f t="shared" si="10"/>
        <v>6.9622683256923619E-4</v>
      </c>
      <c r="K38" s="108">
        <f t="shared" si="11"/>
        <v>7.0687413738146842E-4</v>
      </c>
    </row>
    <row r="39" spans="1:11" s="1" customFormat="1" x14ac:dyDescent="0.2">
      <c r="A39" s="110" t="s">
        <v>45</v>
      </c>
      <c r="B39" s="74"/>
      <c r="C39" s="35"/>
      <c r="D39" s="35">
        <f>SUM(D35:D38)</f>
        <v>13.432581425435028</v>
      </c>
      <c r="E39" s="73"/>
      <c r="F39" s="35"/>
      <c r="G39" s="35">
        <f>SUM(G35:G38)</f>
        <v>13.447428068054011</v>
      </c>
      <c r="H39" s="35">
        <f t="shared" si="1"/>
        <v>1.4846642618982386E-2</v>
      </c>
      <c r="I39" s="36">
        <f t="shared" si="2"/>
        <v>1.1052709936207636E-3</v>
      </c>
      <c r="J39" s="36">
        <f t="shared" si="10"/>
        <v>3.7449841000095546E-2</v>
      </c>
      <c r="K39" s="111">
        <f t="shared" si="11"/>
        <v>3.8022556462420101E-2</v>
      </c>
    </row>
    <row r="40" spans="1:11" s="1" customFormat="1" ht="13.5" thickBot="1" x14ac:dyDescent="0.25">
      <c r="A40" s="112" t="s">
        <v>46</v>
      </c>
      <c r="B40" s="113">
        <f>B4</f>
        <v>1819.4414974238871</v>
      </c>
      <c r="C40" s="114">
        <v>7.0000000000000001E-3</v>
      </c>
      <c r="D40" s="115">
        <f>B40*C40</f>
        <v>12.73609048196721</v>
      </c>
      <c r="E40" s="116">
        <f t="shared" si="5"/>
        <v>1819.4414974238871</v>
      </c>
      <c r="F40" s="114">
        <f>C40</f>
        <v>7.0000000000000001E-3</v>
      </c>
      <c r="G40" s="115">
        <f>E40*F40</f>
        <v>12.73609048196721</v>
      </c>
      <c r="H40" s="115">
        <f t="shared" si="1"/>
        <v>0</v>
      </c>
      <c r="I40" s="117">
        <f t="shared" si="2"/>
        <v>0</v>
      </c>
      <c r="J40" s="117">
        <f t="shared" si="10"/>
        <v>3.5468831742300908E-2</v>
      </c>
      <c r="K40" s="118">
        <f t="shared" si="11"/>
        <v>3.6011251892211611E-2</v>
      </c>
    </row>
    <row r="41" spans="1:11" s="1" customFormat="1" x14ac:dyDescent="0.2">
      <c r="A41" s="37" t="s">
        <v>137</v>
      </c>
      <c r="B41" s="38"/>
      <c r="C41" s="39"/>
      <c r="D41" s="39">
        <f>SUM(D14,D24,D25,D26,D32,D39,D40)</f>
        <v>330.70690018590636</v>
      </c>
      <c r="E41" s="38"/>
      <c r="F41" s="39"/>
      <c r="G41" s="39">
        <f>SUM(G14,G24,G25,G26,G32,G39,G40)</f>
        <v>341.97940521282732</v>
      </c>
      <c r="H41" s="39">
        <f t="shared" si="1"/>
        <v>11.272505026920953</v>
      </c>
      <c r="I41" s="40">
        <f>IF(ISERROR(H41/D41),0,(H41/D41))</f>
        <v>3.4086089587438702E-2</v>
      </c>
      <c r="J41" s="40">
        <f t="shared" si="10"/>
        <v>0.95238095238095244</v>
      </c>
      <c r="K41" s="41"/>
    </row>
    <row r="42" spans="1:11" x14ac:dyDescent="0.2">
      <c r="A42" s="150" t="s">
        <v>138</v>
      </c>
      <c r="B42" s="43"/>
      <c r="C42" s="26">
        <v>0.13</v>
      </c>
      <c r="D42" s="26">
        <f>D41*C42</f>
        <v>42.991897024167827</v>
      </c>
      <c r="E42" s="26"/>
      <c r="F42" s="26">
        <f>C42</f>
        <v>0.13</v>
      </c>
      <c r="G42" s="26">
        <f>G41*F42</f>
        <v>44.457322677667555</v>
      </c>
      <c r="H42" s="26">
        <f t="shared" si="1"/>
        <v>1.4654256534997288</v>
      </c>
      <c r="I42" s="44">
        <f t="shared" si="2"/>
        <v>3.4086089587438813E-2</v>
      </c>
      <c r="J42" s="44">
        <f t="shared" si="10"/>
        <v>0.12380952380952383</v>
      </c>
      <c r="K42" s="45"/>
    </row>
    <row r="43" spans="1:11" s="1" customFormat="1" x14ac:dyDescent="0.2">
      <c r="A43" s="46" t="s">
        <v>139</v>
      </c>
      <c r="B43" s="24"/>
      <c r="C43" s="25"/>
      <c r="D43" s="25">
        <f>SUM(D41:D42)</f>
        <v>373.69879721007419</v>
      </c>
      <c r="E43" s="25"/>
      <c r="F43" s="25"/>
      <c r="G43" s="25">
        <f>SUM(G41:G42)</f>
        <v>386.43672789049486</v>
      </c>
      <c r="H43" s="25">
        <f t="shared" si="1"/>
        <v>12.737930680420675</v>
      </c>
      <c r="I43" s="27">
        <f t="shared" si="2"/>
        <v>3.4086089587438695E-2</v>
      </c>
      <c r="J43" s="27">
        <f t="shared" si="10"/>
        <v>1.0761904761904761</v>
      </c>
      <c r="K43" s="47"/>
    </row>
    <row r="44" spans="1:11" x14ac:dyDescent="0.2">
      <c r="A44" s="42" t="s">
        <v>140</v>
      </c>
      <c r="B44" s="43"/>
      <c r="C44" s="26">
        <v>-0.08</v>
      </c>
      <c r="D44" s="26">
        <f>D41*C44</f>
        <v>-26.456552014872511</v>
      </c>
      <c r="E44" s="26"/>
      <c r="F44" s="26">
        <f>C44</f>
        <v>-0.08</v>
      </c>
      <c r="G44" s="26">
        <f>G41*F44</f>
        <v>-27.358352417026186</v>
      </c>
      <c r="H44" s="26">
        <f t="shared" si="1"/>
        <v>-0.90180040215367541</v>
      </c>
      <c r="I44" s="44">
        <f t="shared" si="2"/>
        <v>3.4086089587438667E-2</v>
      </c>
      <c r="J44" s="44">
        <f t="shared" si="10"/>
        <v>-7.6190476190476197E-2</v>
      </c>
      <c r="K44" s="45"/>
    </row>
    <row r="45" spans="1:11" s="1" customFormat="1" ht="13.5" thickBot="1" x14ac:dyDescent="0.25">
      <c r="A45" s="48" t="s">
        <v>141</v>
      </c>
      <c r="B45" s="49"/>
      <c r="C45" s="50"/>
      <c r="D45" s="50">
        <f>SUM(D43:D44)</f>
        <v>347.24224519520169</v>
      </c>
      <c r="E45" s="50"/>
      <c r="F45" s="50"/>
      <c r="G45" s="50">
        <f>SUM(G43:G44)</f>
        <v>359.07837547346867</v>
      </c>
      <c r="H45" s="50">
        <f t="shared" si="1"/>
        <v>11.836130278266978</v>
      </c>
      <c r="I45" s="51">
        <f t="shared" si="2"/>
        <v>3.4086089587438639E-2</v>
      </c>
      <c r="J45" s="51">
        <f t="shared" si="10"/>
        <v>1</v>
      </c>
      <c r="K45" s="52"/>
    </row>
    <row r="46" spans="1:11" x14ac:dyDescent="0.2">
      <c r="A46" s="53" t="s">
        <v>142</v>
      </c>
      <c r="B46" s="54"/>
      <c r="C46" s="55"/>
      <c r="D46" s="55">
        <f>SUM(D18,D24,D25,D27,D32,D39,D40)</f>
        <v>325.57681084790187</v>
      </c>
      <c r="E46" s="55"/>
      <c r="F46" s="55"/>
      <c r="G46" s="55">
        <f>SUM(G18,G24,G25,G27,G32,G39,G40)</f>
        <v>336.82833407547446</v>
      </c>
      <c r="H46" s="55">
        <f>G46-D46</f>
        <v>11.251523227572591</v>
      </c>
      <c r="I46" s="56">
        <f>IF(ISERROR(H46/D46),0,(H46/D46))</f>
        <v>3.4558736533692846E-2</v>
      </c>
      <c r="J46" s="56"/>
      <c r="K46" s="57">
        <f>G46/$G$50</f>
        <v>0.95238095238095233</v>
      </c>
    </row>
    <row r="47" spans="1:11" x14ac:dyDescent="0.2">
      <c r="A47" s="58" t="s">
        <v>138</v>
      </c>
      <c r="B47" s="59"/>
      <c r="C47" s="31">
        <v>0.13</v>
      </c>
      <c r="D47" s="31">
        <f>D46*C47</f>
        <v>42.324985410227242</v>
      </c>
      <c r="E47" s="31"/>
      <c r="F47" s="31">
        <f>C47</f>
        <v>0.13</v>
      </c>
      <c r="G47" s="31">
        <f>G46*F47</f>
        <v>43.787683429811679</v>
      </c>
      <c r="H47" s="31">
        <f>G47-D47</f>
        <v>1.4626980195844368</v>
      </c>
      <c r="I47" s="32">
        <f>IF(ISERROR(H47/D47),0,(H47/D47))</f>
        <v>3.4558736533692846E-2</v>
      </c>
      <c r="J47" s="32"/>
      <c r="K47" s="60">
        <f>G47/$G$50</f>
        <v>0.1238095238095238</v>
      </c>
    </row>
    <row r="48" spans="1:11" x14ac:dyDescent="0.2">
      <c r="A48" s="141" t="s">
        <v>143</v>
      </c>
      <c r="B48" s="29"/>
      <c r="C48" s="30"/>
      <c r="D48" s="30">
        <f>SUM(D46:D47)</f>
        <v>367.90179625812914</v>
      </c>
      <c r="E48" s="30"/>
      <c r="F48" s="30"/>
      <c r="G48" s="30">
        <f>SUM(G46:G47)</f>
        <v>380.61601750528615</v>
      </c>
      <c r="H48" s="30">
        <f>G48-D48</f>
        <v>12.714221247157013</v>
      </c>
      <c r="I48" s="33">
        <f>IF(ISERROR(H48/D48),0,(H48/D48))</f>
        <v>3.4558736533692805E-2</v>
      </c>
      <c r="J48" s="33"/>
      <c r="K48" s="62">
        <f>G48/$G$50</f>
        <v>1.0761904761904761</v>
      </c>
    </row>
    <row r="49" spans="1:11" x14ac:dyDescent="0.2">
      <c r="A49" s="58" t="s">
        <v>140</v>
      </c>
      <c r="B49" s="59"/>
      <c r="C49" s="31">
        <v>-0.08</v>
      </c>
      <c r="D49" s="31">
        <f>D46*C49</f>
        <v>-26.046144867832151</v>
      </c>
      <c r="E49" s="31"/>
      <c r="F49" s="31">
        <f>C49</f>
        <v>-0.08</v>
      </c>
      <c r="G49" s="31">
        <f>G46*F49</f>
        <v>-26.946266726037958</v>
      </c>
      <c r="H49" s="31">
        <f>G49-D49</f>
        <v>-0.90012185820580726</v>
      </c>
      <c r="I49" s="32">
        <f>IF(ISERROR(H49/D49),0,(H49/D49))</f>
        <v>3.455873653369284E-2</v>
      </c>
      <c r="J49" s="32"/>
      <c r="K49" s="60">
        <f>G49/$G$50</f>
        <v>-7.6190476190476183E-2</v>
      </c>
    </row>
    <row r="50" spans="1:11" ht="13.5" thickBot="1" x14ac:dyDescent="0.25">
      <c r="A50" s="63" t="s">
        <v>144</v>
      </c>
      <c r="B50" s="64"/>
      <c r="C50" s="65"/>
      <c r="D50" s="65">
        <f>SUM(D48:D49)</f>
        <v>341.855651390297</v>
      </c>
      <c r="E50" s="65"/>
      <c r="F50" s="65"/>
      <c r="G50" s="65">
        <f>SUM(G48:G49)</f>
        <v>353.6697507792482</v>
      </c>
      <c r="H50" s="65">
        <f>G50-D50</f>
        <v>11.814099388951206</v>
      </c>
      <c r="I50" s="66">
        <f>IF(ISERROR(H50/D50),0,(H50/D50))</f>
        <v>3.4558736533692798E-2</v>
      </c>
      <c r="J50" s="66"/>
      <c r="K50" s="67">
        <f>G50/$G$50</f>
        <v>1</v>
      </c>
    </row>
    <row r="51" spans="1:11" x14ac:dyDescent="0.2">
      <c r="C51" s="68"/>
      <c r="F51" s="69"/>
    </row>
    <row r="52" spans="1:11" x14ac:dyDescent="0.2">
      <c r="F52" s="69"/>
    </row>
    <row r="53" spans="1:11" x14ac:dyDescent="0.2">
      <c r="F53" s="69"/>
    </row>
    <row r="54" spans="1:11" x14ac:dyDescent="0.2">
      <c r="A54" s="70"/>
      <c r="B54" s="71"/>
      <c r="F54" s="69"/>
    </row>
    <row r="55" spans="1:11" x14ac:dyDescent="0.2">
      <c r="B55" s="71"/>
      <c r="F55" s="69"/>
    </row>
    <row r="56" spans="1:11" x14ac:dyDescent="0.2">
      <c r="F56" s="69"/>
    </row>
    <row r="57" spans="1:11" x14ac:dyDescent="0.2">
      <c r="D57" s="72"/>
      <c r="F57" s="69"/>
    </row>
    <row r="58" spans="1:11" x14ac:dyDescent="0.2">
      <c r="F58" s="69"/>
    </row>
    <row r="59" spans="1:11" x14ac:dyDescent="0.2">
      <c r="A59" s="70"/>
      <c r="B59" s="71"/>
      <c r="F59" s="69"/>
    </row>
    <row r="60" spans="1:11" x14ac:dyDescent="0.2">
      <c r="B60" s="72"/>
      <c r="D60" s="72"/>
      <c r="F60" s="69"/>
    </row>
    <row r="61" spans="1:11" x14ac:dyDescent="0.2">
      <c r="F61" s="69"/>
    </row>
    <row r="62" spans="1:11" x14ac:dyDescent="0.2">
      <c r="F62" s="69"/>
    </row>
    <row r="63" spans="1:11" x14ac:dyDescent="0.2">
      <c r="F63" s="69"/>
      <c r="K63"/>
    </row>
    <row r="64" spans="1:11" x14ac:dyDescent="0.2">
      <c r="F64" s="69"/>
      <c r="K64"/>
    </row>
    <row r="65" spans="6:11" x14ac:dyDescent="0.2">
      <c r="F65" s="69"/>
      <c r="K65"/>
    </row>
    <row r="66" spans="6:11" x14ac:dyDescent="0.2">
      <c r="F66" s="69"/>
      <c r="K66"/>
    </row>
    <row r="67" spans="6:11" x14ac:dyDescent="0.2">
      <c r="F67" s="69"/>
      <c r="K67"/>
    </row>
  </sheetData>
  <mergeCells count="1">
    <mergeCell ref="A1:K1"/>
  </mergeCell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Impacts'!$A$3:$A$21</xm:f>
          </x14:formula1>
          <xm:sqref>B3</xm:sqref>
        </x14:dataValidation>
      </x14:dataValidations>
    </ext>
  </extLst>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3">
    <pageSetUpPr fitToPage="1"/>
  </sheetPr>
  <dimension ref="A1:K67"/>
  <sheetViews>
    <sheetView topLeftCell="A19" workbookViewId="0">
      <selection activeCell="C19" sqref="C19"/>
    </sheetView>
  </sheetViews>
  <sheetFormatPr defaultRowHeight="12.75" x14ac:dyDescent="0.2"/>
  <cols>
    <col min="1" max="1" width="64.7109375" bestFit="1" customWidth="1"/>
    <col min="2" max="2" width="15.5703125" bestFit="1" customWidth="1"/>
    <col min="3" max="3" width="12.1406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48" t="s">
        <v>110</v>
      </c>
      <c r="B1" s="349"/>
      <c r="C1" s="349"/>
      <c r="D1" s="349"/>
      <c r="E1" s="349"/>
      <c r="F1" s="349"/>
      <c r="G1" s="349"/>
      <c r="H1" s="349"/>
      <c r="I1" s="349"/>
      <c r="J1" s="349"/>
      <c r="K1" s="350"/>
    </row>
    <row r="3" spans="1:11" x14ac:dyDescent="0.2">
      <c r="A3" s="13" t="s">
        <v>13</v>
      </c>
      <c r="B3" s="13" t="s">
        <v>181</v>
      </c>
      <c r="C3" s="13" t="s">
        <v>120</v>
      </c>
    </row>
    <row r="4" spans="1:11" x14ac:dyDescent="0.2">
      <c r="A4" s="15" t="s">
        <v>62</v>
      </c>
      <c r="B4" s="79">
        <v>2000</v>
      </c>
      <c r="C4" s="79">
        <f>B4</f>
        <v>2000</v>
      </c>
    </row>
    <row r="5" spans="1:11" x14ac:dyDescent="0.2">
      <c r="A5" s="15" t="s">
        <v>16</v>
      </c>
      <c r="B5" s="15">
        <f>VLOOKUP($B$3,'Data for Bill Impacts'!$A$3:$Y$39,5,0)</f>
        <v>0</v>
      </c>
      <c r="C5" s="15">
        <f>B5</f>
        <v>0</v>
      </c>
    </row>
    <row r="6" spans="1:11" x14ac:dyDescent="0.2">
      <c r="A6" s="15" t="s">
        <v>20</v>
      </c>
      <c r="B6" s="15">
        <f>VLOOKUP($B$3,'Data for Bill Impacts'!$A$3:$Y$39,2,0)</f>
        <v>1.0667</v>
      </c>
      <c r="C6" s="15">
        <f>VLOOKUP($C$3,'Data for Bill Impacts'!$A$3:$Y$39,2,0)</f>
        <v>1.0654999999999999</v>
      </c>
    </row>
    <row r="7" spans="1:11" x14ac:dyDescent="0.2">
      <c r="A7" s="15" t="s">
        <v>15</v>
      </c>
      <c r="B7" s="15">
        <f>VLOOKUP($B$3,'Data for Bill Impacts'!$A$3:$Y$39,4,0)</f>
        <v>750</v>
      </c>
      <c r="C7" s="15">
        <f>B7</f>
        <v>750</v>
      </c>
    </row>
    <row r="8" spans="1:11" x14ac:dyDescent="0.2">
      <c r="A8" s="15" t="s">
        <v>82</v>
      </c>
      <c r="B8" s="15">
        <f>B4*B6</f>
        <v>2133.4</v>
      </c>
      <c r="C8" s="15">
        <f>C4*C6</f>
        <v>2131</v>
      </c>
    </row>
    <row r="9" spans="1:11" x14ac:dyDescent="0.2">
      <c r="A9" s="15" t="s">
        <v>21</v>
      </c>
      <c r="B9" s="16" t="str">
        <f>VLOOKUP($B$3,'Data for Bill Impacts'!$A$3:$Y$39,6,0)</f>
        <v>kWh</v>
      </c>
      <c r="C9" s="16" t="str">
        <f>VLOOKUP($C$3,'Data for Bill Impacts'!$A$3:$Y$39,6,0)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0.10299999999999999</v>
      </c>
      <c r="D12" s="104">
        <f>B12*C12</f>
        <v>77.25</v>
      </c>
      <c r="E12" s="102">
        <f>B12</f>
        <v>750</v>
      </c>
      <c r="F12" s="103">
        <f>C12</f>
        <v>0.10299999999999999</v>
      </c>
      <c r="G12" s="104">
        <f>E12*F12</f>
        <v>77.25</v>
      </c>
      <c r="H12" s="104">
        <f>G12-D12</f>
        <v>0</v>
      </c>
      <c r="I12" s="105">
        <f>IF(ISERROR(H12/D12),0,(H12/D12))</f>
        <v>0</v>
      </c>
      <c r="J12" s="105">
        <f>G12/$G$45</f>
        <v>0.19718824872904511</v>
      </c>
      <c r="K12" s="106"/>
    </row>
    <row r="13" spans="1:11" x14ac:dyDescent="0.2">
      <c r="A13" s="107" t="s">
        <v>32</v>
      </c>
      <c r="B13" s="73">
        <f>IF(B4&gt;B7,(B4)-B7,0)</f>
        <v>1250</v>
      </c>
      <c r="C13" s="21">
        <v>0.121</v>
      </c>
      <c r="D13" s="22">
        <f>B13*C13</f>
        <v>151.25</v>
      </c>
      <c r="E13" s="73">
        <f t="shared" ref="E13" si="0">B13</f>
        <v>1250</v>
      </c>
      <c r="F13" s="21">
        <f>C13</f>
        <v>0.121</v>
      </c>
      <c r="G13" s="22">
        <f>E13*F13</f>
        <v>151.25</v>
      </c>
      <c r="H13" s="22">
        <f t="shared" ref="H13:H45" si="1">G13-D13</f>
        <v>0</v>
      </c>
      <c r="I13" s="23">
        <f t="shared" ref="I13:I45" si="2">IF(ISERROR(H13/D13),0,(H13/D13))</f>
        <v>0</v>
      </c>
      <c r="J13" s="23">
        <f>G13/$G$45</f>
        <v>0.38608055171868055</v>
      </c>
      <c r="K13" s="108"/>
    </row>
    <row r="14" spans="1:11" s="1" customFormat="1" x14ac:dyDescent="0.2">
      <c r="A14" s="46" t="s">
        <v>33</v>
      </c>
      <c r="B14" s="24"/>
      <c r="C14" s="25"/>
      <c r="D14" s="25">
        <f>SUM(D12:D13)</f>
        <v>228.5</v>
      </c>
      <c r="E14" s="76"/>
      <c r="F14" s="25"/>
      <c r="G14" s="25">
        <f>SUM(G12:G13)</f>
        <v>228.5</v>
      </c>
      <c r="H14" s="25">
        <f t="shared" si="1"/>
        <v>0</v>
      </c>
      <c r="I14" s="27">
        <f t="shared" si="2"/>
        <v>0</v>
      </c>
      <c r="J14" s="27">
        <f>G14/$G$45</f>
        <v>0.58326880044772567</v>
      </c>
      <c r="K14" s="108"/>
    </row>
    <row r="15" spans="1:11" s="1" customFormat="1" x14ac:dyDescent="0.2">
      <c r="A15" s="109" t="s">
        <v>34</v>
      </c>
      <c r="B15" s="75">
        <f>B4*0.65</f>
        <v>1300</v>
      </c>
      <c r="C15" s="28">
        <v>8.6999999999999994E-2</v>
      </c>
      <c r="D15" s="22">
        <f>B15*C15</f>
        <v>113.1</v>
      </c>
      <c r="E15" s="73">
        <f t="shared" ref="E15:F17" si="3">B15</f>
        <v>1300</v>
      </c>
      <c r="F15" s="28">
        <f t="shared" si="3"/>
        <v>8.6999999999999994E-2</v>
      </c>
      <c r="G15" s="22">
        <f>E15*F15</f>
        <v>113.1</v>
      </c>
      <c r="H15" s="22">
        <f t="shared" si="1"/>
        <v>0</v>
      </c>
      <c r="I15" s="23">
        <f t="shared" si="2"/>
        <v>0</v>
      </c>
      <c r="J15" s="23"/>
      <c r="K15" s="108">
        <f t="shared" ref="K15:K25" si="4">G15/$G$50</f>
        <v>0.29422051612754502</v>
      </c>
    </row>
    <row r="16" spans="1:11" s="1" customFormat="1" x14ac:dyDescent="0.2">
      <c r="A16" s="109" t="s">
        <v>35</v>
      </c>
      <c r="B16" s="75">
        <f>B4*0.17</f>
        <v>340</v>
      </c>
      <c r="C16" s="28">
        <v>0.13200000000000001</v>
      </c>
      <c r="D16" s="22">
        <f>B16*C16</f>
        <v>44.88</v>
      </c>
      <c r="E16" s="73">
        <f t="shared" si="3"/>
        <v>340</v>
      </c>
      <c r="F16" s="28">
        <f t="shared" si="3"/>
        <v>0.13200000000000001</v>
      </c>
      <c r="G16" s="22">
        <f>E16*F16</f>
        <v>44.88</v>
      </c>
      <c r="H16" s="22">
        <f t="shared" si="1"/>
        <v>0</v>
      </c>
      <c r="I16" s="23">
        <f t="shared" si="2"/>
        <v>0</v>
      </c>
      <c r="J16" s="23"/>
      <c r="K16" s="108">
        <f t="shared" si="4"/>
        <v>0.11675169552435208</v>
      </c>
    </row>
    <row r="17" spans="1:11" s="1" customFormat="1" x14ac:dyDescent="0.2">
      <c r="A17" s="109" t="s">
        <v>36</v>
      </c>
      <c r="B17" s="75">
        <f>B4*0.18</f>
        <v>360</v>
      </c>
      <c r="C17" s="28">
        <v>0.18</v>
      </c>
      <c r="D17" s="22">
        <f>B17*C17</f>
        <v>64.8</v>
      </c>
      <c r="E17" s="73">
        <f t="shared" si="3"/>
        <v>360</v>
      </c>
      <c r="F17" s="28">
        <f t="shared" si="3"/>
        <v>0.18</v>
      </c>
      <c r="G17" s="22">
        <f>E17*F17</f>
        <v>64.8</v>
      </c>
      <c r="H17" s="22">
        <f t="shared" si="1"/>
        <v>0</v>
      </c>
      <c r="I17" s="23">
        <f t="shared" si="2"/>
        <v>0</v>
      </c>
      <c r="J17" s="23"/>
      <c r="K17" s="108">
        <f t="shared" si="4"/>
        <v>0.16857196679986663</v>
      </c>
    </row>
    <row r="18" spans="1:11" s="1" customFormat="1" x14ac:dyDescent="0.2">
      <c r="A18" s="61" t="s">
        <v>37</v>
      </c>
      <c r="B18" s="29"/>
      <c r="C18" s="30"/>
      <c r="D18" s="30">
        <f>SUM(D15:D17)</f>
        <v>222.77999999999997</v>
      </c>
      <c r="E18" s="77"/>
      <c r="F18" s="30"/>
      <c r="G18" s="30">
        <f>SUM(G15:G17)</f>
        <v>222.77999999999997</v>
      </c>
      <c r="H18" s="31">
        <f t="shared" si="1"/>
        <v>0</v>
      </c>
      <c r="I18" s="32">
        <f t="shared" si="2"/>
        <v>0</v>
      </c>
      <c r="J18" s="33">
        <f>G18/$G$45</f>
        <v>0.56866793594636467</v>
      </c>
      <c r="K18" s="62">
        <f t="shared" si="4"/>
        <v>0.57954417845176365</v>
      </c>
    </row>
    <row r="19" spans="1:11" x14ac:dyDescent="0.2">
      <c r="A19" s="107" t="s">
        <v>38</v>
      </c>
      <c r="B19" s="73">
        <v>1</v>
      </c>
      <c r="C19" s="122">
        <f>VLOOKUP($C$3,'Data for Bill Impacts'!$A$3:$Y$39,7,0)</f>
        <v>26.94</v>
      </c>
      <c r="D19" s="22">
        <f>B19*C19</f>
        <v>26.94</v>
      </c>
      <c r="E19" s="73">
        <f t="shared" ref="E19:E40" si="5">B19</f>
        <v>1</v>
      </c>
      <c r="F19" s="78">
        <f>VLOOKUP($B$3,'Data for Bill Impacts'!$A$3:$Y$39,17,0)</f>
        <v>40.82</v>
      </c>
      <c r="G19" s="22">
        <f>E19*F19</f>
        <v>40.82</v>
      </c>
      <c r="H19" s="22">
        <f t="shared" si="1"/>
        <v>13.879999999999999</v>
      </c>
      <c r="I19" s="23">
        <f t="shared" si="2"/>
        <v>0.51521900519673347</v>
      </c>
      <c r="J19" s="23">
        <f>G19/$G$45</f>
        <v>0.10419707848698539</v>
      </c>
      <c r="K19" s="108">
        <f t="shared" si="4"/>
        <v>0.10618993340695303</v>
      </c>
    </row>
    <row r="20" spans="1:11" x14ac:dyDescent="0.2">
      <c r="A20" s="107" t="s">
        <v>188</v>
      </c>
      <c r="B20" s="73">
        <v>1</v>
      </c>
      <c r="C20" s="122">
        <f>'Data for Bill Impacts'!K29</f>
        <v>-0.27</v>
      </c>
      <c r="D20" s="22">
        <f>B20*C20</f>
        <v>-0.27</v>
      </c>
      <c r="E20" s="73">
        <f t="shared" si="5"/>
        <v>1</v>
      </c>
      <c r="F20" s="122">
        <v>0</v>
      </c>
      <c r="G20" s="22">
        <f t="shared" ref="G20" si="6">E20*F20</f>
        <v>0</v>
      </c>
      <c r="H20" s="22">
        <f t="shared" si="1"/>
        <v>0.27</v>
      </c>
      <c r="I20" s="23">
        <f t="shared" si="2"/>
        <v>-1</v>
      </c>
      <c r="J20" s="23">
        <f>G20/$G$45</f>
        <v>0</v>
      </c>
      <c r="K20" s="108">
        <f t="shared" si="4"/>
        <v>0</v>
      </c>
    </row>
    <row r="21" spans="1:11" x14ac:dyDescent="0.2">
      <c r="A21" s="107" t="s">
        <v>39</v>
      </c>
      <c r="B21" s="73">
        <f>C4</f>
        <v>2000</v>
      </c>
      <c r="C21" s="78">
        <f>VLOOKUP($C$3,'Data for Bill Impacts'!$A$3:$Y$39,10,0)</f>
        <v>1.9E-2</v>
      </c>
      <c r="D21" s="22">
        <f>B21*C21</f>
        <v>38</v>
      </c>
      <c r="E21" s="73">
        <f>B4</f>
        <v>2000</v>
      </c>
      <c r="F21" s="78">
        <f>VLOOKUP($B$3,'Data for Bill Impacts'!$A$3:$Y$39,19,0)</f>
        <v>1.8700000000000001E-2</v>
      </c>
      <c r="G21" s="22">
        <f>E21*F21</f>
        <v>37.400000000000006</v>
      </c>
      <c r="H21" s="22">
        <f t="shared" si="1"/>
        <v>-0.59999999999999432</v>
      </c>
      <c r="I21" s="23">
        <f t="shared" si="2"/>
        <v>-1.5789473684210378E-2</v>
      </c>
      <c r="J21" s="23">
        <f>G21/$G$45</f>
        <v>9.5467190970437391E-2</v>
      </c>
      <c r="K21" s="108">
        <f t="shared" si="4"/>
        <v>9.729307960362675E-2</v>
      </c>
    </row>
    <row r="22" spans="1:11" x14ac:dyDescent="0.2">
      <c r="A22" s="107" t="s">
        <v>189</v>
      </c>
      <c r="B22" s="73">
        <f>C4</f>
        <v>2000</v>
      </c>
      <c r="C22" s="78">
        <f>'Data for Bill Impacts'!H29</f>
        <v>4.0000000000000002E-4</v>
      </c>
      <c r="D22" s="22">
        <f>B22*C22</f>
        <v>0.8</v>
      </c>
      <c r="E22" s="73">
        <f>C4</f>
        <v>2000</v>
      </c>
      <c r="F22" s="126">
        <v>0</v>
      </c>
      <c r="G22" s="22">
        <f>E22*F22</f>
        <v>0</v>
      </c>
      <c r="H22" s="22">
        <f t="shared" ref="H22" si="7">G22-D22</f>
        <v>-0.8</v>
      </c>
      <c r="I22" s="23">
        <f t="shared" ref="I22" si="8">IF(ISERROR(H22/D22),0,(H22/D22))</f>
        <v>-1</v>
      </c>
      <c r="J22" s="23">
        <f>G22/$G$45</f>
        <v>0</v>
      </c>
      <c r="K22" s="108">
        <f t="shared" si="4"/>
        <v>0</v>
      </c>
    </row>
    <row r="23" spans="1:11" x14ac:dyDescent="0.2">
      <c r="A23" s="107" t="s">
        <v>194</v>
      </c>
      <c r="B23" s="73">
        <f>IF($B$9="kWh",$B$4,$B$5)</f>
        <v>2000</v>
      </c>
      <c r="C23" s="78">
        <f>'Data for Bill Impacts'!L29</f>
        <v>-2.0000000000000001E-4</v>
      </c>
      <c r="D23" s="22">
        <f>B23*C23</f>
        <v>-0.4</v>
      </c>
      <c r="E23" s="73">
        <f t="shared" si="5"/>
        <v>2000</v>
      </c>
      <c r="F23" s="126">
        <v>0</v>
      </c>
      <c r="G23" s="22">
        <f>E23*F23</f>
        <v>0</v>
      </c>
      <c r="H23" s="22">
        <f t="shared" si="1"/>
        <v>0.4</v>
      </c>
      <c r="I23" s="23">
        <f>IF(ISERROR(H23/D23),0,(H23/D23))</f>
        <v>-1</v>
      </c>
      <c r="J23" s="23">
        <f t="shared" ref="J23" si="9">G23/$G$45</f>
        <v>0</v>
      </c>
      <c r="K23" s="108">
        <f t="shared" si="4"/>
        <v>0</v>
      </c>
    </row>
    <row r="24" spans="1:11" s="1" customFormat="1" x14ac:dyDescent="0.2">
      <c r="A24" s="110" t="s">
        <v>72</v>
      </c>
      <c r="B24" s="74"/>
      <c r="C24" s="35"/>
      <c r="D24" s="35">
        <f>SUM(D19:D23)</f>
        <v>65.069999999999993</v>
      </c>
      <c r="E24" s="73"/>
      <c r="F24" s="35"/>
      <c r="G24" s="35">
        <f>SUM(G19:G23)</f>
        <v>78.22</v>
      </c>
      <c r="H24" s="35">
        <f t="shared" si="1"/>
        <v>13.150000000000006</v>
      </c>
      <c r="I24" s="36">
        <f t="shared" si="2"/>
        <v>0.2020900568618412</v>
      </c>
      <c r="J24" s="36">
        <f>G24/$G$45</f>
        <v>0.19966426945742277</v>
      </c>
      <c r="K24" s="111">
        <f t="shared" si="4"/>
        <v>0.20348301301057975</v>
      </c>
    </row>
    <row r="25" spans="1:11" s="1" customFormat="1" x14ac:dyDescent="0.2">
      <c r="A25" s="119" t="s">
        <v>73</v>
      </c>
      <c r="B25" s="120">
        <v>1</v>
      </c>
      <c r="C25" s="78">
        <f>VLOOKUP($C$3,'Data for Bill Impacts'!$A$3:$Y$39,9,0)</f>
        <v>0.79</v>
      </c>
      <c r="D25" s="22">
        <f>B25*C25</f>
        <v>0.79</v>
      </c>
      <c r="E25" s="73">
        <v>1</v>
      </c>
      <c r="F25" s="78">
        <f>VLOOKUP($B$3,'Data for Bill Impacts'!$A$3:$Y$39,18,0)</f>
        <v>0.79</v>
      </c>
      <c r="G25" s="22">
        <f>E25*F25</f>
        <v>0.79</v>
      </c>
      <c r="H25" s="22">
        <f t="shared" si="1"/>
        <v>0</v>
      </c>
      <c r="I25" s="23">
        <f>IF(ISERROR(H25/D25),0,(H25/D25))</f>
        <v>0</v>
      </c>
      <c r="J25" s="23">
        <f>G25/$G$45</f>
        <v>2.0165529643488109E-3</v>
      </c>
      <c r="K25" s="108">
        <f t="shared" si="4"/>
        <v>2.0551212001835594E-3</v>
      </c>
    </row>
    <row r="26" spans="1:11" s="1" customFormat="1" x14ac:dyDescent="0.2">
      <c r="A26" s="119" t="s">
        <v>75</v>
      </c>
      <c r="B26" s="120">
        <f>C8-C4</f>
        <v>131</v>
      </c>
      <c r="C26" s="121">
        <f>IF(C4&gt;C7,C13,C12)</f>
        <v>0.121</v>
      </c>
      <c r="D26" s="22">
        <f>B26*C26</f>
        <v>15.850999999999999</v>
      </c>
      <c r="E26" s="73">
        <f>B8-B4</f>
        <v>133.40000000000009</v>
      </c>
      <c r="F26" s="121">
        <f>IF(B4&gt;B7,C13,C12)</f>
        <v>0.121</v>
      </c>
      <c r="G26" s="22">
        <f>E26*F26</f>
        <v>16.141400000000012</v>
      </c>
      <c r="H26" s="22">
        <f t="shared" si="1"/>
        <v>0.29040000000001243</v>
      </c>
      <c r="I26" s="23">
        <f>IF(ISERROR(H26/D26),0,(H26/D26))</f>
        <v>1.8320610687023686E-2</v>
      </c>
      <c r="J26" s="23">
        <f t="shared" ref="J26:J45" si="10">G26/$G$45</f>
        <v>4.1202516479417618E-2</v>
      </c>
      <c r="K26" s="108">
        <f t="shared" ref="K26:K40" si="11">G26/$G$50</f>
        <v>4.1990548532459405E-2</v>
      </c>
    </row>
    <row r="27" spans="1:11" s="1" customFormat="1" x14ac:dyDescent="0.2">
      <c r="A27" s="119" t="s">
        <v>74</v>
      </c>
      <c r="B27" s="120">
        <f>C8-C4</f>
        <v>131</v>
      </c>
      <c r="C27" s="121">
        <f>0.65*C15+0.17*C16+0.18*C17</f>
        <v>0.11139</v>
      </c>
      <c r="D27" s="22">
        <f>B27*C27</f>
        <v>14.592090000000001</v>
      </c>
      <c r="E27" s="73">
        <f>B8-B4</f>
        <v>133.40000000000009</v>
      </c>
      <c r="F27" s="121">
        <f>C27</f>
        <v>0.11139</v>
      </c>
      <c r="G27" s="22">
        <f>E27*F27</f>
        <v>14.85942600000001</v>
      </c>
      <c r="H27" s="22">
        <f t="shared" si="1"/>
        <v>0.26733600000000912</v>
      </c>
      <c r="I27" s="23">
        <f>IF(ISERROR(H27/D27),0,(H27/D27))</f>
        <v>1.8320610687023526E-2</v>
      </c>
      <c r="J27" s="23">
        <f t="shared" si="10"/>
        <v>3.7930151327622549E-2</v>
      </c>
      <c r="K27" s="108">
        <f t="shared" si="11"/>
        <v>3.8655596702732664E-2</v>
      </c>
    </row>
    <row r="28" spans="1:11" s="1" customFormat="1" x14ac:dyDescent="0.2">
      <c r="A28" s="110" t="s">
        <v>78</v>
      </c>
      <c r="B28" s="74"/>
      <c r="C28" s="35"/>
      <c r="D28" s="35">
        <f>SUM(D24,D25:D26)</f>
        <v>81.710999999999999</v>
      </c>
      <c r="E28" s="73"/>
      <c r="F28" s="35"/>
      <c r="G28" s="35">
        <f>SUM(G24,G25:G26)</f>
        <v>95.151400000000024</v>
      </c>
      <c r="H28" s="35">
        <f t="shared" si="1"/>
        <v>13.440400000000025</v>
      </c>
      <c r="I28" s="36">
        <f>IF(ISERROR(H28/D28),0,(H28/D28))</f>
        <v>0.16448703356953195</v>
      </c>
      <c r="J28" s="36">
        <f t="shared" si="10"/>
        <v>0.24288333890118924</v>
      </c>
      <c r="K28" s="111">
        <f t="shared" si="11"/>
        <v>0.24752868274322276</v>
      </c>
    </row>
    <row r="29" spans="1:11" s="1" customFormat="1" x14ac:dyDescent="0.2">
      <c r="A29" s="110" t="s">
        <v>77</v>
      </c>
      <c r="B29" s="74"/>
      <c r="C29" s="35"/>
      <c r="D29" s="35">
        <f>SUM(D24,D25,D27)</f>
        <v>80.452089999999998</v>
      </c>
      <c r="E29" s="73"/>
      <c r="F29" s="35"/>
      <c r="G29" s="35">
        <f>SUM(G24,G25,G27)</f>
        <v>93.869426000000018</v>
      </c>
      <c r="H29" s="35">
        <f t="shared" si="1"/>
        <v>13.41733600000002</v>
      </c>
      <c r="I29" s="36">
        <f>IF(ISERROR(H29/D29),0,(H29/D29))</f>
        <v>0.16677423793465179</v>
      </c>
      <c r="J29" s="36">
        <f t="shared" si="10"/>
        <v>0.23961097374939416</v>
      </c>
      <c r="K29" s="111">
        <f t="shared" si="11"/>
        <v>0.244193730913496</v>
      </c>
    </row>
    <row r="30" spans="1:11" x14ac:dyDescent="0.2">
      <c r="A30" s="107" t="s">
        <v>40</v>
      </c>
      <c r="B30" s="73">
        <f>$C$8</f>
        <v>2131</v>
      </c>
      <c r="C30" s="126">
        <f>VLOOKUP($C$3,'Data for Bill Impacts'!$A$3:$Y$39,15,0)</f>
        <v>5.8707628331982429E-3</v>
      </c>
      <c r="D30" s="22">
        <f>B30*C30</f>
        <v>12.510595597545455</v>
      </c>
      <c r="E30" s="73">
        <f>$B$8</f>
        <v>2133.4</v>
      </c>
      <c r="F30" s="78">
        <f>VLOOKUP($B$3,'Data for Bill Impacts'!$A$3:$Y$39,24,0)</f>
        <v>5.3E-3</v>
      </c>
      <c r="G30" s="22">
        <f>E30*F30</f>
        <v>11.307020000000001</v>
      </c>
      <c r="H30" s="22">
        <f t="shared" si="1"/>
        <v>-1.2035755975454538</v>
      </c>
      <c r="I30" s="23">
        <f t="shared" si="2"/>
        <v>-9.6204500270282267E-2</v>
      </c>
      <c r="J30" s="23">
        <f t="shared" si="10"/>
        <v>2.8862284429052271E-2</v>
      </c>
      <c r="K30" s="108">
        <f t="shared" si="11"/>
        <v>2.9414299383417105E-2</v>
      </c>
    </row>
    <row r="31" spans="1:11" x14ac:dyDescent="0.2">
      <c r="A31" s="107" t="s">
        <v>41</v>
      </c>
      <c r="B31" s="73">
        <f>$C$8</f>
        <v>2131</v>
      </c>
      <c r="C31" s="126">
        <f>VLOOKUP($C$3,'Data for Bill Impacts'!$A$3:$Y$39,16,0)</f>
        <v>4.9991353519971207E-3</v>
      </c>
      <c r="D31" s="22">
        <f>B31*C31</f>
        <v>10.653157435105864</v>
      </c>
      <c r="E31" s="73">
        <f>$B$8</f>
        <v>2133.4</v>
      </c>
      <c r="F31" s="78">
        <f>VLOOKUP($B$3,'Data for Bill Impacts'!$A$3:$Y$39,25,0)</f>
        <v>4.4000000000000003E-3</v>
      </c>
      <c r="G31" s="22">
        <f>E31*F31</f>
        <v>9.3869600000000002</v>
      </c>
      <c r="H31" s="22">
        <f t="shared" si="1"/>
        <v>-1.2661974351058642</v>
      </c>
      <c r="I31" s="23">
        <f t="shared" si="2"/>
        <v>-0.11885654021532646</v>
      </c>
      <c r="J31" s="23">
        <f t="shared" si="10"/>
        <v>2.3961141790156602E-2</v>
      </c>
      <c r="K31" s="108">
        <f t="shared" si="11"/>
        <v>2.4419418356044387E-2</v>
      </c>
    </row>
    <row r="32" spans="1:11" s="1" customFormat="1" x14ac:dyDescent="0.2">
      <c r="A32" s="110" t="s">
        <v>76</v>
      </c>
      <c r="B32" s="74"/>
      <c r="C32" s="35"/>
      <c r="D32" s="35">
        <f>SUM(D30:D31)</f>
        <v>23.163753032651321</v>
      </c>
      <c r="E32" s="73"/>
      <c r="F32" s="35"/>
      <c r="G32" s="35">
        <f>SUM(G30:G31)</f>
        <v>20.693980000000003</v>
      </c>
      <c r="H32" s="35">
        <f t="shared" si="1"/>
        <v>-2.4697730326513181</v>
      </c>
      <c r="I32" s="36">
        <f t="shared" si="2"/>
        <v>-0.10662231759982756</v>
      </c>
      <c r="J32" s="36">
        <f t="shared" si="10"/>
        <v>5.282342621920888E-2</v>
      </c>
      <c r="K32" s="111">
        <f t="shared" si="11"/>
        <v>5.3833717739461495E-2</v>
      </c>
    </row>
    <row r="33" spans="1:11" s="1" customFormat="1" x14ac:dyDescent="0.2">
      <c r="A33" s="110" t="s">
        <v>95</v>
      </c>
      <c r="B33" s="74"/>
      <c r="C33" s="35"/>
      <c r="D33" s="35">
        <f>D28+D32</f>
        <v>104.87475303265131</v>
      </c>
      <c r="E33" s="73"/>
      <c r="F33" s="35"/>
      <c r="G33" s="35">
        <f>G28+G32</f>
        <v>115.84538000000003</v>
      </c>
      <c r="H33" s="35">
        <f t="shared" si="1"/>
        <v>10.970626967348721</v>
      </c>
      <c r="I33" s="36">
        <f t="shared" si="2"/>
        <v>0.10460693970772134</v>
      </c>
      <c r="J33" s="36">
        <f t="shared" si="10"/>
        <v>0.29570676512039812</v>
      </c>
      <c r="K33" s="111">
        <f t="shared" si="11"/>
        <v>0.30136240048268426</v>
      </c>
    </row>
    <row r="34" spans="1:11" s="1" customFormat="1" x14ac:dyDescent="0.2">
      <c r="A34" s="110" t="s">
        <v>96</v>
      </c>
      <c r="B34" s="74"/>
      <c r="C34" s="35"/>
      <c r="D34" s="35">
        <f>D29+D32</f>
        <v>103.61584303265133</v>
      </c>
      <c r="E34" s="73"/>
      <c r="F34" s="35"/>
      <c r="G34" s="35">
        <f>G29+G32</f>
        <v>114.56340600000001</v>
      </c>
      <c r="H34" s="35">
        <f t="shared" si="1"/>
        <v>10.947562967348688</v>
      </c>
      <c r="I34" s="36">
        <f t="shared" si="2"/>
        <v>0.10565529987435321</v>
      </c>
      <c r="J34" s="36">
        <f t="shared" si="10"/>
        <v>0.29243439996860304</v>
      </c>
      <c r="K34" s="111">
        <f t="shared" si="11"/>
        <v>0.29802744865295749</v>
      </c>
    </row>
    <row r="35" spans="1:11" x14ac:dyDescent="0.2">
      <c r="A35" s="107" t="s">
        <v>42</v>
      </c>
      <c r="B35" s="73">
        <f>$C$8</f>
        <v>2131</v>
      </c>
      <c r="C35" s="34">
        <v>3.5999999999999999E-3</v>
      </c>
      <c r="D35" s="22">
        <f>B35*C35</f>
        <v>7.6715999999999998</v>
      </c>
      <c r="E35" s="73">
        <f>$B$8</f>
        <v>2133.4</v>
      </c>
      <c r="F35" s="34">
        <v>3.5999999999999999E-3</v>
      </c>
      <c r="G35" s="22">
        <f>E35*F35</f>
        <v>7.6802400000000004</v>
      </c>
      <c r="H35" s="22">
        <f t="shared" si="1"/>
        <v>8.6400000000006472E-3</v>
      </c>
      <c r="I35" s="23">
        <f t="shared" si="2"/>
        <v>1.1262318160488879E-3</v>
      </c>
      <c r="J35" s="23">
        <f t="shared" si="10"/>
        <v>1.9604570555582675E-2</v>
      </c>
      <c r="K35" s="108">
        <f t="shared" si="11"/>
        <v>1.9979524109490863E-2</v>
      </c>
    </row>
    <row r="36" spans="1:11" x14ac:dyDescent="0.2">
      <c r="A36" s="107" t="s">
        <v>43</v>
      </c>
      <c r="B36" s="73">
        <f>$C$8</f>
        <v>2131</v>
      </c>
      <c r="C36" s="34">
        <v>2.0999999999999999E-3</v>
      </c>
      <c r="D36" s="22">
        <f>B36*C36</f>
        <v>4.4750999999999994</v>
      </c>
      <c r="E36" s="73">
        <f>$B$8</f>
        <v>2133.4</v>
      </c>
      <c r="F36" s="34">
        <v>2.0999999999999999E-3</v>
      </c>
      <c r="G36" s="22">
        <f>E36*F36</f>
        <v>4.4801399999999996</v>
      </c>
      <c r="H36" s="22">
        <f>G36-D36</f>
        <v>5.0400000000001555E-3</v>
      </c>
      <c r="I36" s="23">
        <f t="shared" si="2"/>
        <v>1.1262318160488382E-3</v>
      </c>
      <c r="J36" s="23">
        <f t="shared" si="10"/>
        <v>1.1435999490756557E-2</v>
      </c>
      <c r="K36" s="108">
        <f t="shared" si="11"/>
        <v>1.1654722397203001E-2</v>
      </c>
    </row>
    <row r="37" spans="1:11" x14ac:dyDescent="0.2">
      <c r="A37" s="107" t="s">
        <v>100</v>
      </c>
      <c r="B37" s="73">
        <f>$C$8</f>
        <v>2131</v>
      </c>
      <c r="C37" s="34">
        <v>1.1000000000000001E-3</v>
      </c>
      <c r="D37" s="22">
        <f>B37*C37</f>
        <v>2.3441000000000001</v>
      </c>
      <c r="E37" s="73">
        <f>$B$8</f>
        <v>2133.4</v>
      </c>
      <c r="F37" s="34">
        <v>1.1000000000000001E-3</v>
      </c>
      <c r="G37" s="22">
        <f>E37*F37</f>
        <v>2.34674</v>
      </c>
      <c r="H37" s="22">
        <f>G37-D37</f>
        <v>2.6399999999999757E-3</v>
      </c>
      <c r="I37" s="23">
        <f t="shared" si="2"/>
        <v>1.1262318160487929E-3</v>
      </c>
      <c r="J37" s="23">
        <f t="shared" si="10"/>
        <v>5.9902854475391504E-3</v>
      </c>
      <c r="K37" s="108">
        <f t="shared" si="11"/>
        <v>6.1048545890110967E-3</v>
      </c>
    </row>
    <row r="38" spans="1:11" x14ac:dyDescent="0.2">
      <c r="A38" s="107" t="s">
        <v>44</v>
      </c>
      <c r="B38" s="73">
        <v>1</v>
      </c>
      <c r="C38" s="22">
        <v>0.25</v>
      </c>
      <c r="D38" s="22">
        <f>B38*C38</f>
        <v>0.25</v>
      </c>
      <c r="E38" s="73">
        <f t="shared" si="5"/>
        <v>1</v>
      </c>
      <c r="F38" s="22">
        <f>C38</f>
        <v>0.25</v>
      </c>
      <c r="G38" s="22">
        <f>E38*F38</f>
        <v>0.25</v>
      </c>
      <c r="H38" s="22">
        <f t="shared" si="1"/>
        <v>0</v>
      </c>
      <c r="I38" s="23">
        <f t="shared" si="2"/>
        <v>0</v>
      </c>
      <c r="J38" s="23">
        <f t="shared" si="10"/>
        <v>6.3814967226228194E-4</v>
      </c>
      <c r="K38" s="108">
        <f t="shared" si="11"/>
        <v>6.5035481018467067E-4</v>
      </c>
    </row>
    <row r="39" spans="1:11" s="1" customFormat="1" x14ac:dyDescent="0.2">
      <c r="A39" s="110" t="s">
        <v>45</v>
      </c>
      <c r="B39" s="74"/>
      <c r="C39" s="35"/>
      <c r="D39" s="35">
        <f>SUM(D35:D38)</f>
        <v>14.7408</v>
      </c>
      <c r="E39" s="73"/>
      <c r="F39" s="35"/>
      <c r="G39" s="35">
        <f>SUM(G35:G38)</f>
        <v>14.75712</v>
      </c>
      <c r="H39" s="35">
        <f t="shared" si="1"/>
        <v>1.6320000000000334E-2</v>
      </c>
      <c r="I39" s="36">
        <f t="shared" si="2"/>
        <v>1.107131227613178E-3</v>
      </c>
      <c r="J39" s="36">
        <f t="shared" si="10"/>
        <v>3.7669005166140669E-2</v>
      </c>
      <c r="K39" s="111">
        <f t="shared" si="11"/>
        <v>3.838945590588963E-2</v>
      </c>
    </row>
    <row r="40" spans="1:11" s="1" customFormat="1" ht="13.5" thickBot="1" x14ac:dyDescent="0.25">
      <c r="A40" s="112" t="s">
        <v>46</v>
      </c>
      <c r="B40" s="113">
        <f>B4</f>
        <v>2000</v>
      </c>
      <c r="C40" s="114">
        <v>7.0000000000000001E-3</v>
      </c>
      <c r="D40" s="115">
        <f>B40*C40</f>
        <v>14</v>
      </c>
      <c r="E40" s="116">
        <f t="shared" si="5"/>
        <v>2000</v>
      </c>
      <c r="F40" s="114">
        <f>C40</f>
        <v>7.0000000000000001E-3</v>
      </c>
      <c r="G40" s="115">
        <f>E40*F40</f>
        <v>14</v>
      </c>
      <c r="H40" s="115">
        <f t="shared" si="1"/>
        <v>0</v>
      </c>
      <c r="I40" s="117">
        <f t="shared" si="2"/>
        <v>0</v>
      </c>
      <c r="J40" s="117">
        <f t="shared" si="10"/>
        <v>3.5736381646687791E-2</v>
      </c>
      <c r="K40" s="118">
        <f t="shared" si="11"/>
        <v>3.6419869370341557E-2</v>
      </c>
    </row>
    <row r="41" spans="1:11" s="1" customFormat="1" x14ac:dyDescent="0.2">
      <c r="A41" s="37" t="s">
        <v>137</v>
      </c>
      <c r="B41" s="38"/>
      <c r="C41" s="39"/>
      <c r="D41" s="39">
        <f>SUM(D14,D24,D25,D26,D32,D39,D40)</f>
        <v>362.11555303265129</v>
      </c>
      <c r="E41" s="38"/>
      <c r="F41" s="39"/>
      <c r="G41" s="39">
        <f>SUM(G14,G24,G25,G26,G32,G39,G40)</f>
        <v>373.10250000000008</v>
      </c>
      <c r="H41" s="39">
        <f t="shared" si="1"/>
        <v>10.986946967348786</v>
      </c>
      <c r="I41" s="40">
        <f>IF(ISERROR(H41/D41),0,(H41/D41))</f>
        <v>3.0340997163295313E-2</v>
      </c>
      <c r="J41" s="40">
        <f t="shared" si="10"/>
        <v>0.95238095238095244</v>
      </c>
      <c r="K41" s="41"/>
    </row>
    <row r="42" spans="1:11" x14ac:dyDescent="0.2">
      <c r="A42" s="150" t="s">
        <v>138</v>
      </c>
      <c r="B42" s="43"/>
      <c r="C42" s="26">
        <v>0.13</v>
      </c>
      <c r="D42" s="26">
        <f>D41*C42</f>
        <v>47.075021894244671</v>
      </c>
      <c r="E42" s="26"/>
      <c r="F42" s="26">
        <f>C42</f>
        <v>0.13</v>
      </c>
      <c r="G42" s="26">
        <f>G41*F42</f>
        <v>48.503325000000011</v>
      </c>
      <c r="H42" s="26">
        <f t="shared" si="1"/>
        <v>1.4283031057553401</v>
      </c>
      <c r="I42" s="44">
        <f t="shared" si="2"/>
        <v>3.0340997163295268E-2</v>
      </c>
      <c r="J42" s="44">
        <f t="shared" si="10"/>
        <v>0.12380952380952381</v>
      </c>
      <c r="K42" s="45"/>
    </row>
    <row r="43" spans="1:11" s="1" customFormat="1" x14ac:dyDescent="0.2">
      <c r="A43" s="46" t="s">
        <v>139</v>
      </c>
      <c r="B43" s="24"/>
      <c r="C43" s="25"/>
      <c r="D43" s="25">
        <f>SUM(D41:D42)</f>
        <v>409.19057492689598</v>
      </c>
      <c r="E43" s="25"/>
      <c r="F43" s="25"/>
      <c r="G43" s="25">
        <f>SUM(G41:G42)</f>
        <v>421.6058250000001</v>
      </c>
      <c r="H43" s="25">
        <f t="shared" si="1"/>
        <v>12.415250073104119</v>
      </c>
      <c r="I43" s="27">
        <f t="shared" si="2"/>
        <v>3.0340997163295289E-2</v>
      </c>
      <c r="J43" s="27">
        <f t="shared" si="10"/>
        <v>1.0761904761904761</v>
      </c>
      <c r="K43" s="47"/>
    </row>
    <row r="44" spans="1:11" x14ac:dyDescent="0.2">
      <c r="A44" s="42" t="s">
        <v>140</v>
      </c>
      <c r="B44" s="43"/>
      <c r="C44" s="26">
        <v>-0.08</v>
      </c>
      <c r="D44" s="26">
        <f>D41*C44</f>
        <v>-28.969244242612103</v>
      </c>
      <c r="E44" s="26"/>
      <c r="F44" s="26">
        <f>C44</f>
        <v>-0.08</v>
      </c>
      <c r="G44" s="26">
        <f>G41*F44</f>
        <v>-29.848200000000006</v>
      </c>
      <c r="H44" s="26">
        <f t="shared" si="1"/>
        <v>-0.87895575738790299</v>
      </c>
      <c r="I44" s="44">
        <f t="shared" si="2"/>
        <v>3.0340997163295316E-2</v>
      </c>
      <c r="J44" s="44">
        <f t="shared" si="10"/>
        <v>-7.6190476190476183E-2</v>
      </c>
      <c r="K44" s="45"/>
    </row>
    <row r="45" spans="1:11" s="1" customFormat="1" ht="13.5" thickBot="1" x14ac:dyDescent="0.25">
      <c r="A45" s="48" t="s">
        <v>141</v>
      </c>
      <c r="B45" s="49"/>
      <c r="C45" s="50"/>
      <c r="D45" s="50">
        <f>SUM(D43:D44)</f>
        <v>380.22133068428388</v>
      </c>
      <c r="E45" s="50"/>
      <c r="F45" s="50"/>
      <c r="G45" s="50">
        <f>SUM(G43:G44)</f>
        <v>391.75762500000008</v>
      </c>
      <c r="H45" s="50">
        <f t="shared" si="1"/>
        <v>11.536294315716191</v>
      </c>
      <c r="I45" s="51">
        <f t="shared" si="2"/>
        <v>3.0340997163295219E-2</v>
      </c>
      <c r="J45" s="51">
        <f t="shared" si="10"/>
        <v>1</v>
      </c>
      <c r="K45" s="52"/>
    </row>
    <row r="46" spans="1:11" x14ac:dyDescent="0.2">
      <c r="A46" s="53" t="s">
        <v>142</v>
      </c>
      <c r="B46" s="54"/>
      <c r="C46" s="55"/>
      <c r="D46" s="55">
        <f>SUM(D18,D24,D25,D27,D32,D39,D40)</f>
        <v>355.13664303265125</v>
      </c>
      <c r="E46" s="55"/>
      <c r="F46" s="55"/>
      <c r="G46" s="55">
        <f>SUM(G18,G24,G25,G27,G32,G39,G40)</f>
        <v>366.100526</v>
      </c>
      <c r="H46" s="55">
        <f>G46-D46</f>
        <v>10.963882967348752</v>
      </c>
      <c r="I46" s="56">
        <f>IF(ISERROR(H46/D46),0,(H46/D46))</f>
        <v>3.0872294319515582E-2</v>
      </c>
      <c r="J46" s="56"/>
      <c r="K46" s="57">
        <f>G46/$G$50</f>
        <v>0.95238095238095233</v>
      </c>
    </row>
    <row r="47" spans="1:11" x14ac:dyDescent="0.2">
      <c r="A47" s="58" t="s">
        <v>138</v>
      </c>
      <c r="B47" s="59"/>
      <c r="C47" s="31">
        <v>0.13</v>
      </c>
      <c r="D47" s="31">
        <f>D46*C47</f>
        <v>46.167763594244661</v>
      </c>
      <c r="E47" s="31"/>
      <c r="F47" s="31">
        <f>C47</f>
        <v>0.13</v>
      </c>
      <c r="G47" s="31">
        <f>G46*F47</f>
        <v>47.593068380000005</v>
      </c>
      <c r="H47" s="31">
        <f>G47-D47</f>
        <v>1.425304785755344</v>
      </c>
      <c r="I47" s="32">
        <f>IF(ISERROR(H47/D47),0,(H47/D47))</f>
        <v>3.0872294319515717E-2</v>
      </c>
      <c r="J47" s="32"/>
      <c r="K47" s="60">
        <f>G47/$G$50</f>
        <v>0.12380952380952381</v>
      </c>
    </row>
    <row r="48" spans="1:11" x14ac:dyDescent="0.2">
      <c r="A48" s="141" t="s">
        <v>143</v>
      </c>
      <c r="B48" s="29"/>
      <c r="C48" s="30"/>
      <c r="D48" s="30">
        <f>SUM(D46:D47)</f>
        <v>401.30440662689591</v>
      </c>
      <c r="E48" s="30"/>
      <c r="F48" s="30"/>
      <c r="G48" s="30">
        <f>SUM(G46:G47)</f>
        <v>413.69359438000004</v>
      </c>
      <c r="H48" s="30">
        <f>G48-D48</f>
        <v>12.389187753104125</v>
      </c>
      <c r="I48" s="33">
        <f>IF(ISERROR(H48/D48),0,(H48/D48))</f>
        <v>3.0872294319515669E-2</v>
      </c>
      <c r="J48" s="33"/>
      <c r="K48" s="62">
        <f>G48/$G$50</f>
        <v>1.0761904761904764</v>
      </c>
    </row>
    <row r="49" spans="1:11" x14ac:dyDescent="0.2">
      <c r="A49" s="58" t="s">
        <v>140</v>
      </c>
      <c r="B49" s="59"/>
      <c r="C49" s="31">
        <v>-0.08</v>
      </c>
      <c r="D49" s="31">
        <f>D46*C49</f>
        <v>-28.4109314426121</v>
      </c>
      <c r="E49" s="31"/>
      <c r="F49" s="31">
        <f>C49</f>
        <v>-0.08</v>
      </c>
      <c r="G49" s="31">
        <f>G46*F49</f>
        <v>-29.28804208</v>
      </c>
      <c r="H49" s="31">
        <f>G49-D49</f>
        <v>-0.87711063738790074</v>
      </c>
      <c r="I49" s="32">
        <f>IF(ISERROR(H49/D49),0,(H49/D49))</f>
        <v>3.0872294319515603E-2</v>
      </c>
      <c r="J49" s="32"/>
      <c r="K49" s="60">
        <f>G49/$G$50</f>
        <v>-7.6190476190476183E-2</v>
      </c>
    </row>
    <row r="50" spans="1:11" ht="13.5" thickBot="1" x14ac:dyDescent="0.25">
      <c r="A50" s="63" t="s">
        <v>144</v>
      </c>
      <c r="B50" s="64"/>
      <c r="C50" s="65"/>
      <c r="D50" s="65">
        <f>SUM(D48:D49)</f>
        <v>372.89347518428383</v>
      </c>
      <c r="E50" s="65"/>
      <c r="F50" s="65"/>
      <c r="G50" s="65">
        <f>SUM(G48:G49)</f>
        <v>384.40555230000001</v>
      </c>
      <c r="H50" s="65">
        <f>G50-D50</f>
        <v>11.512077115716181</v>
      </c>
      <c r="I50" s="66">
        <f>IF(ISERROR(H50/D50),0,(H50/D50))</f>
        <v>3.0872294319515558E-2</v>
      </c>
      <c r="J50" s="66"/>
      <c r="K50" s="67">
        <f>G50/$G$50</f>
        <v>1</v>
      </c>
    </row>
    <row r="51" spans="1:11" x14ac:dyDescent="0.2">
      <c r="C51" s="68"/>
      <c r="F51" s="69"/>
    </row>
    <row r="52" spans="1:11" x14ac:dyDescent="0.2">
      <c r="F52" s="69"/>
    </row>
    <row r="53" spans="1:11" x14ac:dyDescent="0.2">
      <c r="F53" s="69"/>
    </row>
    <row r="54" spans="1:11" x14ac:dyDescent="0.2">
      <c r="A54" s="70"/>
      <c r="B54" s="71"/>
      <c r="F54" s="69"/>
    </row>
    <row r="55" spans="1:11" x14ac:dyDescent="0.2">
      <c r="B55" s="71"/>
      <c r="F55" s="69"/>
    </row>
    <row r="56" spans="1:11" x14ac:dyDescent="0.2">
      <c r="F56" s="69"/>
    </row>
    <row r="57" spans="1:11" x14ac:dyDescent="0.2">
      <c r="D57" s="72"/>
      <c r="F57" s="69"/>
    </row>
    <row r="58" spans="1:11" x14ac:dyDescent="0.2">
      <c r="F58" s="69"/>
    </row>
    <row r="59" spans="1:11" x14ac:dyDescent="0.2">
      <c r="A59" s="70"/>
      <c r="B59" s="71"/>
      <c r="F59" s="69"/>
    </row>
    <row r="60" spans="1:11" x14ac:dyDescent="0.2">
      <c r="B60" s="72"/>
      <c r="D60" s="72"/>
      <c r="F60" s="69"/>
    </row>
    <row r="61" spans="1:11" x14ac:dyDescent="0.2">
      <c r="F61" s="69"/>
    </row>
    <row r="62" spans="1:11" x14ac:dyDescent="0.2">
      <c r="F62" s="69"/>
    </row>
    <row r="63" spans="1:11" x14ac:dyDescent="0.2">
      <c r="F63" s="69"/>
      <c r="K63"/>
    </row>
    <row r="64" spans="1:11" x14ac:dyDescent="0.2">
      <c r="F64" s="69"/>
      <c r="K64"/>
    </row>
    <row r="65" spans="6:11" x14ac:dyDescent="0.2">
      <c r="F65" s="69"/>
      <c r="K65"/>
    </row>
    <row r="66" spans="6:11" x14ac:dyDescent="0.2">
      <c r="F66" s="69"/>
      <c r="K66"/>
    </row>
    <row r="67" spans="6:11" x14ac:dyDescent="0.2">
      <c r="F67" s="69"/>
      <c r="K67"/>
    </row>
  </sheetData>
  <mergeCells count="1">
    <mergeCell ref="A1:K1"/>
  </mergeCell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Impacts'!$A$3:$A$21</xm:f>
          </x14:formula1>
          <xm:sqref>B3</xm:sqref>
        </x14:dataValidation>
      </x14:dataValidations>
    </ext>
  </extLst>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0">
    <pageSetUpPr fitToPage="1"/>
  </sheetPr>
  <dimension ref="A1:K67"/>
  <sheetViews>
    <sheetView topLeftCell="A19" workbookViewId="0">
      <selection activeCell="C19" sqref="C19"/>
    </sheetView>
  </sheetViews>
  <sheetFormatPr defaultRowHeight="12.75" x14ac:dyDescent="0.2"/>
  <cols>
    <col min="1" max="1" width="64.7109375" bestFit="1" customWidth="1"/>
    <col min="2" max="2" width="15.5703125" bestFit="1" customWidth="1"/>
    <col min="3" max="3" width="12.1406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48" t="s">
        <v>111</v>
      </c>
      <c r="B1" s="349"/>
      <c r="C1" s="349"/>
      <c r="D1" s="349"/>
      <c r="E1" s="349"/>
      <c r="F1" s="349"/>
      <c r="G1" s="349"/>
      <c r="H1" s="349"/>
      <c r="I1" s="349"/>
      <c r="J1" s="349"/>
      <c r="K1" s="350"/>
    </row>
    <row r="3" spans="1:11" x14ac:dyDescent="0.2">
      <c r="A3" s="13" t="s">
        <v>13</v>
      </c>
      <c r="B3" s="13" t="s">
        <v>181</v>
      </c>
      <c r="C3" s="13" t="s">
        <v>120</v>
      </c>
    </row>
    <row r="4" spans="1:11" x14ac:dyDescent="0.2">
      <c r="A4" s="15" t="s">
        <v>62</v>
      </c>
      <c r="B4" s="79">
        <v>15000</v>
      </c>
      <c r="C4" s="79">
        <f>B4</f>
        <v>15000</v>
      </c>
    </row>
    <row r="5" spans="1:11" x14ac:dyDescent="0.2">
      <c r="A5" s="15" t="s">
        <v>16</v>
      </c>
      <c r="B5" s="15">
        <f>VLOOKUP($B$3,'Data for Bill Impacts'!$A$3:$Y$39,5,0)</f>
        <v>0</v>
      </c>
      <c r="C5" s="15">
        <f>B5</f>
        <v>0</v>
      </c>
    </row>
    <row r="6" spans="1:11" x14ac:dyDescent="0.2">
      <c r="A6" s="15" t="s">
        <v>20</v>
      </c>
      <c r="B6" s="15">
        <f>VLOOKUP($B$3,'Data for Bill Impacts'!$A$3:$Y$39,2,0)</f>
        <v>1.0667</v>
      </c>
      <c r="C6" s="15">
        <f>VLOOKUP($C$3,'Data for Bill Impacts'!$A$3:$Y$39,2,0)</f>
        <v>1.0654999999999999</v>
      </c>
    </row>
    <row r="7" spans="1:11" x14ac:dyDescent="0.2">
      <c r="A7" s="15" t="s">
        <v>15</v>
      </c>
      <c r="B7" s="15">
        <f>VLOOKUP($B$3,'Data for Bill Impacts'!$A$3:$Y$39,4,0)</f>
        <v>750</v>
      </c>
      <c r="C7" s="15">
        <f>B7</f>
        <v>750</v>
      </c>
    </row>
    <row r="8" spans="1:11" x14ac:dyDescent="0.2">
      <c r="A8" s="15" t="s">
        <v>82</v>
      </c>
      <c r="B8" s="15">
        <f>B4*B6</f>
        <v>16000.5</v>
      </c>
      <c r="C8" s="15">
        <f>C4*C6</f>
        <v>15982.499999999998</v>
      </c>
    </row>
    <row r="9" spans="1:11" x14ac:dyDescent="0.2">
      <c r="A9" s="15" t="s">
        <v>21</v>
      </c>
      <c r="B9" s="16" t="str">
        <f>VLOOKUP($B$3,'Data for Bill Impacts'!$A$3:$Y$39,6,0)</f>
        <v>kWh</v>
      </c>
      <c r="C9" s="16" t="str">
        <f>VLOOKUP($C$3,'Data for Bill Impacts'!$A$3:$Y$39,6,0)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0.10299999999999999</v>
      </c>
      <c r="D12" s="104">
        <f>B12*C12</f>
        <v>77.25</v>
      </c>
      <c r="E12" s="102">
        <f>B12</f>
        <v>750</v>
      </c>
      <c r="F12" s="103">
        <f>C12</f>
        <v>0.10299999999999999</v>
      </c>
      <c r="G12" s="104">
        <f>E12*F12</f>
        <v>77.25</v>
      </c>
      <c r="H12" s="104">
        <f>G12-D12</f>
        <v>0</v>
      </c>
      <c r="I12" s="105">
        <f>IF(ISERROR(H12/D12),0,(H12/D12))</f>
        <v>0</v>
      </c>
      <c r="J12" s="105">
        <f>G12/$G$45</f>
        <v>2.8145919651187346E-2</v>
      </c>
      <c r="K12" s="106"/>
    </row>
    <row r="13" spans="1:11" x14ac:dyDescent="0.2">
      <c r="A13" s="107" t="s">
        <v>32</v>
      </c>
      <c r="B13" s="73">
        <f>IF(B4&gt;B7,(B4)-B7,0)</f>
        <v>14250</v>
      </c>
      <c r="C13" s="21">
        <v>0.121</v>
      </c>
      <c r="D13" s="22">
        <f>B13*C13</f>
        <v>1724.25</v>
      </c>
      <c r="E13" s="73">
        <f t="shared" ref="E13" si="0">B13</f>
        <v>14250</v>
      </c>
      <c r="F13" s="21">
        <f>C13</f>
        <v>0.121</v>
      </c>
      <c r="G13" s="22">
        <f>E13*F13</f>
        <v>1724.25</v>
      </c>
      <c r="H13" s="22">
        <f t="shared" ref="H13:H45" si="1">G13-D13</f>
        <v>0</v>
      </c>
      <c r="I13" s="23">
        <f t="shared" ref="I13:I45" si="2">IF(ISERROR(H13/D13),0,(H13/D13))</f>
        <v>0</v>
      </c>
      <c r="J13" s="23">
        <f>G13/$G$45</f>
        <v>0.62822785706873507</v>
      </c>
      <c r="K13" s="108"/>
    </row>
    <row r="14" spans="1:11" s="1" customFormat="1" x14ac:dyDescent="0.2">
      <c r="A14" s="46" t="s">
        <v>33</v>
      </c>
      <c r="B14" s="24"/>
      <c r="C14" s="25"/>
      <c r="D14" s="25">
        <f>SUM(D12:D13)</f>
        <v>1801.5</v>
      </c>
      <c r="E14" s="76"/>
      <c r="F14" s="25"/>
      <c r="G14" s="25">
        <f>SUM(G12:G13)</f>
        <v>1801.5</v>
      </c>
      <c r="H14" s="25">
        <f t="shared" si="1"/>
        <v>0</v>
      </c>
      <c r="I14" s="27">
        <f t="shared" si="2"/>
        <v>0</v>
      </c>
      <c r="J14" s="27">
        <f>G14/$G$45</f>
        <v>0.65637377671992236</v>
      </c>
      <c r="K14" s="108"/>
    </row>
    <row r="15" spans="1:11" s="1" customFormat="1" x14ac:dyDescent="0.2">
      <c r="A15" s="109" t="s">
        <v>34</v>
      </c>
      <c r="B15" s="75">
        <f>B4*0.65</f>
        <v>9750</v>
      </c>
      <c r="C15" s="28">
        <v>8.6999999999999994E-2</v>
      </c>
      <c r="D15" s="22">
        <f>B15*C15</f>
        <v>848.24999999999989</v>
      </c>
      <c r="E15" s="73">
        <f t="shared" ref="E15:F17" si="3">B15</f>
        <v>9750</v>
      </c>
      <c r="F15" s="28">
        <f t="shared" si="3"/>
        <v>8.6999999999999994E-2</v>
      </c>
      <c r="G15" s="22">
        <f>E15*F15</f>
        <v>848.24999999999989</v>
      </c>
      <c r="H15" s="22">
        <f t="shared" si="1"/>
        <v>0</v>
      </c>
      <c r="I15" s="23">
        <f t="shared" si="2"/>
        <v>0</v>
      </c>
      <c r="J15" s="23"/>
      <c r="K15" s="108">
        <f t="shared" ref="K15:K25" si="4">G15/$G$50</f>
        <v>0.32658322262814193</v>
      </c>
    </row>
    <row r="16" spans="1:11" s="1" customFormat="1" x14ac:dyDescent="0.2">
      <c r="A16" s="109" t="s">
        <v>35</v>
      </c>
      <c r="B16" s="75">
        <f>B4*0.17</f>
        <v>2550</v>
      </c>
      <c r="C16" s="28">
        <v>0.13200000000000001</v>
      </c>
      <c r="D16" s="22">
        <f>B16*C16</f>
        <v>336.6</v>
      </c>
      <c r="E16" s="73">
        <f t="shared" si="3"/>
        <v>2550</v>
      </c>
      <c r="F16" s="28">
        <f t="shared" si="3"/>
        <v>0.13200000000000001</v>
      </c>
      <c r="G16" s="22">
        <f>E16*F16</f>
        <v>336.6</v>
      </c>
      <c r="H16" s="22">
        <f t="shared" si="1"/>
        <v>0</v>
      </c>
      <c r="I16" s="23">
        <f t="shared" si="2"/>
        <v>0</v>
      </c>
      <c r="J16" s="23"/>
      <c r="K16" s="108">
        <f t="shared" si="4"/>
        <v>0.12959376685721496</v>
      </c>
    </row>
    <row r="17" spans="1:11" s="1" customFormat="1" x14ac:dyDescent="0.2">
      <c r="A17" s="109" t="s">
        <v>36</v>
      </c>
      <c r="B17" s="75">
        <f>B4*0.18</f>
        <v>2700</v>
      </c>
      <c r="C17" s="28">
        <v>0.18</v>
      </c>
      <c r="D17" s="22">
        <f>B17*C17</f>
        <v>486</v>
      </c>
      <c r="E17" s="73">
        <f t="shared" si="3"/>
        <v>2700</v>
      </c>
      <c r="F17" s="28">
        <f t="shared" si="3"/>
        <v>0.18</v>
      </c>
      <c r="G17" s="22">
        <f>E17*F17</f>
        <v>486</v>
      </c>
      <c r="H17" s="22">
        <f t="shared" si="1"/>
        <v>0</v>
      </c>
      <c r="I17" s="23">
        <f t="shared" si="2"/>
        <v>0</v>
      </c>
      <c r="J17" s="23"/>
      <c r="K17" s="108">
        <f t="shared" si="4"/>
        <v>0.18711399492752961</v>
      </c>
    </row>
    <row r="18" spans="1:11" s="1" customFormat="1" x14ac:dyDescent="0.2">
      <c r="A18" s="61" t="s">
        <v>37</v>
      </c>
      <c r="B18" s="29"/>
      <c r="C18" s="30"/>
      <c r="D18" s="30">
        <f>SUM(D15:D17)</f>
        <v>1670.85</v>
      </c>
      <c r="E18" s="77"/>
      <c r="F18" s="30"/>
      <c r="G18" s="30">
        <f>SUM(G15:G17)</f>
        <v>1670.85</v>
      </c>
      <c r="H18" s="31">
        <f t="shared" si="1"/>
        <v>0</v>
      </c>
      <c r="I18" s="32">
        <f t="shared" si="2"/>
        <v>0</v>
      </c>
      <c r="J18" s="33">
        <f>G18/$G$45</f>
        <v>0.60877164853315691</v>
      </c>
      <c r="K18" s="62">
        <f t="shared" si="4"/>
        <v>0.64329098441288657</v>
      </c>
    </row>
    <row r="19" spans="1:11" x14ac:dyDescent="0.2">
      <c r="A19" s="107" t="s">
        <v>38</v>
      </c>
      <c r="B19" s="73">
        <v>1</v>
      </c>
      <c r="C19" s="122">
        <f>VLOOKUP($C$3,'Data for Bill Impacts'!$A$3:$Y$39,7,0)</f>
        <v>26.94</v>
      </c>
      <c r="D19" s="22">
        <f>B19*C19</f>
        <v>26.94</v>
      </c>
      <c r="E19" s="73">
        <f t="shared" ref="E19:E40" si="5">B19</f>
        <v>1</v>
      </c>
      <c r="F19" s="78">
        <f>VLOOKUP($B$3,'Data for Bill Impacts'!$A$3:$Y$39,17,0)</f>
        <v>40.82</v>
      </c>
      <c r="G19" s="22">
        <f>E19*F19</f>
        <v>40.82</v>
      </c>
      <c r="H19" s="22">
        <f t="shared" si="1"/>
        <v>13.879999999999999</v>
      </c>
      <c r="I19" s="23">
        <f t="shared" si="2"/>
        <v>0.51521900519673347</v>
      </c>
      <c r="J19" s="23">
        <f>G19/$G$45</f>
        <v>1.4872704727009288E-2</v>
      </c>
      <c r="K19" s="108">
        <f t="shared" si="4"/>
        <v>1.5716035541032427E-2</v>
      </c>
    </row>
    <row r="20" spans="1:11" x14ac:dyDescent="0.2">
      <c r="A20" s="107" t="s">
        <v>188</v>
      </c>
      <c r="B20" s="73">
        <v>1</v>
      </c>
      <c r="C20" s="122">
        <f>'Data for Bill Impacts'!K29</f>
        <v>-0.27</v>
      </c>
      <c r="D20" s="22">
        <f>B20*C20</f>
        <v>-0.27</v>
      </c>
      <c r="E20" s="73">
        <f t="shared" si="5"/>
        <v>1</v>
      </c>
      <c r="F20" s="122">
        <v>0</v>
      </c>
      <c r="G20" s="22">
        <f t="shared" ref="G20" si="6">E20*F20</f>
        <v>0</v>
      </c>
      <c r="H20" s="22">
        <f t="shared" si="1"/>
        <v>0.27</v>
      </c>
      <c r="I20" s="23">
        <f t="shared" si="2"/>
        <v>-1</v>
      </c>
      <c r="J20" s="23">
        <f>G20/$G$45</f>
        <v>0</v>
      </c>
      <c r="K20" s="108">
        <f t="shared" si="4"/>
        <v>0</v>
      </c>
    </row>
    <row r="21" spans="1:11" x14ac:dyDescent="0.2">
      <c r="A21" s="107" t="s">
        <v>39</v>
      </c>
      <c r="B21" s="73">
        <f>C4</f>
        <v>15000</v>
      </c>
      <c r="C21" s="78">
        <f>VLOOKUP($C$3,'Data for Bill Impacts'!$A$3:$Y$39,10,0)</f>
        <v>1.9E-2</v>
      </c>
      <c r="D21" s="22">
        <f>B21*C21</f>
        <v>285</v>
      </c>
      <c r="E21" s="73">
        <f>B4</f>
        <v>15000</v>
      </c>
      <c r="F21" s="78">
        <f>VLOOKUP($B$3,'Data for Bill Impacts'!$A$3:$Y$39,19,0)</f>
        <v>1.8700000000000001E-2</v>
      </c>
      <c r="G21" s="22">
        <f>E21*F21</f>
        <v>280.5</v>
      </c>
      <c r="H21" s="22">
        <f t="shared" si="1"/>
        <v>-4.5</v>
      </c>
      <c r="I21" s="23">
        <f t="shared" si="2"/>
        <v>-1.5789473684210527E-2</v>
      </c>
      <c r="J21" s="23">
        <f>G21/$G$45</f>
        <v>0.10219974708295211</v>
      </c>
      <c r="K21" s="108">
        <f t="shared" si="4"/>
        <v>0.1079948057143458</v>
      </c>
    </row>
    <row r="22" spans="1:11" x14ac:dyDescent="0.2">
      <c r="A22" s="107" t="s">
        <v>189</v>
      </c>
      <c r="B22" s="73">
        <f>C4</f>
        <v>15000</v>
      </c>
      <c r="C22" s="78">
        <f>'Data for Bill Impacts'!H29</f>
        <v>4.0000000000000002E-4</v>
      </c>
      <c r="D22" s="22">
        <f>B22*C22</f>
        <v>6</v>
      </c>
      <c r="E22" s="73">
        <f>C4</f>
        <v>15000</v>
      </c>
      <c r="F22" s="126">
        <v>0</v>
      </c>
      <c r="G22" s="22">
        <f>E22*F22</f>
        <v>0</v>
      </c>
      <c r="H22" s="22">
        <f t="shared" ref="H22" si="7">G22-D22</f>
        <v>-6</v>
      </c>
      <c r="I22" s="23">
        <f t="shared" ref="I22" si="8">IF(ISERROR(H22/D22),0,(H22/D22))</f>
        <v>-1</v>
      </c>
      <c r="J22" s="23">
        <f>G22/$G$45</f>
        <v>0</v>
      </c>
      <c r="K22" s="108">
        <f t="shared" si="4"/>
        <v>0</v>
      </c>
    </row>
    <row r="23" spans="1:11" x14ac:dyDescent="0.2">
      <c r="A23" s="107" t="s">
        <v>194</v>
      </c>
      <c r="B23" s="73">
        <f>IF($B$9="kWh",$B$4,$B$5)</f>
        <v>15000</v>
      </c>
      <c r="C23" s="78">
        <f>'Data for Bill Impacts'!L29</f>
        <v>-2.0000000000000001E-4</v>
      </c>
      <c r="D23" s="22">
        <f>B23*C23</f>
        <v>-3</v>
      </c>
      <c r="E23" s="73">
        <f t="shared" si="5"/>
        <v>15000</v>
      </c>
      <c r="F23" s="126">
        <v>0</v>
      </c>
      <c r="G23" s="22">
        <f>E23*F23</f>
        <v>0</v>
      </c>
      <c r="H23" s="22">
        <f t="shared" si="1"/>
        <v>3</v>
      </c>
      <c r="I23" s="23">
        <f>IF(ISERROR(H23/D23),0,(H23/D23))</f>
        <v>-1</v>
      </c>
      <c r="J23" s="23">
        <f t="shared" ref="J23" si="9">G23/$G$45</f>
        <v>0</v>
      </c>
      <c r="K23" s="108">
        <f t="shared" si="4"/>
        <v>0</v>
      </c>
    </row>
    <row r="24" spans="1:11" s="1" customFormat="1" x14ac:dyDescent="0.2">
      <c r="A24" s="110" t="s">
        <v>72</v>
      </c>
      <c r="B24" s="74"/>
      <c r="C24" s="35"/>
      <c r="D24" s="35">
        <f>SUM(D19:D23)</f>
        <v>314.67</v>
      </c>
      <c r="E24" s="73"/>
      <c r="F24" s="35"/>
      <c r="G24" s="35">
        <f>SUM(G19:G23)</f>
        <v>321.32</v>
      </c>
      <c r="H24" s="35">
        <f t="shared" si="1"/>
        <v>6.6499999999999773</v>
      </c>
      <c r="I24" s="36">
        <f t="shared" si="2"/>
        <v>2.1133250707089893E-2</v>
      </c>
      <c r="J24" s="36">
        <f>G24/$G$45</f>
        <v>0.1170724518099614</v>
      </c>
      <c r="K24" s="111">
        <f t="shared" si="4"/>
        <v>0.12371084125537822</v>
      </c>
    </row>
    <row r="25" spans="1:11" s="1" customFormat="1" x14ac:dyDescent="0.2">
      <c r="A25" s="119" t="s">
        <v>73</v>
      </c>
      <c r="B25" s="120">
        <v>1</v>
      </c>
      <c r="C25" s="78">
        <f>VLOOKUP($C$3,'Data for Bill Impacts'!$A$3:$Y$39,9,0)</f>
        <v>0.79</v>
      </c>
      <c r="D25" s="22">
        <f>B25*C25</f>
        <v>0.79</v>
      </c>
      <c r="E25" s="73">
        <v>1</v>
      </c>
      <c r="F25" s="78">
        <f>VLOOKUP($B$3,'Data for Bill Impacts'!$A$3:$Y$39,18,0)</f>
        <v>0.79</v>
      </c>
      <c r="G25" s="22">
        <f>E25*F25</f>
        <v>0.79</v>
      </c>
      <c r="H25" s="22">
        <f t="shared" si="1"/>
        <v>0</v>
      </c>
      <c r="I25" s="23">
        <f>IF(ISERROR(H25/D25),0,(H25/D25))</f>
        <v>0</v>
      </c>
      <c r="J25" s="23">
        <f>G25/$G$45</f>
        <v>2.8783529481473145E-4</v>
      </c>
      <c r="K25" s="108">
        <f t="shared" si="4"/>
        <v>3.0415649381223951E-4</v>
      </c>
    </row>
    <row r="26" spans="1:11" s="1" customFormat="1" x14ac:dyDescent="0.2">
      <c r="A26" s="119" t="s">
        <v>75</v>
      </c>
      <c r="B26" s="120">
        <f>C8-C4</f>
        <v>982.49999999999818</v>
      </c>
      <c r="C26" s="121">
        <f>IF(C4&gt;C7,C13,C12)</f>
        <v>0.121</v>
      </c>
      <c r="D26" s="22">
        <f>B26*C26</f>
        <v>118.88249999999978</v>
      </c>
      <c r="E26" s="73">
        <f>B8-B4</f>
        <v>1000.5</v>
      </c>
      <c r="F26" s="121">
        <f>IF(B4&gt;B7,C13,C12)</f>
        <v>0.121</v>
      </c>
      <c r="G26" s="22">
        <f>E26*F26</f>
        <v>121.06049999999999</v>
      </c>
      <c r="H26" s="22">
        <f t="shared" si="1"/>
        <v>2.1780000000002104</v>
      </c>
      <c r="I26" s="23">
        <f>IF(ISERROR(H26/D26),0,(H26/D26))</f>
        <v>1.8320610687024706E-2</v>
      </c>
      <c r="J26" s="23">
        <f t="shared" ref="J26:J45" si="10">G26/$G$45</f>
        <v>4.4108208491036444E-2</v>
      </c>
      <c r="K26" s="108">
        <f t="shared" ref="K26:K40" si="11">G26/$G$50</f>
        <v>4.6609287619185591E-2</v>
      </c>
    </row>
    <row r="27" spans="1:11" s="1" customFormat="1" x14ac:dyDescent="0.2">
      <c r="A27" s="119" t="s">
        <v>74</v>
      </c>
      <c r="B27" s="120">
        <f>C8-C4</f>
        <v>982.49999999999818</v>
      </c>
      <c r="C27" s="121">
        <f>0.65*C15+0.17*C16+0.18*C17</f>
        <v>0.11139</v>
      </c>
      <c r="D27" s="22">
        <f>B27*C27</f>
        <v>109.4406749999998</v>
      </c>
      <c r="E27" s="73">
        <f>B8-B4</f>
        <v>1000.5</v>
      </c>
      <c r="F27" s="121">
        <f>C27</f>
        <v>0.11139</v>
      </c>
      <c r="G27" s="22">
        <f>E27*F27</f>
        <v>111.445695</v>
      </c>
      <c r="H27" s="22">
        <f t="shared" si="1"/>
        <v>2.0050200000002008</v>
      </c>
      <c r="I27" s="23">
        <f>IF(ISERROR(H27/D27),0,(H27/D27))</f>
        <v>1.8320610687024768E-2</v>
      </c>
      <c r="J27" s="23">
        <f t="shared" si="10"/>
        <v>4.0605068957161573E-2</v>
      </c>
      <c r="K27" s="108">
        <f t="shared" si="11"/>
        <v>4.290750866033953E-2</v>
      </c>
    </row>
    <row r="28" spans="1:11" s="1" customFormat="1" x14ac:dyDescent="0.2">
      <c r="A28" s="110" t="s">
        <v>78</v>
      </c>
      <c r="B28" s="74"/>
      <c r="C28" s="35"/>
      <c r="D28" s="35">
        <f>SUM(D24,D25:D26)</f>
        <v>434.3424999999998</v>
      </c>
      <c r="E28" s="73"/>
      <c r="F28" s="35"/>
      <c r="G28" s="35">
        <f>SUM(G24,G25:G26)</f>
        <v>443.1705</v>
      </c>
      <c r="H28" s="35">
        <f t="shared" si="1"/>
        <v>8.8280000000002019</v>
      </c>
      <c r="I28" s="36">
        <f>IF(ISERROR(H28/D28),0,(H28/D28))</f>
        <v>2.0324973954886309E-2</v>
      </c>
      <c r="J28" s="36">
        <f t="shared" si="10"/>
        <v>0.16146849559581258</v>
      </c>
      <c r="K28" s="111">
        <f t="shared" si="11"/>
        <v>0.17062428536837607</v>
      </c>
    </row>
    <row r="29" spans="1:11" s="1" customFormat="1" x14ac:dyDescent="0.2">
      <c r="A29" s="110" t="s">
        <v>77</v>
      </c>
      <c r="B29" s="74"/>
      <c r="C29" s="35"/>
      <c r="D29" s="35">
        <f>SUM(D24,D25,D27)</f>
        <v>424.90067499999986</v>
      </c>
      <c r="E29" s="73"/>
      <c r="F29" s="35"/>
      <c r="G29" s="35">
        <f>SUM(G24,G25,G27)</f>
        <v>433.55569500000001</v>
      </c>
      <c r="H29" s="35">
        <f t="shared" si="1"/>
        <v>8.6550200000001496</v>
      </c>
      <c r="I29" s="36">
        <f>IF(ISERROR(H29/D29),0,(H29/D29))</f>
        <v>2.0369513416282882E-2</v>
      </c>
      <c r="J29" s="36">
        <f t="shared" si="10"/>
        <v>0.15796535606193771</v>
      </c>
      <c r="K29" s="111">
        <f t="shared" si="11"/>
        <v>0.16692250640952999</v>
      </c>
    </row>
    <row r="30" spans="1:11" x14ac:dyDescent="0.2">
      <c r="A30" s="107" t="s">
        <v>40</v>
      </c>
      <c r="B30" s="73">
        <f>$C$8</f>
        <v>15982.499999999998</v>
      </c>
      <c r="C30" s="126">
        <f>VLOOKUP($C$3,'Data for Bill Impacts'!$A$3:$Y$39,15,0)</f>
        <v>5.8707628331982429E-3</v>
      </c>
      <c r="D30" s="22">
        <f>B30*C30</f>
        <v>93.829466981590912</v>
      </c>
      <c r="E30" s="73">
        <f>$B$8</f>
        <v>16000.5</v>
      </c>
      <c r="F30" s="78">
        <f>VLOOKUP($B$3,'Data for Bill Impacts'!$A$3:$Y$39,24,0)</f>
        <v>5.3E-3</v>
      </c>
      <c r="G30" s="22">
        <f>E30*F30</f>
        <v>84.80265</v>
      </c>
      <c r="H30" s="22">
        <f t="shared" si="1"/>
        <v>-9.0268169815909118</v>
      </c>
      <c r="I30" s="23">
        <f t="shared" si="2"/>
        <v>-9.620450027028235E-2</v>
      </c>
      <c r="J30" s="23">
        <f t="shared" si="10"/>
        <v>3.089771615673479E-2</v>
      </c>
      <c r="K30" s="108">
        <f t="shared" si="11"/>
        <v>3.2649717329096849E-2</v>
      </c>
    </row>
    <row r="31" spans="1:11" x14ac:dyDescent="0.2">
      <c r="A31" s="107" t="s">
        <v>41</v>
      </c>
      <c r="B31" s="73">
        <f>$C$8</f>
        <v>15982.499999999998</v>
      </c>
      <c r="C31" s="126">
        <f>VLOOKUP($C$3,'Data for Bill Impacts'!$A$3:$Y$39,16,0)</f>
        <v>4.9991353519971207E-3</v>
      </c>
      <c r="D31" s="22">
        <f>B31*C31</f>
        <v>79.898680763293967</v>
      </c>
      <c r="E31" s="73">
        <f>$B$8</f>
        <v>16000.5</v>
      </c>
      <c r="F31" s="78">
        <f>VLOOKUP($B$3,'Data for Bill Impacts'!$A$3:$Y$39,25,0)</f>
        <v>4.4000000000000003E-3</v>
      </c>
      <c r="G31" s="22">
        <f>E31*F31</f>
        <v>70.402200000000008</v>
      </c>
      <c r="H31" s="22">
        <f t="shared" si="1"/>
        <v>-9.4964807632939596</v>
      </c>
      <c r="I31" s="23">
        <f t="shared" si="2"/>
        <v>-0.1188565402153262</v>
      </c>
      <c r="J31" s="23">
        <f t="shared" si="10"/>
        <v>2.5650934167855303E-2</v>
      </c>
      <c r="K31" s="108">
        <f t="shared" si="11"/>
        <v>2.7105425707174748E-2</v>
      </c>
    </row>
    <row r="32" spans="1:11" s="1" customFormat="1" x14ac:dyDescent="0.2">
      <c r="A32" s="110" t="s">
        <v>76</v>
      </c>
      <c r="B32" s="74"/>
      <c r="C32" s="35"/>
      <c r="D32" s="35">
        <f>SUM(D30:D31)</f>
        <v>173.72814774488489</v>
      </c>
      <c r="E32" s="73"/>
      <c r="F32" s="35"/>
      <c r="G32" s="35">
        <f>SUM(G30:G31)</f>
        <v>155.20485000000002</v>
      </c>
      <c r="H32" s="35">
        <f t="shared" si="1"/>
        <v>-18.523297744884871</v>
      </c>
      <c r="I32" s="36">
        <f t="shared" si="2"/>
        <v>-0.10662231759982749</v>
      </c>
      <c r="J32" s="36">
        <f t="shared" si="10"/>
        <v>5.6548650324590097E-2</v>
      </c>
      <c r="K32" s="111">
        <f t="shared" si="11"/>
        <v>5.9755143036271607E-2</v>
      </c>
    </row>
    <row r="33" spans="1:11" s="1" customFormat="1" x14ac:dyDescent="0.2">
      <c r="A33" s="110" t="s">
        <v>95</v>
      </c>
      <c r="B33" s="74"/>
      <c r="C33" s="35"/>
      <c r="D33" s="35">
        <f>D28+D32</f>
        <v>608.0706477448847</v>
      </c>
      <c r="E33" s="73"/>
      <c r="F33" s="35"/>
      <c r="G33" s="35">
        <f>G28+G32</f>
        <v>598.37535000000003</v>
      </c>
      <c r="H33" s="35">
        <f t="shared" si="1"/>
        <v>-9.6952977448846696</v>
      </c>
      <c r="I33" s="36">
        <f t="shared" si="2"/>
        <v>-1.5944360710126431E-2</v>
      </c>
      <c r="J33" s="36">
        <f t="shared" si="10"/>
        <v>0.21801714592040269</v>
      </c>
      <c r="K33" s="111">
        <f t="shared" si="11"/>
        <v>0.23037942840464767</v>
      </c>
    </row>
    <row r="34" spans="1:11" s="1" customFormat="1" x14ac:dyDescent="0.2">
      <c r="A34" s="110" t="s">
        <v>96</v>
      </c>
      <c r="B34" s="74"/>
      <c r="C34" s="35"/>
      <c r="D34" s="35">
        <f>D29+D32</f>
        <v>598.6288227448847</v>
      </c>
      <c r="E34" s="73"/>
      <c r="F34" s="35"/>
      <c r="G34" s="35">
        <f>G29+G32</f>
        <v>588.76054500000009</v>
      </c>
      <c r="H34" s="35">
        <f t="shared" si="1"/>
        <v>-9.8682777448846082</v>
      </c>
      <c r="I34" s="36">
        <f t="shared" si="2"/>
        <v>-1.6484802217901447E-2</v>
      </c>
      <c r="J34" s="36">
        <f t="shared" si="10"/>
        <v>0.21451400638652782</v>
      </c>
      <c r="K34" s="111">
        <f t="shared" si="11"/>
        <v>0.22667764944580163</v>
      </c>
    </row>
    <row r="35" spans="1:11" x14ac:dyDescent="0.2">
      <c r="A35" s="107" t="s">
        <v>42</v>
      </c>
      <c r="B35" s="73">
        <f>$C$8</f>
        <v>15982.499999999998</v>
      </c>
      <c r="C35" s="34">
        <v>3.5999999999999999E-3</v>
      </c>
      <c r="D35" s="22">
        <f>B35*C35</f>
        <v>57.536999999999992</v>
      </c>
      <c r="E35" s="73">
        <f>$B$8</f>
        <v>16000.5</v>
      </c>
      <c r="F35" s="34">
        <v>3.5999999999999999E-3</v>
      </c>
      <c r="G35" s="22">
        <f>E35*F35</f>
        <v>57.601799999999997</v>
      </c>
      <c r="H35" s="22">
        <f t="shared" si="1"/>
        <v>6.4800000000005298E-2</v>
      </c>
      <c r="I35" s="23">
        <f t="shared" si="2"/>
        <v>1.1262318160488957E-3</v>
      </c>
      <c r="J35" s="23">
        <f t="shared" si="10"/>
        <v>2.0987127955517972E-2</v>
      </c>
      <c r="K35" s="108">
        <f t="shared" si="11"/>
        <v>2.2177166487688426E-2</v>
      </c>
    </row>
    <row r="36" spans="1:11" x14ac:dyDescent="0.2">
      <c r="A36" s="107" t="s">
        <v>43</v>
      </c>
      <c r="B36" s="73">
        <f>$C$8</f>
        <v>15982.499999999998</v>
      </c>
      <c r="C36" s="34">
        <v>2.0999999999999999E-3</v>
      </c>
      <c r="D36" s="22">
        <f>B36*C36</f>
        <v>33.563249999999996</v>
      </c>
      <c r="E36" s="73">
        <f>$B$8</f>
        <v>16000.5</v>
      </c>
      <c r="F36" s="34">
        <v>2.0999999999999999E-3</v>
      </c>
      <c r="G36" s="22">
        <f>E36*F36</f>
        <v>33.601050000000001</v>
      </c>
      <c r="H36" s="22">
        <f>G36-D36</f>
        <v>3.7800000000004275E-2</v>
      </c>
      <c r="I36" s="23">
        <f t="shared" si="2"/>
        <v>1.1262318160489308E-3</v>
      </c>
      <c r="J36" s="23">
        <f t="shared" si="10"/>
        <v>1.2242491307385483E-2</v>
      </c>
      <c r="K36" s="108">
        <f t="shared" si="11"/>
        <v>1.2936680451151582E-2</v>
      </c>
    </row>
    <row r="37" spans="1:11" x14ac:dyDescent="0.2">
      <c r="A37" s="107" t="s">
        <v>100</v>
      </c>
      <c r="B37" s="73">
        <f>$C$8</f>
        <v>15982.499999999998</v>
      </c>
      <c r="C37" s="34">
        <v>1.1000000000000001E-3</v>
      </c>
      <c r="D37" s="22">
        <f>B37*C37</f>
        <v>17.580749999999998</v>
      </c>
      <c r="E37" s="73">
        <f>$B$8</f>
        <v>16000.5</v>
      </c>
      <c r="F37" s="34">
        <v>1.1000000000000001E-3</v>
      </c>
      <c r="G37" s="22">
        <f>E37*F37</f>
        <v>17.600550000000002</v>
      </c>
      <c r="H37" s="22">
        <f>G37-D37</f>
        <v>1.9800000000003593E-2</v>
      </c>
      <c r="I37" s="23">
        <f t="shared" si="2"/>
        <v>1.1262318160490078E-3</v>
      </c>
      <c r="J37" s="23">
        <f t="shared" si="10"/>
        <v>6.4127335419638257E-3</v>
      </c>
      <c r="K37" s="108">
        <f t="shared" si="11"/>
        <v>6.7763564267936871E-3</v>
      </c>
    </row>
    <row r="38" spans="1:11" x14ac:dyDescent="0.2">
      <c r="A38" s="107" t="s">
        <v>44</v>
      </c>
      <c r="B38" s="73">
        <v>1</v>
      </c>
      <c r="C38" s="22">
        <v>0.25</v>
      </c>
      <c r="D38" s="22">
        <f>B38*C38</f>
        <v>0.25</v>
      </c>
      <c r="E38" s="73">
        <f t="shared" si="5"/>
        <v>1</v>
      </c>
      <c r="F38" s="22">
        <f>C38</f>
        <v>0.25</v>
      </c>
      <c r="G38" s="22">
        <f>E38*F38</f>
        <v>0.25</v>
      </c>
      <c r="H38" s="22">
        <f t="shared" si="1"/>
        <v>0</v>
      </c>
      <c r="I38" s="23">
        <f t="shared" si="2"/>
        <v>0</v>
      </c>
      <c r="J38" s="23">
        <f t="shared" si="10"/>
        <v>9.108711861225678E-5</v>
      </c>
      <c r="K38" s="108">
        <f t="shared" si="11"/>
        <v>9.6252055003873268E-5</v>
      </c>
    </row>
    <row r="39" spans="1:11" s="1" customFormat="1" x14ac:dyDescent="0.2">
      <c r="A39" s="110" t="s">
        <v>45</v>
      </c>
      <c r="B39" s="74"/>
      <c r="C39" s="35"/>
      <c r="D39" s="35">
        <f>SUM(D35:D38)</f>
        <v>108.93099999999998</v>
      </c>
      <c r="E39" s="73"/>
      <c r="F39" s="35"/>
      <c r="G39" s="35">
        <f>SUM(G35:G38)</f>
        <v>109.0534</v>
      </c>
      <c r="H39" s="35">
        <f t="shared" si="1"/>
        <v>0.12240000000001316</v>
      </c>
      <c r="I39" s="36">
        <f t="shared" si="2"/>
        <v>1.1236470793439259E-3</v>
      </c>
      <c r="J39" s="36">
        <f t="shared" si="10"/>
        <v>3.9733439923479538E-2</v>
      </c>
      <c r="K39" s="111">
        <f t="shared" si="11"/>
        <v>4.1986455420637565E-2</v>
      </c>
    </row>
    <row r="40" spans="1:11" s="1" customFormat="1" ht="13.5" thickBot="1" x14ac:dyDescent="0.25">
      <c r="A40" s="112" t="s">
        <v>46</v>
      </c>
      <c r="B40" s="113">
        <f>B4</f>
        <v>15000</v>
      </c>
      <c r="C40" s="114">
        <v>7.0000000000000001E-3</v>
      </c>
      <c r="D40" s="115">
        <f>B40*C40</f>
        <v>105</v>
      </c>
      <c r="E40" s="116">
        <f t="shared" si="5"/>
        <v>15000</v>
      </c>
      <c r="F40" s="114">
        <f>C40</f>
        <v>7.0000000000000001E-3</v>
      </c>
      <c r="G40" s="115">
        <f>E40*F40</f>
        <v>105</v>
      </c>
      <c r="H40" s="115">
        <f t="shared" si="1"/>
        <v>0</v>
      </c>
      <c r="I40" s="117">
        <f t="shared" si="2"/>
        <v>0</v>
      </c>
      <c r="J40" s="117">
        <f t="shared" si="10"/>
        <v>3.825658981714785E-2</v>
      </c>
      <c r="K40" s="118">
        <f t="shared" si="11"/>
        <v>4.0425863101626769E-2</v>
      </c>
    </row>
    <row r="41" spans="1:11" s="1" customFormat="1" x14ac:dyDescent="0.2">
      <c r="A41" s="37" t="s">
        <v>137</v>
      </c>
      <c r="B41" s="38"/>
      <c r="C41" s="39"/>
      <c r="D41" s="39">
        <f>SUM(D14,D24,D25,D26,D32,D39,D40)</f>
        <v>2623.5016477448848</v>
      </c>
      <c r="E41" s="38"/>
      <c r="F41" s="39"/>
      <c r="G41" s="39">
        <f>SUM(G14,G24,G25,G26,G32,G39,G40)</f>
        <v>2613.92875</v>
      </c>
      <c r="H41" s="39">
        <f t="shared" si="1"/>
        <v>-9.5728977448848127</v>
      </c>
      <c r="I41" s="40">
        <f>IF(ISERROR(H41/D41),0,(H41/D41))</f>
        <v>-3.648900984344151E-3</v>
      </c>
      <c r="J41" s="40">
        <f t="shared" si="10"/>
        <v>0.95238095238095244</v>
      </c>
      <c r="K41" s="41"/>
    </row>
    <row r="42" spans="1:11" x14ac:dyDescent="0.2">
      <c r="A42" s="150" t="s">
        <v>138</v>
      </c>
      <c r="B42" s="43"/>
      <c r="C42" s="26">
        <v>0.13</v>
      </c>
      <c r="D42" s="26">
        <f>D41*C42</f>
        <v>341.05521420683505</v>
      </c>
      <c r="E42" s="26"/>
      <c r="F42" s="26">
        <f>C42</f>
        <v>0.13</v>
      </c>
      <c r="G42" s="26">
        <f>G41*F42</f>
        <v>339.81073750000002</v>
      </c>
      <c r="H42" s="26">
        <f t="shared" si="1"/>
        <v>-1.2444767068350302</v>
      </c>
      <c r="I42" s="44">
        <f t="shared" si="2"/>
        <v>-3.6489009843441644E-3</v>
      </c>
      <c r="J42" s="44">
        <f t="shared" si="10"/>
        <v>0.12380952380952383</v>
      </c>
      <c r="K42" s="45"/>
    </row>
    <row r="43" spans="1:11" s="1" customFormat="1" x14ac:dyDescent="0.2">
      <c r="A43" s="46" t="s">
        <v>139</v>
      </c>
      <c r="B43" s="24"/>
      <c r="C43" s="25"/>
      <c r="D43" s="25">
        <f>SUM(D41:D42)</f>
        <v>2964.5568619517198</v>
      </c>
      <c r="E43" s="25"/>
      <c r="F43" s="25"/>
      <c r="G43" s="25">
        <f>SUM(G41:G42)</f>
        <v>2953.7394875</v>
      </c>
      <c r="H43" s="25">
        <f t="shared" si="1"/>
        <v>-10.817374451719843</v>
      </c>
      <c r="I43" s="27">
        <f t="shared" si="2"/>
        <v>-3.6489009843441527E-3</v>
      </c>
      <c r="J43" s="27">
        <f t="shared" si="10"/>
        <v>1.0761904761904764</v>
      </c>
      <c r="K43" s="47"/>
    </row>
    <row r="44" spans="1:11" x14ac:dyDescent="0.2">
      <c r="A44" s="42" t="s">
        <v>140</v>
      </c>
      <c r="B44" s="43"/>
      <c r="C44" s="26">
        <v>-0.08</v>
      </c>
      <c r="D44" s="26">
        <f>D41*C44</f>
        <v>-209.88013181959079</v>
      </c>
      <c r="E44" s="26"/>
      <c r="F44" s="26">
        <f>C44</f>
        <v>-0.08</v>
      </c>
      <c r="G44" s="26">
        <f>G41*F44</f>
        <v>-209.11430000000001</v>
      </c>
      <c r="H44" s="26">
        <f t="shared" si="1"/>
        <v>0.76583181959077251</v>
      </c>
      <c r="I44" s="44">
        <f t="shared" si="2"/>
        <v>-3.6489009843440915E-3</v>
      </c>
      <c r="J44" s="44">
        <f t="shared" si="10"/>
        <v>-7.6190476190476197E-2</v>
      </c>
      <c r="K44" s="45"/>
    </row>
    <row r="45" spans="1:11" s="1" customFormat="1" ht="13.5" thickBot="1" x14ac:dyDescent="0.25">
      <c r="A45" s="48" t="s">
        <v>141</v>
      </c>
      <c r="B45" s="49"/>
      <c r="C45" s="50"/>
      <c r="D45" s="50">
        <f>SUM(D43:D44)</f>
        <v>2754.6767301321293</v>
      </c>
      <c r="E45" s="50"/>
      <c r="F45" s="50"/>
      <c r="G45" s="50">
        <f>SUM(G43:G44)</f>
        <v>2744.6251874999998</v>
      </c>
      <c r="H45" s="50">
        <f t="shared" si="1"/>
        <v>-10.05154263212944</v>
      </c>
      <c r="I45" s="51">
        <f t="shared" si="2"/>
        <v>-3.648900984344291E-3</v>
      </c>
      <c r="J45" s="51">
        <f t="shared" si="10"/>
        <v>1</v>
      </c>
      <c r="K45" s="52"/>
    </row>
    <row r="46" spans="1:11" x14ac:dyDescent="0.2">
      <c r="A46" s="53" t="s">
        <v>142</v>
      </c>
      <c r="B46" s="54"/>
      <c r="C46" s="55"/>
      <c r="D46" s="55">
        <f>SUM(D18,D24,D25,D27,D32,D39,D40)</f>
        <v>2483.4098227448849</v>
      </c>
      <c r="E46" s="55"/>
      <c r="F46" s="55"/>
      <c r="G46" s="55">
        <f>SUM(G18,G24,G25,G27,G32,G39,G40)</f>
        <v>2473.6639449999998</v>
      </c>
      <c r="H46" s="55">
        <f>G46-D46</f>
        <v>-9.7458777448850924</v>
      </c>
      <c r="I46" s="56">
        <f>IF(ISERROR(H46/D46),0,(H46/D46))</f>
        <v>-3.9243936524794298E-3</v>
      </c>
      <c r="J46" s="56"/>
      <c r="K46" s="57">
        <f>G46/$G$50</f>
        <v>0.95238095238095244</v>
      </c>
    </row>
    <row r="47" spans="1:11" x14ac:dyDescent="0.2">
      <c r="A47" s="58" t="s">
        <v>138</v>
      </c>
      <c r="B47" s="59"/>
      <c r="C47" s="31">
        <v>0.13</v>
      </c>
      <c r="D47" s="31">
        <f>D46*C47</f>
        <v>322.84327695683504</v>
      </c>
      <c r="E47" s="31"/>
      <c r="F47" s="31">
        <f>C47</f>
        <v>0.13</v>
      </c>
      <c r="G47" s="31">
        <f>G46*F47</f>
        <v>321.57631284999997</v>
      </c>
      <c r="H47" s="31">
        <f>G47-D47</f>
        <v>-1.2669641068350757</v>
      </c>
      <c r="I47" s="32">
        <f>IF(ISERROR(H47/D47),0,(H47/D47))</f>
        <v>-3.9243936524794723E-3</v>
      </c>
      <c r="J47" s="32"/>
      <c r="K47" s="60">
        <f>G47/$G$50</f>
        <v>0.12380952380952381</v>
      </c>
    </row>
    <row r="48" spans="1:11" x14ac:dyDescent="0.2">
      <c r="A48" s="141" t="s">
        <v>143</v>
      </c>
      <c r="B48" s="29"/>
      <c r="C48" s="30"/>
      <c r="D48" s="30">
        <f>SUM(D46:D47)</f>
        <v>2806.2530997017197</v>
      </c>
      <c r="E48" s="30"/>
      <c r="F48" s="30"/>
      <c r="G48" s="30">
        <f>SUM(G46:G47)</f>
        <v>2795.2402578499996</v>
      </c>
      <c r="H48" s="30">
        <f>G48-D48</f>
        <v>-11.012841851720168</v>
      </c>
      <c r="I48" s="33">
        <f>IF(ISERROR(H48/D48),0,(H48/D48))</f>
        <v>-3.924393652479435E-3</v>
      </c>
      <c r="J48" s="33"/>
      <c r="K48" s="62">
        <f>G48/$G$50</f>
        <v>1.0761904761904761</v>
      </c>
    </row>
    <row r="49" spans="1:11" x14ac:dyDescent="0.2">
      <c r="A49" s="58" t="s">
        <v>140</v>
      </c>
      <c r="B49" s="59"/>
      <c r="C49" s="31">
        <v>-0.08</v>
      </c>
      <c r="D49" s="31">
        <f>D46*C49</f>
        <v>-198.67278581959079</v>
      </c>
      <c r="E49" s="31"/>
      <c r="F49" s="31">
        <f>C49</f>
        <v>-0.08</v>
      </c>
      <c r="G49" s="31">
        <f>G46*F49</f>
        <v>-197.89311559999999</v>
      </c>
      <c r="H49" s="31">
        <f>G49-D49</f>
        <v>0.7796702195907983</v>
      </c>
      <c r="I49" s="32">
        <f>IF(ISERROR(H49/D49),0,(H49/D49))</f>
        <v>-3.9243936524793839E-3</v>
      </c>
      <c r="J49" s="32"/>
      <c r="K49" s="60">
        <f>G49/$G$50</f>
        <v>-7.6190476190476197E-2</v>
      </c>
    </row>
    <row r="50" spans="1:11" ht="13.5" thickBot="1" x14ac:dyDescent="0.25">
      <c r="A50" s="63" t="s">
        <v>144</v>
      </c>
      <c r="B50" s="64"/>
      <c r="C50" s="65"/>
      <c r="D50" s="65">
        <f>SUM(D48:D49)</f>
        <v>2607.5803138821288</v>
      </c>
      <c r="E50" s="65"/>
      <c r="F50" s="65"/>
      <c r="G50" s="65">
        <f>SUM(G48:G49)</f>
        <v>2597.3471422499997</v>
      </c>
      <c r="H50" s="65">
        <f>G50-D50</f>
        <v>-10.233171632129142</v>
      </c>
      <c r="I50" s="66">
        <f>IF(ISERROR(H50/D50),0,(H50/D50))</f>
        <v>-3.9243936524793518E-3</v>
      </c>
      <c r="J50" s="66"/>
      <c r="K50" s="67">
        <f>G50/$G$50</f>
        <v>1</v>
      </c>
    </row>
    <row r="51" spans="1:11" x14ac:dyDescent="0.2">
      <c r="C51" s="68"/>
      <c r="F51" s="69"/>
    </row>
    <row r="52" spans="1:11" x14ac:dyDescent="0.2">
      <c r="F52" s="69"/>
    </row>
    <row r="53" spans="1:11" x14ac:dyDescent="0.2">
      <c r="F53" s="69"/>
    </row>
    <row r="54" spans="1:11" x14ac:dyDescent="0.2">
      <c r="A54" s="70"/>
      <c r="B54" s="71"/>
      <c r="F54" s="69"/>
    </row>
    <row r="55" spans="1:11" x14ac:dyDescent="0.2">
      <c r="B55" s="71"/>
      <c r="F55" s="69"/>
    </row>
    <row r="56" spans="1:11" x14ac:dyDescent="0.2">
      <c r="F56" s="69"/>
    </row>
    <row r="57" spans="1:11" x14ac:dyDescent="0.2">
      <c r="D57" s="72"/>
      <c r="F57" s="69"/>
    </row>
    <row r="58" spans="1:11" x14ac:dyDescent="0.2">
      <c r="F58" s="69"/>
    </row>
    <row r="59" spans="1:11" x14ac:dyDescent="0.2">
      <c r="A59" s="70"/>
      <c r="B59" s="71"/>
      <c r="F59" s="69"/>
    </row>
    <row r="60" spans="1:11" x14ac:dyDescent="0.2">
      <c r="B60" s="72"/>
      <c r="D60" s="72"/>
      <c r="F60" s="69"/>
    </row>
    <row r="61" spans="1:11" x14ac:dyDescent="0.2">
      <c r="F61" s="69"/>
    </row>
    <row r="62" spans="1:11" x14ac:dyDescent="0.2">
      <c r="F62" s="69"/>
    </row>
    <row r="63" spans="1:11" x14ac:dyDescent="0.2">
      <c r="F63" s="69"/>
      <c r="K63"/>
    </row>
    <row r="64" spans="1:11" x14ac:dyDescent="0.2">
      <c r="F64" s="69"/>
      <c r="K64"/>
    </row>
    <row r="65" spans="6:11" x14ac:dyDescent="0.2">
      <c r="F65" s="69"/>
      <c r="K65"/>
    </row>
    <row r="66" spans="6:11" x14ac:dyDescent="0.2">
      <c r="F66" s="69"/>
      <c r="K66"/>
    </row>
    <row r="67" spans="6:11" x14ac:dyDescent="0.2">
      <c r="F67" s="69"/>
      <c r="K67"/>
    </row>
  </sheetData>
  <mergeCells count="1">
    <mergeCell ref="A1:K1"/>
  </mergeCell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Impacts'!$A$3:$A$21</xm:f>
          </x14:formula1>
          <xm:sqref>B3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1" tint="0.499984740745262"/>
    <pageSetUpPr fitToPage="1"/>
  </sheetPr>
  <dimension ref="A1:K68"/>
  <sheetViews>
    <sheetView view="pageBreakPreview" topLeftCell="A19" zoomScaleNormal="100" zoomScaleSheetLayoutView="100" workbookViewId="0">
      <selection activeCell="C19" sqref="C19"/>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48" t="s">
        <v>111</v>
      </c>
      <c r="B1" s="349"/>
      <c r="C1" s="349"/>
      <c r="D1" s="349"/>
      <c r="E1" s="349"/>
      <c r="F1" s="349"/>
      <c r="G1" s="349"/>
      <c r="H1" s="349"/>
      <c r="I1" s="349"/>
      <c r="J1" s="349"/>
      <c r="K1" s="350"/>
    </row>
    <row r="3" spans="1:11" ht="12" customHeight="1" x14ac:dyDescent="0.2">
      <c r="A3" s="13" t="s">
        <v>13</v>
      </c>
      <c r="B3" s="13" t="s">
        <v>0</v>
      </c>
    </row>
    <row r="4" spans="1:11" x14ac:dyDescent="0.2">
      <c r="A4" s="15" t="s">
        <v>62</v>
      </c>
      <c r="B4" s="15">
        <v>1400</v>
      </c>
    </row>
    <row r="5" spans="1:11" x14ac:dyDescent="0.2">
      <c r="A5" s="15" t="s">
        <v>16</v>
      </c>
      <c r="B5" s="15">
        <f>VLOOKUP($B$3,'Data for Bill Impacts'!$A$3:$Y$15,5,0)</f>
        <v>0</v>
      </c>
    </row>
    <row r="6" spans="1:11" x14ac:dyDescent="0.2">
      <c r="A6" s="15" t="s">
        <v>20</v>
      </c>
      <c r="B6" s="15">
        <f>VLOOKUP($B$3,'Data for Bill Impacts'!$A$3:$Y$15,2,0)</f>
        <v>1.0569999999999999</v>
      </c>
    </row>
    <row r="7" spans="1:11" x14ac:dyDescent="0.2">
      <c r="A7" s="15" t="s">
        <v>15</v>
      </c>
      <c r="B7" s="15">
        <f>VLOOKUP($B$3,'Data for Bill Impacts'!$A$3:$Y$15,4,0)</f>
        <v>600</v>
      </c>
    </row>
    <row r="8" spans="1:11" x14ac:dyDescent="0.2">
      <c r="A8" s="15" t="s">
        <v>82</v>
      </c>
      <c r="B8" s="193">
        <f>B4*B6</f>
        <v>1479.8</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0.10299999999999999</v>
      </c>
      <c r="D12" s="104">
        <f>B12*C12</f>
        <v>61.8</v>
      </c>
      <c r="E12" s="102">
        <f>B12</f>
        <v>600</v>
      </c>
      <c r="F12" s="103">
        <f>C12</f>
        <v>0.10299999999999999</v>
      </c>
      <c r="G12" s="104">
        <f>E12*F12</f>
        <v>61.8</v>
      </c>
      <c r="H12" s="104">
        <f>G12-D12</f>
        <v>0</v>
      </c>
      <c r="I12" s="105">
        <f>IF(ISERROR(H12/D12),0,(H12/D12))</f>
        <v>0</v>
      </c>
      <c r="J12" s="105">
        <f>G12/$G$46</f>
        <v>0.24825266877041927</v>
      </c>
      <c r="K12" s="106"/>
    </row>
    <row r="13" spans="1:11" x14ac:dyDescent="0.2">
      <c r="A13" s="107" t="s">
        <v>32</v>
      </c>
      <c r="B13" s="73">
        <f>IF(B4&gt;B7,(B4)-B7,0)</f>
        <v>800</v>
      </c>
      <c r="C13" s="21">
        <v>0.121</v>
      </c>
      <c r="D13" s="22">
        <f>B13*C13</f>
        <v>96.8</v>
      </c>
      <c r="E13" s="73">
        <f t="shared" ref="E13" si="0">B13</f>
        <v>800</v>
      </c>
      <c r="F13" s="21">
        <f>C13</f>
        <v>0.121</v>
      </c>
      <c r="G13" s="22">
        <f>E13*F13</f>
        <v>96.8</v>
      </c>
      <c r="H13" s="22">
        <f t="shared" ref="H13:H46" si="1">G13-D13</f>
        <v>0</v>
      </c>
      <c r="I13" s="23">
        <f t="shared" ref="I13:I46" si="2">IF(ISERROR(H13/D13),0,(H13/D13))</f>
        <v>0</v>
      </c>
      <c r="J13" s="23">
        <f>G13/$G$46</f>
        <v>0.38884884040415185</v>
      </c>
      <c r="K13" s="108"/>
    </row>
    <row r="14" spans="1:11" s="1" customFormat="1" x14ac:dyDescent="0.2">
      <c r="A14" s="46" t="s">
        <v>33</v>
      </c>
      <c r="B14" s="24"/>
      <c r="C14" s="25"/>
      <c r="D14" s="25">
        <f>SUM(D12:D13)</f>
        <v>158.6</v>
      </c>
      <c r="E14" s="76"/>
      <c r="F14" s="25"/>
      <c r="G14" s="25">
        <f>SUM(G12:G13)</f>
        <v>158.6</v>
      </c>
      <c r="H14" s="25">
        <f t="shared" si="1"/>
        <v>0</v>
      </c>
      <c r="I14" s="27">
        <f t="shared" si="2"/>
        <v>0</v>
      </c>
      <c r="J14" s="27">
        <f>G14/$G$46</f>
        <v>0.63710150917457109</v>
      </c>
      <c r="K14" s="108"/>
    </row>
    <row r="15" spans="1:11" s="1" customFormat="1" x14ac:dyDescent="0.2">
      <c r="A15" s="109" t="s">
        <v>34</v>
      </c>
      <c r="B15" s="75">
        <f>B4*0.65</f>
        <v>910</v>
      </c>
      <c r="C15" s="28">
        <v>8.6999999999999994E-2</v>
      </c>
      <c r="D15" s="22">
        <f>B15*C15</f>
        <v>79.169999999999987</v>
      </c>
      <c r="E15" s="73">
        <f t="shared" ref="E15:F17" si="3">B15</f>
        <v>910</v>
      </c>
      <c r="F15" s="28">
        <f t="shared" si="3"/>
        <v>8.6999999999999994E-2</v>
      </c>
      <c r="G15" s="22">
        <f>E15*F15</f>
        <v>79.169999999999987</v>
      </c>
      <c r="H15" s="22">
        <f t="shared" si="1"/>
        <v>0</v>
      </c>
      <c r="I15" s="23">
        <f t="shared" si="2"/>
        <v>0</v>
      </c>
      <c r="J15" s="23"/>
      <c r="K15" s="108">
        <f t="shared" ref="K15:K26" si="4">G15/$G$51</f>
        <v>0.3226845132943067</v>
      </c>
    </row>
    <row r="16" spans="1:11" s="1" customFormat="1" x14ac:dyDescent="0.2">
      <c r="A16" s="109" t="s">
        <v>35</v>
      </c>
      <c r="B16" s="75">
        <f>B4*0.17</f>
        <v>238.00000000000003</v>
      </c>
      <c r="C16" s="28">
        <v>0.13200000000000001</v>
      </c>
      <c r="D16" s="22">
        <f>B16*C16</f>
        <v>31.416000000000004</v>
      </c>
      <c r="E16" s="73">
        <f t="shared" si="3"/>
        <v>238.00000000000003</v>
      </c>
      <c r="F16" s="28">
        <f t="shared" si="3"/>
        <v>0.13200000000000001</v>
      </c>
      <c r="G16" s="22">
        <f>E16*F16</f>
        <v>31.416000000000004</v>
      </c>
      <c r="H16" s="22">
        <f t="shared" si="1"/>
        <v>0</v>
      </c>
      <c r="I16" s="23">
        <f t="shared" si="2"/>
        <v>0</v>
      </c>
      <c r="J16" s="23"/>
      <c r="K16" s="108">
        <f t="shared" si="4"/>
        <v>0.12804669280856312</v>
      </c>
    </row>
    <row r="17" spans="1:11" s="1" customFormat="1" x14ac:dyDescent="0.2">
      <c r="A17" s="109" t="s">
        <v>36</v>
      </c>
      <c r="B17" s="75">
        <f>B4*0.18</f>
        <v>252</v>
      </c>
      <c r="C17" s="28">
        <v>0.18</v>
      </c>
      <c r="D17" s="22">
        <f>B17*C17</f>
        <v>45.36</v>
      </c>
      <c r="E17" s="73">
        <f t="shared" si="3"/>
        <v>252</v>
      </c>
      <c r="F17" s="28">
        <f t="shared" si="3"/>
        <v>0.18</v>
      </c>
      <c r="G17" s="22">
        <f>E17*F17</f>
        <v>45.36</v>
      </c>
      <c r="H17" s="22">
        <f t="shared" si="1"/>
        <v>0</v>
      </c>
      <c r="I17" s="23">
        <f t="shared" si="2"/>
        <v>0</v>
      </c>
      <c r="J17" s="23"/>
      <c r="K17" s="108">
        <f t="shared" si="4"/>
        <v>0.18488025164872748</v>
      </c>
    </row>
    <row r="18" spans="1:11" s="1" customFormat="1" x14ac:dyDescent="0.2">
      <c r="A18" s="61" t="s">
        <v>37</v>
      </c>
      <c r="B18" s="29"/>
      <c r="C18" s="30"/>
      <c r="D18" s="30">
        <f>SUM(D15:D17)</f>
        <v>155.94599999999997</v>
      </c>
      <c r="E18" s="77"/>
      <c r="F18" s="30"/>
      <c r="G18" s="30">
        <f>SUM(G15:G17)</f>
        <v>155.94599999999997</v>
      </c>
      <c r="H18" s="31">
        <f t="shared" si="1"/>
        <v>0</v>
      </c>
      <c r="I18" s="32">
        <f t="shared" si="2"/>
        <v>0</v>
      </c>
      <c r="J18" s="33">
        <f t="shared" ref="J18:J23" si="5">G18/$G$46</f>
        <v>0.6264403023312588</v>
      </c>
      <c r="K18" s="62">
        <f t="shared" si="4"/>
        <v>0.63561145775159722</v>
      </c>
    </row>
    <row r="19" spans="1:11" x14ac:dyDescent="0.2">
      <c r="A19" s="107" t="s">
        <v>38</v>
      </c>
      <c r="B19" s="73">
        <v>1</v>
      </c>
      <c r="C19" s="78">
        <f>VLOOKUP($B$3,'Data for Bill Impacts'!$A$3:$Y$15,7,0)</f>
        <v>35.880000000000003</v>
      </c>
      <c r="D19" s="22">
        <f>B19*C19</f>
        <v>35.880000000000003</v>
      </c>
      <c r="E19" s="73">
        <f t="shared" ref="E19:E41" si="6">B19</f>
        <v>1</v>
      </c>
      <c r="F19" s="78">
        <f>VLOOKUP($B$3,'Data for Bill Impacts'!$A$3:$Y$15,17,0)</f>
        <v>36.72</v>
      </c>
      <c r="G19" s="22">
        <f>E19*F19</f>
        <v>36.72</v>
      </c>
      <c r="H19" s="22">
        <f t="shared" si="1"/>
        <v>0.83999999999999631</v>
      </c>
      <c r="I19" s="23">
        <f t="shared" si="2"/>
        <v>2.3411371237458088E-2</v>
      </c>
      <c r="J19" s="23">
        <f t="shared" si="5"/>
        <v>0.14750546921116173</v>
      </c>
      <c r="K19" s="108">
        <f t="shared" si="4"/>
        <v>0.14966496562039844</v>
      </c>
    </row>
    <row r="20" spans="1:11" hidden="1" x14ac:dyDescent="0.2">
      <c r="A20" s="107" t="s">
        <v>83</v>
      </c>
      <c r="B20" s="73">
        <v>1</v>
      </c>
      <c r="C20" s="78">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145</v>
      </c>
      <c r="B21" s="73">
        <v>1</v>
      </c>
      <c r="C21" s="78">
        <v>0</v>
      </c>
      <c r="D21" s="22">
        <f t="shared" ref="D21:D22" si="8">B21*C21</f>
        <v>0</v>
      </c>
      <c r="E21" s="73">
        <f t="shared" si="6"/>
        <v>1</v>
      </c>
      <c r="F21" s="122">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0.01</v>
      </c>
      <c r="D22" s="22">
        <f t="shared" si="8"/>
        <v>0.01</v>
      </c>
      <c r="E22" s="73">
        <f t="shared" si="6"/>
        <v>1</v>
      </c>
      <c r="F22" s="122">
        <f>VLOOKUP($B$3,'Data for Bill Impacts'!$A$3:$Y$15,22,0)</f>
        <v>0.01</v>
      </c>
      <c r="G22" s="22">
        <f t="shared" si="7"/>
        <v>0.01</v>
      </c>
      <c r="H22" s="22">
        <f t="shared" si="1"/>
        <v>0</v>
      </c>
      <c r="I22" s="23">
        <f t="shared" si="2"/>
        <v>0</v>
      </c>
      <c r="J22" s="23">
        <f t="shared" si="5"/>
        <v>4.0170334752495028E-5</v>
      </c>
      <c r="K22" s="108">
        <f t="shared" si="4"/>
        <v>4.0758432903158618E-5</v>
      </c>
    </row>
    <row r="23" spans="1:11" x14ac:dyDescent="0.2">
      <c r="A23" s="107" t="s">
        <v>39</v>
      </c>
      <c r="B23" s="73">
        <f>IF($B$9="kWh",$B$4,$B$5)</f>
        <v>1400</v>
      </c>
      <c r="C23" s="126">
        <f>VLOOKUP($B$3,'Data for Bill Impacts'!$A$3:$Y$15,10,0)</f>
        <v>0</v>
      </c>
      <c r="D23" s="22">
        <f>B23*C23</f>
        <v>0</v>
      </c>
      <c r="E23" s="73">
        <f t="shared" si="6"/>
        <v>1400</v>
      </c>
      <c r="F23" s="78">
        <f>VLOOKUP($B$3,'Data for Bill Impacts'!$A$3:$Y$15,19,0)</f>
        <v>0</v>
      </c>
      <c r="G23" s="22">
        <f>E23*F23</f>
        <v>0</v>
      </c>
      <c r="H23" s="22">
        <f t="shared" si="1"/>
        <v>0</v>
      </c>
      <c r="I23" s="23">
        <f t="shared" si="2"/>
        <v>0</v>
      </c>
      <c r="J23" s="23">
        <f t="shared" si="5"/>
        <v>0</v>
      </c>
      <c r="K23" s="108">
        <f t="shared" si="4"/>
        <v>0</v>
      </c>
    </row>
    <row r="24" spans="1:11" x14ac:dyDescent="0.2">
      <c r="A24" s="107" t="s">
        <v>194</v>
      </c>
      <c r="B24" s="73">
        <f>IF($B$9="kWh",$B$4,$B$5)</f>
        <v>1400</v>
      </c>
      <c r="C24" s="126">
        <f>VLOOKUP($B$3,'Data for Bill Impacts'!$A$3:$Y$15,14,0)</f>
        <v>2.0000000000000001E-4</v>
      </c>
      <c r="D24" s="22">
        <f>B24*C24</f>
        <v>0.28000000000000003</v>
      </c>
      <c r="E24" s="73">
        <f t="shared" si="6"/>
        <v>1400</v>
      </c>
      <c r="F24" s="126">
        <f>VLOOKUP($B$3,'Data for Bill Impacts'!$A$3:$Y$15,23,0)</f>
        <v>2.0000000000000001E-4</v>
      </c>
      <c r="G24" s="22">
        <f>E24*F24</f>
        <v>0.28000000000000003</v>
      </c>
      <c r="H24" s="22">
        <f t="shared" si="1"/>
        <v>0</v>
      </c>
      <c r="I24" s="23">
        <f>IF(ISERROR(H24/D24),0,(H24/D24))</f>
        <v>0</v>
      </c>
      <c r="J24" s="23">
        <f t="shared" ref="J24" si="9">G24/$G$46</f>
        <v>1.1247693730698609E-3</v>
      </c>
      <c r="K24" s="108">
        <f t="shared" si="4"/>
        <v>1.1412361212884414E-3</v>
      </c>
    </row>
    <row r="25" spans="1:11" s="1" customFormat="1" x14ac:dyDescent="0.2">
      <c r="A25" s="110" t="s">
        <v>72</v>
      </c>
      <c r="B25" s="74"/>
      <c r="C25" s="35"/>
      <c r="D25" s="35">
        <f>SUM(D19:D24)</f>
        <v>36.17</v>
      </c>
      <c r="E25" s="73"/>
      <c r="F25" s="35"/>
      <c r="G25" s="35">
        <f>SUM(G19:G24)</f>
        <v>37.01</v>
      </c>
      <c r="H25" s="35">
        <f t="shared" si="1"/>
        <v>0.83999999999999631</v>
      </c>
      <c r="I25" s="36">
        <f t="shared" si="2"/>
        <v>2.322366602156473E-2</v>
      </c>
      <c r="J25" s="36">
        <f>G25/$G$46</f>
        <v>0.14867040891898409</v>
      </c>
      <c r="K25" s="111">
        <f t="shared" si="4"/>
        <v>0.15084696017459004</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G26/$G$46</f>
        <v>3.1734564454471074E-3</v>
      </c>
      <c r="K26" s="108">
        <f t="shared" si="4"/>
        <v>3.2199161993495306E-3</v>
      </c>
    </row>
    <row r="27" spans="1:11" s="1" customFormat="1" x14ac:dyDescent="0.2">
      <c r="A27" s="119" t="s">
        <v>75</v>
      </c>
      <c r="B27" s="120">
        <f>B8-B4</f>
        <v>79.799999999999955</v>
      </c>
      <c r="C27" s="121">
        <f>IF(B4&gt;B7,C13,C12)</f>
        <v>0.121</v>
      </c>
      <c r="D27" s="22">
        <f>B27*C27</f>
        <v>9.6557999999999939</v>
      </c>
      <c r="E27" s="73">
        <f>B27</f>
        <v>79.799999999999955</v>
      </c>
      <c r="F27" s="121">
        <f>C27</f>
        <v>0.121</v>
      </c>
      <c r="G27" s="22">
        <f>E27*F27</f>
        <v>9.6557999999999939</v>
      </c>
      <c r="H27" s="22">
        <f t="shared" si="1"/>
        <v>0</v>
      </c>
      <c r="I27" s="23">
        <f>IF(ISERROR(H27/D27),0,(H27/D27))</f>
        <v>0</v>
      </c>
      <c r="J27" s="23">
        <f t="shared" ref="J27:J46" si="10">G27/$G$46</f>
        <v>3.8787671830314126E-2</v>
      </c>
      <c r="K27" s="108">
        <f t="shared" ref="K27:K41" si="11">G27/$G$51</f>
        <v>3.9355527642631873E-2</v>
      </c>
    </row>
    <row r="28" spans="1:11" s="1" customFormat="1" x14ac:dyDescent="0.2">
      <c r="A28" s="119" t="s">
        <v>74</v>
      </c>
      <c r="B28" s="120">
        <f>B8-B4</f>
        <v>79.799999999999955</v>
      </c>
      <c r="C28" s="121">
        <f>0.65*C15+0.17*C16+0.18*C17</f>
        <v>0.11139</v>
      </c>
      <c r="D28" s="22">
        <f>B28*C28</f>
        <v>8.8889219999999955</v>
      </c>
      <c r="E28" s="73">
        <f>B28</f>
        <v>79.799999999999955</v>
      </c>
      <c r="F28" s="121">
        <f>C28</f>
        <v>0.11139</v>
      </c>
      <c r="G28" s="22">
        <f>E28*F28</f>
        <v>8.8889219999999955</v>
      </c>
      <c r="H28" s="22">
        <f t="shared" si="1"/>
        <v>0</v>
      </c>
      <c r="I28" s="23">
        <f>IF(ISERROR(H28/D28),0,(H28/D28))</f>
        <v>0</v>
      </c>
      <c r="J28" s="23">
        <f t="shared" si="10"/>
        <v>3.5707097232881742E-2</v>
      </c>
      <c r="K28" s="108">
        <f t="shared" si="11"/>
        <v>3.6229853091841027E-2</v>
      </c>
    </row>
    <row r="29" spans="1:11" s="1" customFormat="1" x14ac:dyDescent="0.2">
      <c r="A29" s="110" t="s">
        <v>78</v>
      </c>
      <c r="B29" s="74"/>
      <c r="C29" s="35"/>
      <c r="D29" s="35">
        <f>SUM(D25,D26:D27)</f>
        <v>46.615799999999993</v>
      </c>
      <c r="E29" s="73"/>
      <c r="F29" s="35"/>
      <c r="G29" s="35">
        <f>SUM(G25,G26:G27)</f>
        <v>47.455799999999989</v>
      </c>
      <c r="H29" s="35">
        <f t="shared" si="1"/>
        <v>0.83999999999999631</v>
      </c>
      <c r="I29" s="36">
        <f>IF(ISERROR(H29/D29),0,(H29/D29))</f>
        <v>1.8019641409135881E-2</v>
      </c>
      <c r="J29" s="36">
        <f t="shared" si="10"/>
        <v>0.19063153719474532</v>
      </c>
      <c r="K29" s="111">
        <f t="shared" si="11"/>
        <v>0.1934224040165714</v>
      </c>
    </row>
    <row r="30" spans="1:11" s="1" customFormat="1" x14ac:dyDescent="0.2">
      <c r="A30" s="110" t="s">
        <v>77</v>
      </c>
      <c r="B30" s="74"/>
      <c r="C30" s="35"/>
      <c r="D30" s="35">
        <f>SUM(D25,D26,D28)</f>
        <v>45.848921999999995</v>
      </c>
      <c r="E30" s="73"/>
      <c r="F30" s="35"/>
      <c r="G30" s="35">
        <f>SUM(G25,G26,G28)</f>
        <v>46.688921999999991</v>
      </c>
      <c r="H30" s="35">
        <f t="shared" si="1"/>
        <v>0.83999999999999631</v>
      </c>
      <c r="I30" s="36">
        <f>IF(ISERROR(H30/D30),0,(H30/D30))</f>
        <v>1.832104144127961E-2</v>
      </c>
      <c r="J30" s="36">
        <f t="shared" si="10"/>
        <v>0.18755096259731294</v>
      </c>
      <c r="K30" s="111">
        <f t="shared" si="11"/>
        <v>0.19029672946578058</v>
      </c>
    </row>
    <row r="31" spans="1:11" x14ac:dyDescent="0.2">
      <c r="A31" s="107" t="s">
        <v>40</v>
      </c>
      <c r="B31" s="73">
        <f>B8</f>
        <v>1479.8</v>
      </c>
      <c r="C31" s="126">
        <f>VLOOKUP($B$3,'Data for Bill Impacts'!$A$3:$Y$15,15,0)</f>
        <v>7.8279999999999999E-3</v>
      </c>
      <c r="D31" s="22">
        <f>B31*C31</f>
        <v>11.583874399999999</v>
      </c>
      <c r="E31" s="73">
        <f t="shared" si="6"/>
        <v>1479.8</v>
      </c>
      <c r="F31" s="78">
        <f>VLOOKUP($B$3,'Data for Bill Impacts'!$A$3:$Y$15,24,0)</f>
        <v>7.7000000000000002E-3</v>
      </c>
      <c r="G31" s="22">
        <f>E31*F31</f>
        <v>11.39446</v>
      </c>
      <c r="H31" s="22">
        <f t="shared" si="1"/>
        <v>-0.18941439999999865</v>
      </c>
      <c r="I31" s="23">
        <f t="shared" si="2"/>
        <v>-1.635155850792017E-2</v>
      </c>
      <c r="J31" s="23">
        <f t="shared" si="10"/>
        <v>4.5771927252391452E-2</v>
      </c>
      <c r="K31" s="108">
        <f t="shared" si="11"/>
        <v>4.644203333777247E-2</v>
      </c>
    </row>
    <row r="32" spans="1:11" x14ac:dyDescent="0.2">
      <c r="A32" s="107" t="s">
        <v>41</v>
      </c>
      <c r="B32" s="73">
        <f>B8</f>
        <v>1479.8</v>
      </c>
      <c r="C32" s="126">
        <f>VLOOKUP($B$3,'Data for Bill Impacts'!$A$3:$Y$15,16,0)</f>
        <v>6.4380000000000001E-3</v>
      </c>
      <c r="D32" s="22">
        <f>B32*C32</f>
        <v>9.5269524000000008</v>
      </c>
      <c r="E32" s="73">
        <f t="shared" si="6"/>
        <v>1479.8</v>
      </c>
      <c r="F32" s="78">
        <f>VLOOKUP($B$3,'Data for Bill Impacts'!$A$3:$Y$15,25,0)</f>
        <v>6.3E-3</v>
      </c>
      <c r="G32" s="22">
        <f>E32*F32</f>
        <v>9.3227399999999996</v>
      </c>
      <c r="H32" s="22">
        <f t="shared" si="1"/>
        <v>-0.20421240000000118</v>
      </c>
      <c r="I32" s="23">
        <f t="shared" si="2"/>
        <v>-2.1435228331780177E-2</v>
      </c>
      <c r="J32" s="23">
        <f t="shared" si="10"/>
        <v>3.744975866104755E-2</v>
      </c>
      <c r="K32" s="108">
        <f t="shared" si="11"/>
        <v>3.7998027276359293E-2</v>
      </c>
    </row>
    <row r="33" spans="1:11" s="1" customFormat="1" x14ac:dyDescent="0.2">
      <c r="A33" s="110" t="s">
        <v>76</v>
      </c>
      <c r="B33" s="74"/>
      <c r="C33" s="35"/>
      <c r="D33" s="35">
        <f>SUM(D31:D32)</f>
        <v>21.110826799999998</v>
      </c>
      <c r="E33" s="73"/>
      <c r="F33" s="35"/>
      <c r="G33" s="35">
        <f>SUM(G31:G32)</f>
        <v>20.717199999999998</v>
      </c>
      <c r="H33" s="35">
        <f t="shared" si="1"/>
        <v>-0.39362679999999983</v>
      </c>
      <c r="I33" s="36">
        <f t="shared" si="2"/>
        <v>-1.8645731108930318E-2</v>
      </c>
      <c r="J33" s="36">
        <f t="shared" si="10"/>
        <v>8.3221685913438995E-2</v>
      </c>
      <c r="K33" s="111">
        <f t="shared" si="11"/>
        <v>8.4440060614131757E-2</v>
      </c>
    </row>
    <row r="34" spans="1:11" s="1" customFormat="1" x14ac:dyDescent="0.2">
      <c r="A34" s="110" t="s">
        <v>95</v>
      </c>
      <c r="B34" s="74"/>
      <c r="C34" s="35"/>
      <c r="D34" s="35">
        <f>D29+D33</f>
        <v>67.726626799999991</v>
      </c>
      <c r="E34" s="73"/>
      <c r="F34" s="35"/>
      <c r="G34" s="35">
        <f>G29+G33</f>
        <v>68.172999999999988</v>
      </c>
      <c r="H34" s="35">
        <f t="shared" si="1"/>
        <v>0.44637319999999647</v>
      </c>
      <c r="I34" s="36">
        <f t="shared" si="2"/>
        <v>6.5908080926303644E-3</v>
      </c>
      <c r="J34" s="36">
        <f t="shared" si="10"/>
        <v>0.27385322310818427</v>
      </c>
      <c r="K34" s="111">
        <f t="shared" si="11"/>
        <v>0.27786246463070319</v>
      </c>
    </row>
    <row r="35" spans="1:11" s="1" customFormat="1" x14ac:dyDescent="0.2">
      <c r="A35" s="110" t="s">
        <v>96</v>
      </c>
      <c r="B35" s="74"/>
      <c r="C35" s="35"/>
      <c r="D35" s="35">
        <f>D30+D33</f>
        <v>66.9597488</v>
      </c>
      <c r="E35" s="73"/>
      <c r="F35" s="35"/>
      <c r="G35" s="35">
        <f>G30+G33</f>
        <v>67.406121999999982</v>
      </c>
      <c r="H35" s="35">
        <f t="shared" si="1"/>
        <v>0.44637319999998226</v>
      </c>
      <c r="I35" s="36">
        <f t="shared" si="2"/>
        <v>6.6662914362662943E-3</v>
      </c>
      <c r="J35" s="36">
        <f t="shared" si="10"/>
        <v>0.27077264851075189</v>
      </c>
      <c r="K35" s="111">
        <f t="shared" si="11"/>
        <v>0.27473679007991231</v>
      </c>
    </row>
    <row r="36" spans="1:11" x14ac:dyDescent="0.2">
      <c r="A36" s="107" t="s">
        <v>42</v>
      </c>
      <c r="B36" s="73">
        <f>B8</f>
        <v>1479.8</v>
      </c>
      <c r="C36" s="34">
        <v>3.5999999999999999E-3</v>
      </c>
      <c r="D36" s="22">
        <f>B36*C36</f>
        <v>5.32728</v>
      </c>
      <c r="E36" s="73">
        <f t="shared" si="6"/>
        <v>1479.8</v>
      </c>
      <c r="F36" s="34">
        <v>3.5999999999999999E-3</v>
      </c>
      <c r="G36" s="22">
        <f>E36*F36</f>
        <v>5.32728</v>
      </c>
      <c r="H36" s="22">
        <f t="shared" si="1"/>
        <v>0</v>
      </c>
      <c r="I36" s="23">
        <f t="shared" si="2"/>
        <v>0</v>
      </c>
      <c r="J36" s="23">
        <f t="shared" si="10"/>
        <v>2.1399862092027169E-2</v>
      </c>
      <c r="K36" s="108">
        <f t="shared" si="11"/>
        <v>2.1713158443633883E-2</v>
      </c>
    </row>
    <row r="37" spans="1:11" x14ac:dyDescent="0.2">
      <c r="A37" s="107" t="s">
        <v>43</v>
      </c>
      <c r="B37" s="73">
        <f>B8</f>
        <v>1479.8</v>
      </c>
      <c r="C37" s="34">
        <v>2.0999999999999999E-3</v>
      </c>
      <c r="D37" s="22">
        <f>B37*C37</f>
        <v>3.1075799999999996</v>
      </c>
      <c r="E37" s="73">
        <f t="shared" si="6"/>
        <v>1479.8</v>
      </c>
      <c r="F37" s="34">
        <v>2.0999999999999999E-3</v>
      </c>
      <c r="G37" s="22">
        <f>E37*F37</f>
        <v>3.1075799999999996</v>
      </c>
      <c r="H37" s="22">
        <f>G37-D37</f>
        <v>0</v>
      </c>
      <c r="I37" s="23">
        <f t="shared" si="2"/>
        <v>0</v>
      </c>
      <c r="J37" s="23">
        <f t="shared" si="10"/>
        <v>1.2483252887015848E-2</v>
      </c>
      <c r="K37" s="108">
        <f t="shared" si="11"/>
        <v>1.2666009092119764E-2</v>
      </c>
    </row>
    <row r="38" spans="1:11" x14ac:dyDescent="0.2">
      <c r="A38" s="107" t="s">
        <v>100</v>
      </c>
      <c r="B38" s="73">
        <f>B8</f>
        <v>1479.8</v>
      </c>
      <c r="C38" s="34">
        <v>1.1000000000000001E-3</v>
      </c>
      <c r="D38" s="22">
        <f>B38*C38</f>
        <v>1.62778</v>
      </c>
      <c r="E38" s="73">
        <f t="shared" si="6"/>
        <v>1479.8</v>
      </c>
      <c r="F38" s="34">
        <v>1.1000000000000001E-3</v>
      </c>
      <c r="G38" s="22">
        <f>E38*F38</f>
        <v>1.62778</v>
      </c>
      <c r="H38" s="22">
        <f>G38-D38</f>
        <v>0</v>
      </c>
      <c r="I38" s="23">
        <f t="shared" ref="I38" si="12">IF(ISERROR(H38/D38),0,(H38/D38))</f>
        <v>0</v>
      </c>
      <c r="J38" s="23">
        <f t="shared" ref="J38" si="13">G38/$G$46</f>
        <v>6.5388467503416352E-3</v>
      </c>
      <c r="K38" s="108">
        <f t="shared" ref="K38" si="14">G38/$G$51</f>
        <v>6.6345761911103529E-3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10"/>
        <v>1.0042583688123757E-3</v>
      </c>
      <c r="K39" s="108">
        <f t="shared" si="11"/>
        <v>1.0189608225789654E-3</v>
      </c>
    </row>
    <row r="40" spans="1:11" s="1" customFormat="1" x14ac:dyDescent="0.2">
      <c r="A40" s="110" t="s">
        <v>45</v>
      </c>
      <c r="B40" s="74"/>
      <c r="C40" s="35"/>
      <c r="D40" s="35">
        <f>SUM(D36:D39)</f>
        <v>10.31264</v>
      </c>
      <c r="E40" s="73"/>
      <c r="F40" s="35"/>
      <c r="G40" s="35">
        <f>SUM(G36:G39)</f>
        <v>10.31264</v>
      </c>
      <c r="H40" s="35">
        <f t="shared" si="1"/>
        <v>0</v>
      </c>
      <c r="I40" s="36">
        <f t="shared" si="2"/>
        <v>0</v>
      </c>
      <c r="J40" s="36">
        <f t="shared" si="10"/>
        <v>4.1426220098197034E-2</v>
      </c>
      <c r="K40" s="111">
        <f t="shared" si="11"/>
        <v>4.2032704549442967E-2</v>
      </c>
    </row>
    <row r="41" spans="1:11" s="1" customFormat="1" ht="13.5" thickBot="1" x14ac:dyDescent="0.25">
      <c r="A41" s="112" t="s">
        <v>46</v>
      </c>
      <c r="B41" s="113">
        <f>B4</f>
        <v>1400</v>
      </c>
      <c r="C41" s="114">
        <v>0</v>
      </c>
      <c r="D41" s="115">
        <f>B41*C41</f>
        <v>0</v>
      </c>
      <c r="E41" s="116">
        <f t="shared" si="6"/>
        <v>1400</v>
      </c>
      <c r="F41" s="114">
        <f>C41</f>
        <v>0</v>
      </c>
      <c r="G41" s="115">
        <f>E41*F41</f>
        <v>0</v>
      </c>
      <c r="H41" s="115">
        <f t="shared" si="1"/>
        <v>0</v>
      </c>
      <c r="I41" s="117">
        <f t="shared" si="2"/>
        <v>0</v>
      </c>
      <c r="J41" s="117">
        <f t="shared" si="10"/>
        <v>0</v>
      </c>
      <c r="K41" s="118">
        <f t="shared" si="11"/>
        <v>0</v>
      </c>
    </row>
    <row r="42" spans="1:11" s="1" customFormat="1" x14ac:dyDescent="0.2">
      <c r="A42" s="37" t="s">
        <v>137</v>
      </c>
      <c r="B42" s="38"/>
      <c r="C42" s="39"/>
      <c r="D42" s="39">
        <f>SUM(D14,D25,D26,D27,D33,D40,D41)</f>
        <v>236.63926679999997</v>
      </c>
      <c r="E42" s="38"/>
      <c r="F42" s="39"/>
      <c r="G42" s="39">
        <f>SUM(G14,G25,G26,G27,G33,G40,G41)</f>
        <v>237.08563999999996</v>
      </c>
      <c r="H42" s="39">
        <f t="shared" si="1"/>
        <v>0.44637319999998226</v>
      </c>
      <c r="I42" s="40">
        <f>IF(ISERROR(H42/D42),0,(H42/D42))</f>
        <v>1.8863023285870927E-3</v>
      </c>
      <c r="J42" s="40">
        <f t="shared" si="10"/>
        <v>0.95238095238095233</v>
      </c>
      <c r="K42" s="41"/>
    </row>
    <row r="43" spans="1:11" x14ac:dyDescent="0.2">
      <c r="A43" s="150" t="s">
        <v>138</v>
      </c>
      <c r="B43" s="43"/>
      <c r="C43" s="26">
        <v>0.13</v>
      </c>
      <c r="D43" s="26">
        <f>D42*C43</f>
        <v>30.763104683999998</v>
      </c>
      <c r="E43" s="26"/>
      <c r="F43" s="26">
        <f>C43</f>
        <v>0.13</v>
      </c>
      <c r="G43" s="26">
        <f>G42*F43</f>
        <v>30.821133199999995</v>
      </c>
      <c r="H43" s="26">
        <f t="shared" si="1"/>
        <v>5.8028515999996699E-2</v>
      </c>
      <c r="I43" s="44">
        <f t="shared" si="2"/>
        <v>1.8863023285870604E-3</v>
      </c>
      <c r="J43" s="44">
        <f t="shared" si="10"/>
        <v>0.1238095238095238</v>
      </c>
      <c r="K43" s="45"/>
    </row>
    <row r="44" spans="1:11" s="1" customFormat="1" x14ac:dyDescent="0.2">
      <c r="A44" s="46" t="s">
        <v>139</v>
      </c>
      <c r="B44" s="24"/>
      <c r="C44" s="25"/>
      <c r="D44" s="25">
        <f>SUM(D42:D43)</f>
        <v>267.40237148399996</v>
      </c>
      <c r="E44" s="25"/>
      <c r="F44" s="25"/>
      <c r="G44" s="25">
        <f>SUM(G42:G43)</f>
        <v>267.90677319999998</v>
      </c>
      <c r="H44" s="25">
        <f t="shared" si="1"/>
        <v>0.50440171600001804</v>
      </c>
      <c r="I44" s="27">
        <f t="shared" si="2"/>
        <v>1.8863023285872352E-3</v>
      </c>
      <c r="J44" s="27">
        <f t="shared" si="10"/>
        <v>1.0761904761904761</v>
      </c>
      <c r="K44" s="47"/>
    </row>
    <row r="45" spans="1:11" x14ac:dyDescent="0.2">
      <c r="A45" s="42" t="s">
        <v>140</v>
      </c>
      <c r="B45" s="43"/>
      <c r="C45" s="26">
        <v>-0.08</v>
      </c>
      <c r="D45" s="26">
        <f>D42*C45</f>
        <v>-18.931141343999997</v>
      </c>
      <c r="E45" s="26"/>
      <c r="F45" s="26">
        <f>C45</f>
        <v>-0.08</v>
      </c>
      <c r="G45" s="26">
        <f>G42*F45</f>
        <v>-18.966851199999997</v>
      </c>
      <c r="H45" s="26">
        <f t="shared" si="1"/>
        <v>-3.5709856000000428E-2</v>
      </c>
      <c r="I45" s="44">
        <f t="shared" si="2"/>
        <v>1.8863023285871905E-3</v>
      </c>
      <c r="J45" s="44">
        <f t="shared" si="10"/>
        <v>-7.6190476190476183E-2</v>
      </c>
      <c r="K45" s="45"/>
    </row>
    <row r="46" spans="1:11" s="1" customFormat="1" ht="13.5" thickBot="1" x14ac:dyDescent="0.25">
      <c r="A46" s="48" t="s">
        <v>141</v>
      </c>
      <c r="B46" s="49"/>
      <c r="C46" s="50"/>
      <c r="D46" s="50">
        <f>SUM(D44:D45)</f>
        <v>248.47123013999996</v>
      </c>
      <c r="E46" s="50"/>
      <c r="F46" s="50"/>
      <c r="G46" s="50">
        <f>SUM(G44:G45)</f>
        <v>248.93992199999997</v>
      </c>
      <c r="H46" s="50">
        <f t="shared" si="1"/>
        <v>0.46869186000000695</v>
      </c>
      <c r="I46" s="51">
        <f t="shared" si="2"/>
        <v>1.8863023285871957E-3</v>
      </c>
      <c r="J46" s="51">
        <f t="shared" si="10"/>
        <v>1</v>
      </c>
      <c r="K46" s="52"/>
    </row>
    <row r="47" spans="1:11" x14ac:dyDescent="0.2">
      <c r="A47" s="53" t="s">
        <v>142</v>
      </c>
      <c r="B47" s="54"/>
      <c r="C47" s="55"/>
      <c r="D47" s="55">
        <f>SUM(D18,D25,D26,D28,D33,D40,D41)</f>
        <v>233.21838879999996</v>
      </c>
      <c r="E47" s="55"/>
      <c r="F47" s="55"/>
      <c r="G47" s="55">
        <f>SUM(G18,G25,G26,G28,G33,G40,G41)</f>
        <v>233.66476199999994</v>
      </c>
      <c r="H47" s="55">
        <f>G47-D47</f>
        <v>0.44637319999998226</v>
      </c>
      <c r="I47" s="56">
        <f>IF(ISERROR(H47/D47),0,(H47/D47))</f>
        <v>1.9139708592309009E-3</v>
      </c>
      <c r="J47" s="56"/>
      <c r="K47" s="57">
        <f>G47/$G$51</f>
        <v>0.95238095238095244</v>
      </c>
    </row>
    <row r="48" spans="1:11" x14ac:dyDescent="0.2">
      <c r="A48" s="58" t="s">
        <v>138</v>
      </c>
      <c r="B48" s="59"/>
      <c r="C48" s="31">
        <v>0.13</v>
      </c>
      <c r="D48" s="31">
        <f>D47*C48</f>
        <v>30.318390543999996</v>
      </c>
      <c r="E48" s="31"/>
      <c r="F48" s="31">
        <f>C48</f>
        <v>0.13</v>
      </c>
      <c r="G48" s="31">
        <f>G47*F48</f>
        <v>30.376419059999993</v>
      </c>
      <c r="H48" s="31">
        <f>G48-D48</f>
        <v>5.8028515999996699E-2</v>
      </c>
      <c r="I48" s="32">
        <f>IF(ISERROR(H48/D48),0,(H48/D48))</f>
        <v>1.9139708592308682E-3</v>
      </c>
      <c r="J48" s="32"/>
      <c r="K48" s="60">
        <f>G48/$G$51</f>
        <v>0.12380952380952381</v>
      </c>
    </row>
    <row r="49" spans="1:11" x14ac:dyDescent="0.2">
      <c r="A49" s="61" t="s">
        <v>143</v>
      </c>
      <c r="B49" s="29"/>
      <c r="C49" s="30"/>
      <c r="D49" s="30">
        <f>SUM(D47:D48)</f>
        <v>263.53677934399997</v>
      </c>
      <c r="E49" s="30"/>
      <c r="F49" s="30"/>
      <c r="G49" s="30">
        <f>SUM(G47:G48)</f>
        <v>264.04118105999993</v>
      </c>
      <c r="H49" s="30">
        <f>G49-D49</f>
        <v>0.5044017159999612</v>
      </c>
      <c r="I49" s="33">
        <f>IF(ISERROR(H49/D49),0,(H49/D49))</f>
        <v>1.9139708592308298E-3</v>
      </c>
      <c r="J49" s="33"/>
      <c r="K49" s="62">
        <f>G49/$G$51</f>
        <v>1.0761904761904761</v>
      </c>
    </row>
    <row r="50" spans="1:11" x14ac:dyDescent="0.2">
      <c r="A50" s="58" t="s">
        <v>140</v>
      </c>
      <c r="B50" s="59"/>
      <c r="C50" s="31">
        <v>-0.08</v>
      </c>
      <c r="D50" s="31">
        <f>D47*C50</f>
        <v>-18.657471103999995</v>
      </c>
      <c r="E50" s="31"/>
      <c r="F50" s="31">
        <f>C50</f>
        <v>-0.08</v>
      </c>
      <c r="G50" s="31">
        <f>G47*F50</f>
        <v>-18.693180959999996</v>
      </c>
      <c r="H50" s="31">
        <f>G50-D50</f>
        <v>-3.5709856000000428E-2</v>
      </c>
      <c r="I50" s="32">
        <f>IF(ISERROR(H50/D50),0,(H50/D50))</f>
        <v>1.9139708592310002E-3</v>
      </c>
      <c r="J50" s="32"/>
      <c r="K50" s="60">
        <f>G50/$G$51</f>
        <v>-7.6190476190476197E-2</v>
      </c>
    </row>
    <row r="51" spans="1:11" ht="13.5" thickBot="1" x14ac:dyDescent="0.25">
      <c r="A51" s="63" t="s">
        <v>144</v>
      </c>
      <c r="B51" s="64"/>
      <c r="C51" s="65"/>
      <c r="D51" s="65">
        <f>SUM(D49:D50)</f>
        <v>244.87930823999997</v>
      </c>
      <c r="E51" s="65"/>
      <c r="F51" s="65"/>
      <c r="G51" s="65">
        <f>SUM(G49:G50)</f>
        <v>245.34800009999992</v>
      </c>
      <c r="H51" s="65">
        <f>G51-D51</f>
        <v>0.46869185999995011</v>
      </c>
      <c r="I51" s="66">
        <f>IF(ISERROR(H51/D51),0,(H51/D51))</f>
        <v>1.9139708592307732E-3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1">
    <pageSetUpPr fitToPage="1"/>
  </sheetPr>
  <dimension ref="A1:J38"/>
  <sheetViews>
    <sheetView topLeftCell="A7" workbookViewId="0">
      <selection activeCell="C19" sqref="C19"/>
    </sheetView>
  </sheetViews>
  <sheetFormatPr defaultRowHeight="12.75" x14ac:dyDescent="0.2"/>
  <cols>
    <col min="1" max="1" width="64.7109375" bestFit="1" customWidth="1"/>
    <col min="2" max="2" width="20.7109375" bestFit="1" customWidth="1"/>
    <col min="3" max="3" width="12.28515625" bestFit="1"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48" t="s">
        <v>109</v>
      </c>
      <c r="B1" s="349"/>
      <c r="C1" s="349"/>
      <c r="D1" s="349"/>
      <c r="E1" s="349"/>
      <c r="F1" s="349"/>
      <c r="G1" s="349"/>
      <c r="H1" s="349"/>
      <c r="I1" s="349"/>
      <c r="J1" s="350"/>
    </row>
    <row r="3" spans="1:10" x14ac:dyDescent="0.2">
      <c r="A3" s="13" t="s">
        <v>13</v>
      </c>
      <c r="B3" s="13" t="s">
        <v>182</v>
      </c>
      <c r="C3" s="13" t="s">
        <v>127</v>
      </c>
    </row>
    <row r="4" spans="1:10" x14ac:dyDescent="0.2">
      <c r="A4" s="15" t="s">
        <v>62</v>
      </c>
      <c r="B4" s="79">
        <v>15000</v>
      </c>
      <c r="C4" s="79">
        <f>B4</f>
        <v>15000</v>
      </c>
    </row>
    <row r="5" spans="1:10" x14ac:dyDescent="0.2">
      <c r="A5" s="15" t="s">
        <v>16</v>
      </c>
      <c r="B5" s="79">
        <v>60</v>
      </c>
      <c r="C5" s="79">
        <f>B5</f>
        <v>60</v>
      </c>
    </row>
    <row r="6" spans="1:10" x14ac:dyDescent="0.2">
      <c r="A6" s="15" t="s">
        <v>20</v>
      </c>
      <c r="B6" s="224">
        <f>VLOOKUP($B$3,'Data for Bill Impacts'!$A$3:$Y$39,2,0)</f>
        <v>1.0563</v>
      </c>
      <c r="C6" s="224">
        <f>VLOOKUP($C$3,'Data for Bill Impacts'!$A$3:$Y$39,2,0)</f>
        <v>1.0564</v>
      </c>
    </row>
    <row r="7" spans="1:10" x14ac:dyDescent="0.2">
      <c r="A7" s="81" t="s">
        <v>49</v>
      </c>
      <c r="B7" s="82">
        <f>B4/(B5*730)</f>
        <v>0.34246575342465752</v>
      </c>
      <c r="C7" s="82">
        <f>C4/(C5*730)</f>
        <v>0.34246575342465752</v>
      </c>
    </row>
    <row r="8" spans="1:10" x14ac:dyDescent="0.2">
      <c r="A8" s="15" t="s">
        <v>15</v>
      </c>
      <c r="B8" s="79">
        <f>VLOOKUP($B$3,'Data for Bill Impacts'!$A$3:$Y$39,4,0)</f>
        <v>0</v>
      </c>
      <c r="C8" s="79">
        <f>VLOOKUP($C$3,'Data for Bill Impacts'!$A$3:$Y$39,4,0)</f>
        <v>0</v>
      </c>
    </row>
    <row r="9" spans="1:10" x14ac:dyDescent="0.2">
      <c r="A9" s="15" t="s">
        <v>82</v>
      </c>
      <c r="B9" s="79">
        <f>B4*B6</f>
        <v>15844.5</v>
      </c>
      <c r="C9" s="79">
        <f>C4*C6</f>
        <v>15846</v>
      </c>
    </row>
    <row r="10" spans="1:10" x14ac:dyDescent="0.2">
      <c r="A10" s="15" t="s">
        <v>21</v>
      </c>
      <c r="B10" s="16" t="s">
        <v>19</v>
      </c>
      <c r="C10" s="16" t="str">
        <f>VLOOKUP($C$3,'Data for Bill Impacts'!$A$3:$Y$39,6,0)</f>
        <v>kW</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3" t="s">
        <v>50</v>
      </c>
    </row>
    <row r="13" spans="1:10" x14ac:dyDescent="0.2">
      <c r="A13" s="101" t="s">
        <v>31</v>
      </c>
      <c r="B13" s="102">
        <f>C9</f>
        <v>15846</v>
      </c>
      <c r="C13" s="103">
        <v>0.10299999999999999</v>
      </c>
      <c r="D13" s="104">
        <f>B13*C13</f>
        <v>1632.1379999999999</v>
      </c>
      <c r="E13" s="102">
        <f>B9</f>
        <v>15844.5</v>
      </c>
      <c r="F13" s="103">
        <f>C13</f>
        <v>0.10299999999999999</v>
      </c>
      <c r="G13" s="104">
        <f>E13*F13</f>
        <v>1631.9834999999998</v>
      </c>
      <c r="H13" s="104">
        <f>G13-D13</f>
        <v>-0.15450000000009823</v>
      </c>
      <c r="I13" s="105">
        <f>IF(ISERROR(H13/D13),0,(H13/D13))</f>
        <v>-9.4661113214751586E-5</v>
      </c>
      <c r="J13" s="124">
        <f t="shared" ref="J13:J36" si="0">G13/$G$36</f>
        <v>0.56340749144685698</v>
      </c>
    </row>
    <row r="14" spans="1:10" x14ac:dyDescent="0.2">
      <c r="A14" s="107" t="s">
        <v>32</v>
      </c>
      <c r="B14" s="73">
        <v>0</v>
      </c>
      <c r="C14" s="21">
        <v>0.121</v>
      </c>
      <c r="D14" s="22">
        <f>B14*C14</f>
        <v>0</v>
      </c>
      <c r="E14" s="73">
        <f t="shared" ref="E14" si="1">B14</f>
        <v>0</v>
      </c>
      <c r="F14" s="21">
        <f>C14</f>
        <v>0.121</v>
      </c>
      <c r="G14" s="22">
        <f>E14*F14</f>
        <v>0</v>
      </c>
      <c r="H14" s="22">
        <f t="shared" ref="H14:H36" si="2">G14-D14</f>
        <v>0</v>
      </c>
      <c r="I14" s="23">
        <f t="shared" ref="I14:I31" si="3">IF(ISERROR(H14/D14),0,(H14/D14))</f>
        <v>0</v>
      </c>
      <c r="J14" s="125">
        <f t="shared" si="0"/>
        <v>0</v>
      </c>
    </row>
    <row r="15" spans="1:10" s="1" customFormat="1" x14ac:dyDescent="0.2">
      <c r="A15" s="46" t="s">
        <v>33</v>
      </c>
      <c r="B15" s="24"/>
      <c r="C15" s="25"/>
      <c r="D15" s="25">
        <f>SUM(D13:D14)</f>
        <v>1632.1379999999999</v>
      </c>
      <c r="E15" s="76"/>
      <c r="F15" s="25"/>
      <c r="G15" s="25">
        <f>SUM(G13:G14)</f>
        <v>1631.9834999999998</v>
      </c>
      <c r="H15" s="25">
        <f t="shared" si="2"/>
        <v>-0.15450000000009823</v>
      </c>
      <c r="I15" s="27">
        <f t="shared" si="3"/>
        <v>-9.4661113214751586E-5</v>
      </c>
      <c r="J15" s="47">
        <f t="shared" si="0"/>
        <v>0.56340749144685698</v>
      </c>
    </row>
    <row r="16" spans="1:10" s="1" customFormat="1" x14ac:dyDescent="0.2">
      <c r="A16" s="107" t="s">
        <v>38</v>
      </c>
      <c r="B16" s="73">
        <v>1</v>
      </c>
      <c r="C16" s="122">
        <f>VLOOKUP($C$3,'Data for Bill Impacts'!$A$3:$Y$39,7,0)</f>
        <v>245.55</v>
      </c>
      <c r="D16" s="22">
        <f>B16*C16</f>
        <v>245.55</v>
      </c>
      <c r="E16" s="73">
        <f t="shared" ref="E16:E31" si="4">B16</f>
        <v>1</v>
      </c>
      <c r="F16" s="78">
        <f>VLOOKUP($B$3,'Data for Bill Impacts'!$A$3:$Y$39,17,0)</f>
        <v>208.51</v>
      </c>
      <c r="G16" s="22">
        <f>E16*F16</f>
        <v>208.51</v>
      </c>
      <c r="H16" s="22">
        <f t="shared" si="2"/>
        <v>-37.04000000000002</v>
      </c>
      <c r="I16" s="23">
        <f t="shared" si="3"/>
        <v>-0.15084504174302593</v>
      </c>
      <c r="J16" s="125">
        <f t="shared" si="0"/>
        <v>7.1983629761933357E-2</v>
      </c>
    </row>
    <row r="17" spans="1:10" x14ac:dyDescent="0.2">
      <c r="A17" s="107" t="s">
        <v>188</v>
      </c>
      <c r="B17" s="73">
        <v>1</v>
      </c>
      <c r="C17" s="122">
        <f>'Data for Bill Impacts'!K36</f>
        <v>-3.61</v>
      </c>
      <c r="D17" s="22">
        <f>B17*C17</f>
        <v>-3.61</v>
      </c>
      <c r="E17" s="73">
        <f t="shared" si="4"/>
        <v>1</v>
      </c>
      <c r="F17" s="122">
        <v>0</v>
      </c>
      <c r="G17" s="22">
        <f t="shared" ref="G17" si="5">E17*F17</f>
        <v>0</v>
      </c>
      <c r="H17" s="22">
        <f t="shared" si="2"/>
        <v>3.61</v>
      </c>
      <c r="I17" s="23">
        <f t="shared" si="3"/>
        <v>-1</v>
      </c>
      <c r="J17" s="125">
        <f t="shared" si="0"/>
        <v>0</v>
      </c>
    </row>
    <row r="18" spans="1:10" x14ac:dyDescent="0.2">
      <c r="A18" s="107" t="s">
        <v>39</v>
      </c>
      <c r="B18" s="73">
        <f>IF($C$10="kWh",$C$4,$C$5)</f>
        <v>60</v>
      </c>
      <c r="C18" s="126">
        <f>VLOOKUP($C$3,'Data for Bill Impacts'!$A$3:$Y$39,10,0)</f>
        <v>3.9601999999999999</v>
      </c>
      <c r="D18" s="22">
        <f>B18*C18</f>
        <v>237.61199999999999</v>
      </c>
      <c r="E18" s="73">
        <f>B5</f>
        <v>60</v>
      </c>
      <c r="F18" s="126">
        <f>VLOOKUP($B$3,'Data for Bill Impacts'!$A$3:$Y$39,19,0)</f>
        <v>5.14</v>
      </c>
      <c r="G18" s="22">
        <f>E18*F18</f>
        <v>308.39999999999998</v>
      </c>
      <c r="H18" s="22">
        <f t="shared" si="2"/>
        <v>70.787999999999982</v>
      </c>
      <c r="I18" s="23">
        <f t="shared" si="3"/>
        <v>0.29791424675521433</v>
      </c>
      <c r="J18" s="125">
        <f t="shared" si="0"/>
        <v>0.10646852150295068</v>
      </c>
    </row>
    <row r="19" spans="1:10" x14ac:dyDescent="0.2">
      <c r="A19" s="107" t="s">
        <v>189</v>
      </c>
      <c r="B19" s="73">
        <f>IF($C$10="kWh",$C$4,$C$5)</f>
        <v>60</v>
      </c>
      <c r="C19" s="126">
        <f>'Data for Bill Impacts'!H36</f>
        <v>0.30499999999999999</v>
      </c>
      <c r="D19" s="22">
        <f>B19*C19</f>
        <v>18.3</v>
      </c>
      <c r="E19" s="73">
        <f>B5</f>
        <v>60</v>
      </c>
      <c r="F19" s="126">
        <v>0</v>
      </c>
      <c r="G19" s="22">
        <f>E19*F19</f>
        <v>0</v>
      </c>
      <c r="H19" s="22">
        <f t="shared" ref="H19" si="6">G19-D19</f>
        <v>-18.3</v>
      </c>
      <c r="I19" s="23">
        <f t="shared" ref="I19" si="7">IF(ISERROR(H19/D19),0,(H19/D19))</f>
        <v>-1</v>
      </c>
      <c r="J19" s="125">
        <f t="shared" si="0"/>
        <v>0</v>
      </c>
    </row>
    <row r="20" spans="1:10" s="1" customFormat="1" x14ac:dyDescent="0.2">
      <c r="A20" s="107" t="s">
        <v>190</v>
      </c>
      <c r="B20" s="73">
        <f>IF($B$10="kWh",$B$4,$B$5)</f>
        <v>60</v>
      </c>
      <c r="C20" s="78">
        <f>'Data for Bill Impacts'!L36</f>
        <v>-5.8299999999999998E-2</v>
      </c>
      <c r="D20" s="22">
        <f>B20*C20</f>
        <v>-3.4979999999999998</v>
      </c>
      <c r="E20" s="73">
        <f>B20</f>
        <v>60</v>
      </c>
      <c r="F20" s="126">
        <v>0</v>
      </c>
      <c r="G20" s="22">
        <f>E20*F20</f>
        <v>0</v>
      </c>
      <c r="H20" s="22">
        <f>G20-D20</f>
        <v>3.4979999999999998</v>
      </c>
      <c r="I20" s="23">
        <f>IF(ISERROR(H20/D20),0,(H20/D20))</f>
        <v>-1</v>
      </c>
      <c r="J20" s="125">
        <f t="shared" si="0"/>
        <v>0</v>
      </c>
    </row>
    <row r="21" spans="1:10" x14ac:dyDescent="0.2">
      <c r="A21" s="110" t="s">
        <v>79</v>
      </c>
      <c r="B21" s="74"/>
      <c r="C21" s="35"/>
      <c r="D21" s="35">
        <f>SUM(D16:D20)</f>
        <v>494.35400000000004</v>
      </c>
      <c r="E21" s="73"/>
      <c r="F21" s="35"/>
      <c r="G21" s="35">
        <f>SUM(G16:G20)</f>
        <v>516.91</v>
      </c>
      <c r="H21" s="35">
        <f t="shared" si="2"/>
        <v>22.555999999999926</v>
      </c>
      <c r="I21" s="36">
        <f t="shared" si="3"/>
        <v>4.5627222597571626E-2</v>
      </c>
      <c r="J21" s="111">
        <f t="shared" si="0"/>
        <v>0.17845215126488403</v>
      </c>
    </row>
    <row r="22" spans="1:10" x14ac:dyDescent="0.2">
      <c r="A22" s="107" t="s">
        <v>40</v>
      </c>
      <c r="B22" s="73">
        <f>C5</f>
        <v>60</v>
      </c>
      <c r="C22" s="126">
        <f>VLOOKUP($C$3,'Data for Bill Impacts'!$A$3:$Y$39,15,0)</f>
        <v>2.5453999999999999</v>
      </c>
      <c r="D22" s="22">
        <f>B22*C22</f>
        <v>152.72399999999999</v>
      </c>
      <c r="E22" s="73">
        <f>B5</f>
        <v>60</v>
      </c>
      <c r="F22" s="78">
        <f>VLOOKUP($B$3,'Data for Bill Impacts'!$A$3:$Y$39,24,0)</f>
        <v>1.8483000000000001</v>
      </c>
      <c r="G22" s="22">
        <f>E22*F22</f>
        <v>110.898</v>
      </c>
      <c r="H22" s="22">
        <f t="shared" si="2"/>
        <v>-41.825999999999993</v>
      </c>
      <c r="I22" s="23">
        <f t="shared" si="3"/>
        <v>-0.27386658285534687</v>
      </c>
      <c r="J22" s="125">
        <f t="shared" si="0"/>
        <v>3.8285168928775044E-2</v>
      </c>
    </row>
    <row r="23" spans="1:10" s="1" customFormat="1" x14ac:dyDescent="0.2">
      <c r="A23" s="107" t="s">
        <v>41</v>
      </c>
      <c r="B23" s="73">
        <f>C5</f>
        <v>60</v>
      </c>
      <c r="C23" s="126">
        <f>VLOOKUP($C$3,'Data for Bill Impacts'!$A$3:$Y$39,16,0)</f>
        <v>1.2384999999999999</v>
      </c>
      <c r="D23" s="22">
        <f>B23*C23</f>
        <v>74.31</v>
      </c>
      <c r="E23" s="73">
        <f>B5</f>
        <v>60</v>
      </c>
      <c r="F23" s="78">
        <f>VLOOKUP($B$3,'Data for Bill Impacts'!$A$3:$Y$39,25,0)</f>
        <v>1.5101</v>
      </c>
      <c r="G23" s="22">
        <f>E23*F23</f>
        <v>90.605999999999995</v>
      </c>
      <c r="H23" s="22">
        <f t="shared" si="2"/>
        <v>16.295999999999992</v>
      </c>
      <c r="I23" s="23">
        <f t="shared" si="3"/>
        <v>0.21929753734356064</v>
      </c>
      <c r="J23" s="125">
        <f t="shared" si="0"/>
        <v>3.1279788778522534E-2</v>
      </c>
    </row>
    <row r="24" spans="1:10" x14ac:dyDescent="0.2">
      <c r="A24" s="110" t="s">
        <v>76</v>
      </c>
      <c r="B24" s="74"/>
      <c r="C24" s="35"/>
      <c r="D24" s="35">
        <f>SUM(D22:D23)</f>
        <v>227.03399999999999</v>
      </c>
      <c r="E24" s="73"/>
      <c r="F24" s="35"/>
      <c r="G24" s="35">
        <f>SUM(G22:G23)</f>
        <v>201.50399999999999</v>
      </c>
      <c r="H24" s="35">
        <f t="shared" si="2"/>
        <v>-25.53</v>
      </c>
      <c r="I24" s="36">
        <f t="shared" si="3"/>
        <v>-0.11245011760353076</v>
      </c>
      <c r="J24" s="111">
        <f t="shared" si="0"/>
        <v>6.9564957707297578E-2</v>
      </c>
    </row>
    <row r="25" spans="1:10" s="1" customFormat="1" x14ac:dyDescent="0.2">
      <c r="A25" s="110" t="s">
        <v>80</v>
      </c>
      <c r="B25" s="74"/>
      <c r="C25" s="35"/>
      <c r="D25" s="35">
        <f>D21+D24</f>
        <v>721.38800000000003</v>
      </c>
      <c r="E25" s="73"/>
      <c r="F25" s="35"/>
      <c r="G25" s="35">
        <f>G21+G24</f>
        <v>718.41399999999999</v>
      </c>
      <c r="H25" s="35">
        <f t="shared" si="2"/>
        <v>-2.9740000000000464</v>
      </c>
      <c r="I25" s="36">
        <f t="shared" si="3"/>
        <v>-4.1226080833061353E-3</v>
      </c>
      <c r="J25" s="111">
        <f t="shared" si="0"/>
        <v>0.24801710897218163</v>
      </c>
    </row>
    <row r="26" spans="1:10" x14ac:dyDescent="0.2">
      <c r="A26" s="107" t="s">
        <v>42</v>
      </c>
      <c r="B26" s="73">
        <f>$C$9</f>
        <v>15846</v>
      </c>
      <c r="C26" s="34">
        <v>3.5999999999999999E-3</v>
      </c>
      <c r="D26" s="22">
        <f>B26*C26</f>
        <v>57.0456</v>
      </c>
      <c r="E26" s="73">
        <f>$B$9</f>
        <v>15844.5</v>
      </c>
      <c r="F26" s="34">
        <v>3.5999999999999999E-3</v>
      </c>
      <c r="G26" s="22">
        <f>E26*F26</f>
        <v>57.040199999999999</v>
      </c>
      <c r="H26" s="22">
        <f t="shared" si="2"/>
        <v>-5.4000000000016257E-3</v>
      </c>
      <c r="I26" s="23">
        <f t="shared" si="3"/>
        <v>-9.4661113214719901E-5</v>
      </c>
      <c r="J26" s="125">
        <f t="shared" si="0"/>
        <v>1.969191232241442E-2</v>
      </c>
    </row>
    <row r="27" spans="1:10" x14ac:dyDescent="0.2">
      <c r="A27" s="107" t="s">
        <v>43</v>
      </c>
      <c r="B27" s="73">
        <f>$C$9</f>
        <v>15846</v>
      </c>
      <c r="C27" s="34">
        <v>2.0999999999999999E-3</v>
      </c>
      <c r="D27" s="22">
        <f>B27*C27</f>
        <v>33.276599999999995</v>
      </c>
      <c r="E27" s="73">
        <f>$B$9</f>
        <v>15844.5</v>
      </c>
      <c r="F27" s="34">
        <v>2.0999999999999999E-3</v>
      </c>
      <c r="G27" s="22">
        <f>E27*F27</f>
        <v>33.273449999999997</v>
      </c>
      <c r="H27" s="22">
        <f>G27-D27</f>
        <v>-3.1499999999979877E-3</v>
      </c>
      <c r="I27" s="23">
        <f t="shared" si="3"/>
        <v>-9.4661113214630955E-5</v>
      </c>
      <c r="J27" s="125">
        <f t="shared" si="0"/>
        <v>1.1486948854741745E-2</v>
      </c>
    </row>
    <row r="28" spans="1:10" x14ac:dyDescent="0.2">
      <c r="A28" s="107" t="s">
        <v>100</v>
      </c>
      <c r="B28" s="73">
        <f>$C$9</f>
        <v>15846</v>
      </c>
      <c r="C28" s="34">
        <v>1.1000000000000001E-3</v>
      </c>
      <c r="D28" s="22">
        <f>B28*C28</f>
        <v>17.430600000000002</v>
      </c>
      <c r="E28" s="73">
        <f>$B$9</f>
        <v>15844.5</v>
      </c>
      <c r="F28" s="34">
        <v>1.1000000000000001E-3</v>
      </c>
      <c r="G28" s="22">
        <f>E28*F28</f>
        <v>17.42895</v>
      </c>
      <c r="H28" s="22">
        <f>G28-D28</f>
        <v>-1.6500000000014836E-3</v>
      </c>
      <c r="I28" s="23">
        <f t="shared" si="3"/>
        <v>-9.466111321477651E-5</v>
      </c>
      <c r="J28" s="125">
        <f t="shared" si="0"/>
        <v>6.0169732096266287E-3</v>
      </c>
    </row>
    <row r="29" spans="1:10" x14ac:dyDescent="0.2">
      <c r="A29" s="107" t="s">
        <v>44</v>
      </c>
      <c r="B29" s="73">
        <v>1</v>
      </c>
      <c r="C29" s="22">
        <v>0.25</v>
      </c>
      <c r="D29" s="22">
        <f>B29*C29</f>
        <v>0.25</v>
      </c>
      <c r="E29" s="73">
        <f t="shared" si="4"/>
        <v>1</v>
      </c>
      <c r="F29" s="22">
        <f>C29</f>
        <v>0.25</v>
      </c>
      <c r="G29" s="22">
        <f>E29*F29</f>
        <v>0.25</v>
      </c>
      <c r="H29" s="22">
        <f t="shared" si="2"/>
        <v>0</v>
      </c>
      <c r="I29" s="23">
        <f t="shared" si="3"/>
        <v>0</v>
      </c>
      <c r="J29" s="125">
        <f t="shared" si="0"/>
        <v>8.630716723650348E-5</v>
      </c>
    </row>
    <row r="30" spans="1:10" x14ac:dyDescent="0.2">
      <c r="A30" s="110" t="s">
        <v>45</v>
      </c>
      <c r="B30" s="74"/>
      <c r="C30" s="35"/>
      <c r="D30" s="35">
        <f>SUM(D26:D29)</f>
        <v>108.00279999999999</v>
      </c>
      <c r="E30" s="73"/>
      <c r="F30" s="35"/>
      <c r="G30" s="35">
        <f>SUM(G26:G29)</f>
        <v>107.9926</v>
      </c>
      <c r="H30" s="35">
        <f t="shared" si="2"/>
        <v>-1.0199999999997544E-2</v>
      </c>
      <c r="I30" s="36">
        <f t="shared" si="3"/>
        <v>-9.4441995948230461E-5</v>
      </c>
      <c r="J30" s="111">
        <f t="shared" si="0"/>
        <v>3.72821415540193E-2</v>
      </c>
    </row>
    <row r="31" spans="1:10" ht="13.5" thickBot="1" x14ac:dyDescent="0.25">
      <c r="A31" s="112" t="s">
        <v>46</v>
      </c>
      <c r="B31" s="113">
        <f>B4</f>
        <v>15000</v>
      </c>
      <c r="C31" s="114">
        <v>7.0000000000000001E-3</v>
      </c>
      <c r="D31" s="115">
        <f>B31*C31</f>
        <v>105</v>
      </c>
      <c r="E31" s="116">
        <f t="shared" si="4"/>
        <v>15000</v>
      </c>
      <c r="F31" s="114">
        <f>C31</f>
        <v>7.0000000000000001E-3</v>
      </c>
      <c r="G31" s="115">
        <f>E31*F31</f>
        <v>105</v>
      </c>
      <c r="H31" s="115">
        <f t="shared" si="2"/>
        <v>0</v>
      </c>
      <c r="I31" s="117">
        <f t="shared" si="3"/>
        <v>0</v>
      </c>
      <c r="J31" s="118">
        <f t="shared" si="0"/>
        <v>3.6249010239331456E-2</v>
      </c>
    </row>
    <row r="32" spans="1:10" x14ac:dyDescent="0.2">
      <c r="A32" s="37" t="s">
        <v>146</v>
      </c>
      <c r="B32" s="38"/>
      <c r="C32" s="39"/>
      <c r="D32" s="39">
        <f>SUM(D15,D21,D24,D30,D31)</f>
        <v>2566.5288000000005</v>
      </c>
      <c r="E32" s="38"/>
      <c r="F32" s="39"/>
      <c r="G32" s="39">
        <f>SUM(G15,G21,G24,G30,G31)</f>
        <v>2563.3900999999996</v>
      </c>
      <c r="H32" s="39">
        <f t="shared" si="2"/>
        <v>-3.1387000000008811</v>
      </c>
      <c r="I32" s="40">
        <f>IF(ISERROR(H32/D32),0,(H32/D32))</f>
        <v>-1.2229358189944646E-3</v>
      </c>
      <c r="J32" s="41">
        <f t="shared" si="0"/>
        <v>0.88495575221238931</v>
      </c>
    </row>
    <row r="33" spans="1:10" x14ac:dyDescent="0.2">
      <c r="A33" s="46" t="s">
        <v>138</v>
      </c>
      <c r="B33" s="43"/>
      <c r="C33" s="26">
        <v>0.13</v>
      </c>
      <c r="D33" s="26">
        <f>D32*C33</f>
        <v>333.64874400000008</v>
      </c>
      <c r="E33" s="26"/>
      <c r="F33" s="26">
        <f>C33</f>
        <v>0.13</v>
      </c>
      <c r="G33" s="26">
        <f>G32*F33</f>
        <v>333.24071299999997</v>
      </c>
      <c r="H33" s="26">
        <f t="shared" si="2"/>
        <v>-0.40803100000010772</v>
      </c>
      <c r="I33" s="44">
        <f t="shared" ref="I33:I36" si="8">IF(ISERROR(H33/D33),0,(H33/D33))</f>
        <v>-1.2229358189944442E-3</v>
      </c>
      <c r="J33" s="45">
        <f t="shared" si="0"/>
        <v>0.11504424778761062</v>
      </c>
    </row>
    <row r="34" spans="1:10" x14ac:dyDescent="0.2">
      <c r="A34" s="46" t="s">
        <v>139</v>
      </c>
      <c r="B34" s="24"/>
      <c r="C34" s="25"/>
      <c r="D34" s="25">
        <f>SUM(D32:D33)</f>
        <v>2900.1775440000006</v>
      </c>
      <c r="E34" s="25"/>
      <c r="F34" s="25"/>
      <c r="G34" s="25">
        <f>SUM(G32:G33)</f>
        <v>2896.6308129999998</v>
      </c>
      <c r="H34" s="25">
        <f t="shared" si="2"/>
        <v>-3.5467310000008183</v>
      </c>
      <c r="I34" s="27">
        <f t="shared" si="8"/>
        <v>-1.2229358189944034E-3</v>
      </c>
      <c r="J34" s="47">
        <f t="shared" si="0"/>
        <v>1</v>
      </c>
    </row>
    <row r="35" spans="1:10" x14ac:dyDescent="0.2">
      <c r="A35" s="46" t="s">
        <v>140</v>
      </c>
      <c r="B35" s="43"/>
      <c r="C35" s="26">
        <v>0</v>
      </c>
      <c r="D35" s="26">
        <f>D32*C35</f>
        <v>0</v>
      </c>
      <c r="E35" s="26"/>
      <c r="F35" s="26">
        <f>C35</f>
        <v>0</v>
      </c>
      <c r="G35" s="26">
        <f>G32*F35</f>
        <v>0</v>
      </c>
      <c r="H35" s="26">
        <f t="shared" si="2"/>
        <v>0</v>
      </c>
      <c r="I35" s="44">
        <f t="shared" si="8"/>
        <v>0</v>
      </c>
      <c r="J35" s="45">
        <f t="shared" si="0"/>
        <v>0</v>
      </c>
    </row>
    <row r="36" spans="1:10" ht="13.5" thickBot="1" x14ac:dyDescent="0.25">
      <c r="A36" s="46" t="s">
        <v>141</v>
      </c>
      <c r="B36" s="49"/>
      <c r="C36" s="50"/>
      <c r="D36" s="50">
        <f>SUM(D34:D35)</f>
        <v>2900.1775440000006</v>
      </c>
      <c r="E36" s="50"/>
      <c r="F36" s="50"/>
      <c r="G36" s="50">
        <f>SUM(G34:G35)</f>
        <v>2896.6308129999998</v>
      </c>
      <c r="H36" s="50">
        <f t="shared" si="2"/>
        <v>-3.5467310000008183</v>
      </c>
      <c r="I36" s="51">
        <f t="shared" si="8"/>
        <v>-1.2229358189944034E-3</v>
      </c>
      <c r="J36" s="52">
        <f t="shared" si="0"/>
        <v>1</v>
      </c>
    </row>
    <row r="37" spans="1:10" x14ac:dyDescent="0.2">
      <c r="F37" s="69"/>
    </row>
    <row r="38" spans="1:10" x14ac:dyDescent="0.2">
      <c r="F38" s="69"/>
    </row>
  </sheetData>
  <mergeCells count="1">
    <mergeCell ref="A1:J1"/>
  </mergeCells>
  <dataValidations count="1">
    <dataValidation type="list" allowBlank="1" showInputMessage="1" showErrorMessage="1" sqref="WVI983030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6 IW65526 SS65526 ACO65526 AMK65526 AWG65526 BGC65526 BPY65526 BZU65526 CJQ65526 CTM65526 DDI65526 DNE65526 DXA65526 EGW65526 EQS65526 FAO65526 FKK65526 FUG65526 GEC65526 GNY65526 GXU65526 HHQ65526 HRM65526 IBI65526 ILE65526 IVA65526 JEW65526 JOS65526 JYO65526 KIK65526 KSG65526 LCC65526 LLY65526 LVU65526 MFQ65526 MPM65526 MZI65526 NJE65526 NTA65526 OCW65526 OMS65526 OWO65526 PGK65526 PQG65526 QAC65526 QJY65526 QTU65526 RDQ65526 RNM65526 RXI65526 SHE65526 SRA65526 TAW65526 TKS65526 TUO65526 UEK65526 UOG65526 UYC65526 VHY65526 VRU65526 WBQ65526 WLM65526 WVI65526 B131062 IW131062 SS131062 ACO131062 AMK131062 AWG131062 BGC131062 BPY131062 BZU131062 CJQ131062 CTM131062 DDI131062 DNE131062 DXA131062 EGW131062 EQS131062 FAO131062 FKK131062 FUG131062 GEC131062 GNY131062 GXU131062 HHQ131062 HRM131062 IBI131062 ILE131062 IVA131062 JEW131062 JOS131062 JYO131062 KIK131062 KSG131062 LCC131062 LLY131062 LVU131062 MFQ131062 MPM131062 MZI131062 NJE131062 NTA131062 OCW131062 OMS131062 OWO131062 PGK131062 PQG131062 QAC131062 QJY131062 QTU131062 RDQ131062 RNM131062 RXI131062 SHE131062 SRA131062 TAW131062 TKS131062 TUO131062 UEK131062 UOG131062 UYC131062 VHY131062 VRU131062 WBQ131062 WLM131062 WVI131062 B196598 IW196598 SS196598 ACO196598 AMK196598 AWG196598 BGC196598 BPY196598 BZU196598 CJQ196598 CTM196598 DDI196598 DNE196598 DXA196598 EGW196598 EQS196598 FAO196598 FKK196598 FUG196598 GEC196598 GNY196598 GXU196598 HHQ196598 HRM196598 IBI196598 ILE196598 IVA196598 JEW196598 JOS196598 JYO196598 KIK196598 KSG196598 LCC196598 LLY196598 LVU196598 MFQ196598 MPM196598 MZI196598 NJE196598 NTA196598 OCW196598 OMS196598 OWO196598 PGK196598 PQG196598 QAC196598 QJY196598 QTU196598 RDQ196598 RNM196598 RXI196598 SHE196598 SRA196598 TAW196598 TKS196598 TUO196598 UEK196598 UOG196598 UYC196598 VHY196598 VRU196598 WBQ196598 WLM196598 WVI196598 B262134 IW262134 SS262134 ACO262134 AMK262134 AWG262134 BGC262134 BPY262134 BZU262134 CJQ262134 CTM262134 DDI262134 DNE262134 DXA262134 EGW262134 EQS262134 FAO262134 FKK262134 FUG262134 GEC262134 GNY262134 GXU262134 HHQ262134 HRM262134 IBI262134 ILE262134 IVA262134 JEW262134 JOS262134 JYO262134 KIK262134 KSG262134 LCC262134 LLY262134 LVU262134 MFQ262134 MPM262134 MZI262134 NJE262134 NTA262134 OCW262134 OMS262134 OWO262134 PGK262134 PQG262134 QAC262134 QJY262134 QTU262134 RDQ262134 RNM262134 RXI262134 SHE262134 SRA262134 TAW262134 TKS262134 TUO262134 UEK262134 UOG262134 UYC262134 VHY262134 VRU262134 WBQ262134 WLM262134 WVI262134 B327670 IW327670 SS327670 ACO327670 AMK327670 AWG327670 BGC327670 BPY327670 BZU327670 CJQ327670 CTM327670 DDI327670 DNE327670 DXA327670 EGW327670 EQS327670 FAO327670 FKK327670 FUG327670 GEC327670 GNY327670 GXU327670 HHQ327670 HRM327670 IBI327670 ILE327670 IVA327670 JEW327670 JOS327670 JYO327670 KIK327670 KSG327670 LCC327670 LLY327670 LVU327670 MFQ327670 MPM327670 MZI327670 NJE327670 NTA327670 OCW327670 OMS327670 OWO327670 PGK327670 PQG327670 QAC327670 QJY327670 QTU327670 RDQ327670 RNM327670 RXI327670 SHE327670 SRA327670 TAW327670 TKS327670 TUO327670 UEK327670 UOG327670 UYC327670 VHY327670 VRU327670 WBQ327670 WLM327670 WVI327670 B393206 IW393206 SS393206 ACO393206 AMK393206 AWG393206 BGC393206 BPY393206 BZU393206 CJQ393206 CTM393206 DDI393206 DNE393206 DXA393206 EGW393206 EQS393206 FAO393206 FKK393206 FUG393206 GEC393206 GNY393206 GXU393206 HHQ393206 HRM393206 IBI393206 ILE393206 IVA393206 JEW393206 JOS393206 JYO393206 KIK393206 KSG393206 LCC393206 LLY393206 LVU393206 MFQ393206 MPM393206 MZI393206 NJE393206 NTA393206 OCW393206 OMS393206 OWO393206 PGK393206 PQG393206 QAC393206 QJY393206 QTU393206 RDQ393206 RNM393206 RXI393206 SHE393206 SRA393206 TAW393206 TKS393206 TUO393206 UEK393206 UOG393206 UYC393206 VHY393206 VRU393206 WBQ393206 WLM393206 WVI393206 B458742 IW458742 SS458742 ACO458742 AMK458742 AWG458742 BGC458742 BPY458742 BZU458742 CJQ458742 CTM458742 DDI458742 DNE458742 DXA458742 EGW458742 EQS458742 FAO458742 FKK458742 FUG458742 GEC458742 GNY458742 GXU458742 HHQ458742 HRM458742 IBI458742 ILE458742 IVA458742 JEW458742 JOS458742 JYO458742 KIK458742 KSG458742 LCC458742 LLY458742 LVU458742 MFQ458742 MPM458742 MZI458742 NJE458742 NTA458742 OCW458742 OMS458742 OWO458742 PGK458742 PQG458742 QAC458742 QJY458742 QTU458742 RDQ458742 RNM458742 RXI458742 SHE458742 SRA458742 TAW458742 TKS458742 TUO458742 UEK458742 UOG458742 UYC458742 VHY458742 VRU458742 WBQ458742 WLM458742 WVI458742 B524278 IW524278 SS524278 ACO524278 AMK524278 AWG524278 BGC524278 BPY524278 BZU524278 CJQ524278 CTM524278 DDI524278 DNE524278 DXA524278 EGW524278 EQS524278 FAO524278 FKK524278 FUG524278 GEC524278 GNY524278 GXU524278 HHQ524278 HRM524278 IBI524278 ILE524278 IVA524278 JEW524278 JOS524278 JYO524278 KIK524278 KSG524278 LCC524278 LLY524278 LVU524278 MFQ524278 MPM524278 MZI524278 NJE524278 NTA524278 OCW524278 OMS524278 OWO524278 PGK524278 PQG524278 QAC524278 QJY524278 QTU524278 RDQ524278 RNM524278 RXI524278 SHE524278 SRA524278 TAW524278 TKS524278 TUO524278 UEK524278 UOG524278 UYC524278 VHY524278 VRU524278 WBQ524278 WLM524278 WVI524278 B589814 IW589814 SS589814 ACO589814 AMK589814 AWG589814 BGC589814 BPY589814 BZU589814 CJQ589814 CTM589814 DDI589814 DNE589814 DXA589814 EGW589814 EQS589814 FAO589814 FKK589814 FUG589814 GEC589814 GNY589814 GXU589814 HHQ589814 HRM589814 IBI589814 ILE589814 IVA589814 JEW589814 JOS589814 JYO589814 KIK589814 KSG589814 LCC589814 LLY589814 LVU589814 MFQ589814 MPM589814 MZI589814 NJE589814 NTA589814 OCW589814 OMS589814 OWO589814 PGK589814 PQG589814 QAC589814 QJY589814 QTU589814 RDQ589814 RNM589814 RXI589814 SHE589814 SRA589814 TAW589814 TKS589814 TUO589814 UEK589814 UOG589814 UYC589814 VHY589814 VRU589814 WBQ589814 WLM589814 WVI589814 B655350 IW655350 SS655350 ACO655350 AMK655350 AWG655350 BGC655350 BPY655350 BZU655350 CJQ655350 CTM655350 DDI655350 DNE655350 DXA655350 EGW655350 EQS655350 FAO655350 FKK655350 FUG655350 GEC655350 GNY655350 GXU655350 HHQ655350 HRM655350 IBI655350 ILE655350 IVA655350 JEW655350 JOS655350 JYO655350 KIK655350 KSG655350 LCC655350 LLY655350 LVU655350 MFQ655350 MPM655350 MZI655350 NJE655350 NTA655350 OCW655350 OMS655350 OWO655350 PGK655350 PQG655350 QAC655350 QJY655350 QTU655350 RDQ655350 RNM655350 RXI655350 SHE655350 SRA655350 TAW655350 TKS655350 TUO655350 UEK655350 UOG655350 UYC655350 VHY655350 VRU655350 WBQ655350 WLM655350 WVI655350 B720886 IW720886 SS720886 ACO720886 AMK720886 AWG720886 BGC720886 BPY720886 BZU720886 CJQ720886 CTM720886 DDI720886 DNE720886 DXA720886 EGW720886 EQS720886 FAO720886 FKK720886 FUG720886 GEC720886 GNY720886 GXU720886 HHQ720886 HRM720886 IBI720886 ILE720886 IVA720886 JEW720886 JOS720886 JYO720886 KIK720886 KSG720886 LCC720886 LLY720886 LVU720886 MFQ720886 MPM720886 MZI720886 NJE720886 NTA720886 OCW720886 OMS720886 OWO720886 PGK720886 PQG720886 QAC720886 QJY720886 QTU720886 RDQ720886 RNM720886 RXI720886 SHE720886 SRA720886 TAW720886 TKS720886 TUO720886 UEK720886 UOG720886 UYC720886 VHY720886 VRU720886 WBQ720886 WLM720886 WVI720886 B786422 IW786422 SS786422 ACO786422 AMK786422 AWG786422 BGC786422 BPY786422 BZU786422 CJQ786422 CTM786422 DDI786422 DNE786422 DXA786422 EGW786422 EQS786422 FAO786422 FKK786422 FUG786422 GEC786422 GNY786422 GXU786422 HHQ786422 HRM786422 IBI786422 ILE786422 IVA786422 JEW786422 JOS786422 JYO786422 KIK786422 KSG786422 LCC786422 LLY786422 LVU786422 MFQ786422 MPM786422 MZI786422 NJE786422 NTA786422 OCW786422 OMS786422 OWO786422 PGK786422 PQG786422 QAC786422 QJY786422 QTU786422 RDQ786422 RNM786422 RXI786422 SHE786422 SRA786422 TAW786422 TKS786422 TUO786422 UEK786422 UOG786422 UYC786422 VHY786422 VRU786422 WBQ786422 WLM786422 WVI786422 B851958 IW851958 SS851958 ACO851958 AMK851958 AWG851958 BGC851958 BPY851958 BZU851958 CJQ851958 CTM851958 DDI851958 DNE851958 DXA851958 EGW851958 EQS851958 FAO851958 FKK851958 FUG851958 GEC851958 GNY851958 GXU851958 HHQ851958 HRM851958 IBI851958 ILE851958 IVA851958 JEW851958 JOS851958 JYO851958 KIK851958 KSG851958 LCC851958 LLY851958 LVU851958 MFQ851958 MPM851958 MZI851958 NJE851958 NTA851958 OCW851958 OMS851958 OWO851958 PGK851958 PQG851958 QAC851958 QJY851958 QTU851958 RDQ851958 RNM851958 RXI851958 SHE851958 SRA851958 TAW851958 TKS851958 TUO851958 UEK851958 UOG851958 UYC851958 VHY851958 VRU851958 WBQ851958 WLM851958 WVI851958 B917494 IW917494 SS917494 ACO917494 AMK917494 AWG917494 BGC917494 BPY917494 BZU917494 CJQ917494 CTM917494 DDI917494 DNE917494 DXA917494 EGW917494 EQS917494 FAO917494 FKK917494 FUG917494 GEC917494 GNY917494 GXU917494 HHQ917494 HRM917494 IBI917494 ILE917494 IVA917494 JEW917494 JOS917494 JYO917494 KIK917494 KSG917494 LCC917494 LLY917494 LVU917494 MFQ917494 MPM917494 MZI917494 NJE917494 NTA917494 OCW917494 OMS917494 OWO917494 PGK917494 PQG917494 QAC917494 QJY917494 QTU917494 RDQ917494 RNM917494 RXI917494 SHE917494 SRA917494 TAW917494 TKS917494 TUO917494 UEK917494 UOG917494 UYC917494 VHY917494 VRU917494 WBQ917494 WLM917494 WVI917494 B983030 IW983030 SS983030 ACO983030 AMK983030 AWG983030 BGC983030 BPY983030 BZU983030 CJQ983030 CTM983030 DDI983030 DNE983030 DXA983030 EGW983030 EQS983030 FAO983030 FKK983030 FUG983030 GEC983030 GNY983030 GXU983030 HHQ983030 HRM983030 IBI983030 ILE983030 IVA983030 JEW983030 JOS983030 JYO983030 KIK983030 KSG983030 LCC983030 LLY983030 LVU983030 MFQ983030 MPM983030 MZI983030 NJE983030 NTA983030 OCW983030 OMS983030 OWO983030 PGK983030 PQG983030 QAC983030 QJY983030 QTU983030 RDQ983030 RNM983030 RXI983030 SHE983030 SRA983030 TAW983030 TKS983030 TUO983030 UEK983030 UOG983030 UYC983030 VHY983030 VRU983030 WBQ983030 WLM983030">
      <formula1>Demand</formula1>
    </dataValidation>
  </dataValidation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Impacts'!$A$12:$A$21</xm:f>
          </x14:formula1>
          <xm:sqref>B3</xm:sqref>
        </x14:dataValidation>
      </x14:dataValidations>
    </ext>
  </extLst>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3">
    <pageSetUpPr fitToPage="1"/>
  </sheetPr>
  <dimension ref="A1:J38"/>
  <sheetViews>
    <sheetView topLeftCell="B10" zoomScale="110" zoomScaleNormal="110" workbookViewId="0">
      <selection activeCell="C19" sqref="C19"/>
    </sheetView>
  </sheetViews>
  <sheetFormatPr defaultRowHeight="12.75" x14ac:dyDescent="0.2"/>
  <cols>
    <col min="1" max="1" width="64.85546875" bestFit="1" customWidth="1"/>
    <col min="2" max="2" width="20.7109375" bestFit="1" customWidth="1"/>
    <col min="3" max="3" width="12.7109375" bestFit="1"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48" t="s">
        <v>112</v>
      </c>
      <c r="B1" s="349"/>
      <c r="C1" s="349"/>
      <c r="D1" s="349"/>
      <c r="E1" s="349"/>
      <c r="F1" s="349"/>
      <c r="G1" s="349"/>
      <c r="H1" s="349"/>
      <c r="I1" s="349"/>
      <c r="J1" s="350"/>
    </row>
    <row r="3" spans="1:10" x14ac:dyDescent="0.2">
      <c r="A3" s="13" t="s">
        <v>13</v>
      </c>
      <c r="B3" s="13" t="s">
        <v>182</v>
      </c>
      <c r="C3" s="13" t="s">
        <v>127</v>
      </c>
    </row>
    <row r="4" spans="1:10" x14ac:dyDescent="0.2">
      <c r="A4" s="15" t="s">
        <v>62</v>
      </c>
      <c r="B4" s="79">
        <f>C4</f>
        <v>57222.704427374818</v>
      </c>
      <c r="C4" s="79">
        <f>'Data for Bill Impacts_HONI Avg '!E32</f>
        <v>57222.704427374818</v>
      </c>
    </row>
    <row r="5" spans="1:10" x14ac:dyDescent="0.2">
      <c r="A5" s="15" t="s">
        <v>16</v>
      </c>
      <c r="B5" s="79">
        <f>C5</f>
        <v>160.95335296165933</v>
      </c>
      <c r="C5" s="79">
        <f>'Data for Bill Impacts_HONI Avg '!F32</f>
        <v>160.95335296165933</v>
      </c>
    </row>
    <row r="6" spans="1:10" x14ac:dyDescent="0.2">
      <c r="A6" s="15" t="s">
        <v>20</v>
      </c>
      <c r="B6" s="224">
        <f>VLOOKUP($B$3,'Data for Bill Impacts'!$A$3:$Y$39,2,0)</f>
        <v>1.0563</v>
      </c>
      <c r="C6" s="224">
        <f>VLOOKUP($C$3,'Data for Bill Impacts'!$A$3:$Y$39,2,0)</f>
        <v>1.0564</v>
      </c>
    </row>
    <row r="7" spans="1:10" x14ac:dyDescent="0.2">
      <c r="A7" s="81" t="s">
        <v>49</v>
      </c>
      <c r="B7" s="82">
        <f>B4/(B5*730)</f>
        <v>0.4870185360943815</v>
      </c>
      <c r="C7" s="82">
        <f>C4/(C5*730)</f>
        <v>0.4870185360943815</v>
      </c>
    </row>
    <row r="8" spans="1:10" x14ac:dyDescent="0.2">
      <c r="A8" s="15" t="s">
        <v>15</v>
      </c>
      <c r="B8" s="79">
        <f>VLOOKUP($B$3,'Data for Bill Impacts'!$A$3:$Y$39,4,0)</f>
        <v>0</v>
      </c>
      <c r="C8" s="79">
        <f>VLOOKUP($C$3,'Data for Bill Impacts'!$A$3:$Y$39,4,0)</f>
        <v>0</v>
      </c>
    </row>
    <row r="9" spans="1:10" x14ac:dyDescent="0.2">
      <c r="A9" s="15" t="s">
        <v>82</v>
      </c>
      <c r="B9" s="79">
        <f>B4*B6</f>
        <v>60444.342686636024</v>
      </c>
      <c r="C9" s="79">
        <f>C4*C6</f>
        <v>60450.064957078757</v>
      </c>
    </row>
    <row r="10" spans="1:10" x14ac:dyDescent="0.2">
      <c r="A10" s="15" t="s">
        <v>21</v>
      </c>
      <c r="B10" s="16" t="s">
        <v>19</v>
      </c>
      <c r="C10" s="16" t="str">
        <f>VLOOKUP($C$3,'Data for Bill Impacts'!$A$3:$Y$39,6,0)</f>
        <v>kW</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3" t="s">
        <v>50</v>
      </c>
    </row>
    <row r="13" spans="1:10" x14ac:dyDescent="0.2">
      <c r="A13" s="101" t="s">
        <v>31</v>
      </c>
      <c r="B13" s="102">
        <f>C9</f>
        <v>60450.064957078757</v>
      </c>
      <c r="C13" s="103">
        <v>0.10299999999999999</v>
      </c>
      <c r="D13" s="104">
        <f>B13*C13</f>
        <v>6226.3566905791113</v>
      </c>
      <c r="E13" s="102">
        <f>B9</f>
        <v>60444.342686636024</v>
      </c>
      <c r="F13" s="103">
        <f>C13</f>
        <v>0.10299999999999999</v>
      </c>
      <c r="G13" s="104">
        <f>E13*F13</f>
        <v>6225.7672967235103</v>
      </c>
      <c r="H13" s="104">
        <f>G13-D13</f>
        <v>-0.58939385560097435</v>
      </c>
      <c r="I13" s="105">
        <f>IF(ISERROR(H13/D13),0,(H13/D13))</f>
        <v>-9.4661113214533011E-5</v>
      </c>
      <c r="J13" s="124">
        <f t="shared" ref="J13:J36" si="0">G13/$G$36</f>
        <v>0.6396050817171538</v>
      </c>
    </row>
    <row r="14" spans="1:10" x14ac:dyDescent="0.2">
      <c r="A14" s="107" t="s">
        <v>32</v>
      </c>
      <c r="B14" s="73">
        <v>0</v>
      </c>
      <c r="C14" s="21">
        <v>0.121</v>
      </c>
      <c r="D14" s="22">
        <f>B14*C14</f>
        <v>0</v>
      </c>
      <c r="E14" s="73">
        <f t="shared" ref="E14" si="1">B14</f>
        <v>0</v>
      </c>
      <c r="F14" s="21">
        <f>C14</f>
        <v>0.121</v>
      </c>
      <c r="G14" s="22">
        <f>E14*F14</f>
        <v>0</v>
      </c>
      <c r="H14" s="22">
        <f t="shared" ref="H14:H36" si="2">G14-D14</f>
        <v>0</v>
      </c>
      <c r="I14" s="23">
        <f t="shared" ref="I14:I31" si="3">IF(ISERROR(H14/D14),0,(H14/D14))</f>
        <v>0</v>
      </c>
      <c r="J14" s="125">
        <f t="shared" si="0"/>
        <v>0</v>
      </c>
    </row>
    <row r="15" spans="1:10" s="1" customFormat="1" x14ac:dyDescent="0.2">
      <c r="A15" s="46" t="s">
        <v>33</v>
      </c>
      <c r="B15" s="24"/>
      <c r="C15" s="25"/>
      <c r="D15" s="25">
        <f>SUM(D13:D14)</f>
        <v>6226.3566905791113</v>
      </c>
      <c r="E15" s="76"/>
      <c r="F15" s="25"/>
      <c r="G15" s="25">
        <f>SUM(G13:G14)</f>
        <v>6225.7672967235103</v>
      </c>
      <c r="H15" s="25">
        <f t="shared" si="2"/>
        <v>-0.58939385560097435</v>
      </c>
      <c r="I15" s="27">
        <f t="shared" si="3"/>
        <v>-9.4661113214533011E-5</v>
      </c>
      <c r="J15" s="47">
        <f t="shared" si="0"/>
        <v>0.6396050817171538</v>
      </c>
    </row>
    <row r="16" spans="1:10" s="1" customFormat="1" x14ac:dyDescent="0.2">
      <c r="A16" s="107" t="s">
        <v>38</v>
      </c>
      <c r="B16" s="73">
        <v>1</v>
      </c>
      <c r="C16" s="122">
        <f>VLOOKUP($C$3,'Data for Bill Impacts'!$A$3:$Y$39,7,0)</f>
        <v>245.55</v>
      </c>
      <c r="D16" s="22">
        <f>B16*C16</f>
        <v>245.55</v>
      </c>
      <c r="E16" s="73">
        <f t="shared" ref="E16:E31" si="4">B16</f>
        <v>1</v>
      </c>
      <c r="F16" s="78">
        <f>VLOOKUP($B$3,'Data for Bill Impacts'!$A$3:$Y$39,17,0)</f>
        <v>208.51</v>
      </c>
      <c r="G16" s="22">
        <f>E16*F16</f>
        <v>208.51</v>
      </c>
      <c r="H16" s="22">
        <f t="shared" si="2"/>
        <v>-37.04000000000002</v>
      </c>
      <c r="I16" s="23">
        <f t="shared" si="3"/>
        <v>-0.15084504174302593</v>
      </c>
      <c r="J16" s="125">
        <f t="shared" si="0"/>
        <v>2.1421304271849417E-2</v>
      </c>
    </row>
    <row r="17" spans="1:10" x14ac:dyDescent="0.2">
      <c r="A17" s="107" t="s">
        <v>188</v>
      </c>
      <c r="B17" s="73">
        <v>1</v>
      </c>
      <c r="C17" s="122">
        <f>'Data for Bill Impacts'!K36</f>
        <v>-3.61</v>
      </c>
      <c r="D17" s="22">
        <f>B17*C17</f>
        <v>-3.61</v>
      </c>
      <c r="E17" s="73">
        <f t="shared" si="4"/>
        <v>1</v>
      </c>
      <c r="F17" s="122">
        <v>0</v>
      </c>
      <c r="G17" s="22">
        <f t="shared" ref="G17" si="5">E17*F17</f>
        <v>0</v>
      </c>
      <c r="H17" s="22">
        <f t="shared" si="2"/>
        <v>3.61</v>
      </c>
      <c r="I17" s="23">
        <f t="shared" si="3"/>
        <v>-1</v>
      </c>
      <c r="J17" s="125">
        <f t="shared" si="0"/>
        <v>0</v>
      </c>
    </row>
    <row r="18" spans="1:10" x14ac:dyDescent="0.2">
      <c r="A18" s="107" t="s">
        <v>39</v>
      </c>
      <c r="B18" s="73">
        <f>IF($C$10="kWh",$C$4,$C$5)</f>
        <v>160.95335296165933</v>
      </c>
      <c r="C18" s="126">
        <f>VLOOKUP($C$3,'Data for Bill Impacts'!$A$3:$Y$39,10,0)</f>
        <v>3.9601999999999999</v>
      </c>
      <c r="D18" s="22">
        <f>B18*C18</f>
        <v>637.40746839876329</v>
      </c>
      <c r="E18" s="73">
        <f>B5</f>
        <v>160.95335296165933</v>
      </c>
      <c r="F18" s="126">
        <f>VLOOKUP($B$3,'Data for Bill Impacts'!$A$3:$Y$39,19,0)</f>
        <v>5.14</v>
      </c>
      <c r="G18" s="22">
        <f>E18*F18</f>
        <v>827.30023422292891</v>
      </c>
      <c r="H18" s="22">
        <f t="shared" si="2"/>
        <v>189.89276582416562</v>
      </c>
      <c r="I18" s="23">
        <f t="shared" si="3"/>
        <v>0.29791424675521427</v>
      </c>
      <c r="J18" s="125">
        <f t="shared" si="0"/>
        <v>8.4992806299274151E-2</v>
      </c>
    </row>
    <row r="19" spans="1:10" x14ac:dyDescent="0.2">
      <c r="A19" s="107" t="s">
        <v>189</v>
      </c>
      <c r="B19" s="73">
        <f>IF($C$10="kWh",$C$4,$C$5)</f>
        <v>160.95335296165933</v>
      </c>
      <c r="C19" s="126">
        <f>'Data for Bill Impacts'!H36</f>
        <v>0.30499999999999999</v>
      </c>
      <c r="D19" s="22">
        <f>B19*C19</f>
        <v>49.090772653306097</v>
      </c>
      <c r="E19" s="73">
        <f>B5</f>
        <v>160.95335296165933</v>
      </c>
      <c r="F19" s="126">
        <v>0</v>
      </c>
      <c r="G19" s="22">
        <f>E19*F19</f>
        <v>0</v>
      </c>
      <c r="H19" s="22">
        <f t="shared" ref="H19" si="6">G19-D19</f>
        <v>-49.090772653306097</v>
      </c>
      <c r="I19" s="23">
        <f t="shared" ref="I19" si="7">IF(ISERROR(H19/D19),0,(H19/D19))</f>
        <v>-1</v>
      </c>
      <c r="J19" s="125">
        <f t="shared" si="0"/>
        <v>0</v>
      </c>
    </row>
    <row r="20" spans="1:10" s="1" customFormat="1" x14ac:dyDescent="0.2">
      <c r="A20" s="107" t="s">
        <v>190</v>
      </c>
      <c r="B20" s="73">
        <f>IF($B$10="kWh",$B$4,$B$5)</f>
        <v>160.95335296165933</v>
      </c>
      <c r="C20" s="78">
        <f>'Data for Bill Impacts'!L36</f>
        <v>-5.8299999999999998E-2</v>
      </c>
      <c r="D20" s="22">
        <f>B20*C20</f>
        <v>-9.3835804776647382</v>
      </c>
      <c r="E20" s="73">
        <f>B20</f>
        <v>160.95335296165933</v>
      </c>
      <c r="F20" s="126">
        <v>0</v>
      </c>
      <c r="G20" s="22">
        <f>E20*F20</f>
        <v>0</v>
      </c>
      <c r="H20" s="22">
        <f>G20-D20</f>
        <v>9.3835804776647382</v>
      </c>
      <c r="I20" s="23">
        <f>IF(ISERROR(H20/D20),0,(H20/D20))</f>
        <v>-1</v>
      </c>
      <c r="J20" s="125">
        <f t="shared" si="0"/>
        <v>0</v>
      </c>
    </row>
    <row r="21" spans="1:10" x14ac:dyDescent="0.2">
      <c r="A21" s="110" t="s">
        <v>79</v>
      </c>
      <c r="B21" s="74"/>
      <c r="C21" s="35"/>
      <c r="D21" s="35">
        <f>SUM(D16:D20)</f>
        <v>919.05466057440469</v>
      </c>
      <c r="E21" s="73"/>
      <c r="F21" s="35"/>
      <c r="G21" s="35">
        <f>SUM(G16:G20)</f>
        <v>1035.810234222929</v>
      </c>
      <c r="H21" s="35">
        <f t="shared" si="2"/>
        <v>116.75557364852432</v>
      </c>
      <c r="I21" s="36">
        <f t="shared" si="3"/>
        <v>0.12703877000694677</v>
      </c>
      <c r="J21" s="111">
        <f t="shared" si="0"/>
        <v>0.10641411057112357</v>
      </c>
    </row>
    <row r="22" spans="1:10" x14ac:dyDescent="0.2">
      <c r="A22" s="107" t="s">
        <v>40</v>
      </c>
      <c r="B22" s="73">
        <f>C5</f>
        <v>160.95335296165933</v>
      </c>
      <c r="C22" s="126">
        <f>VLOOKUP($C$3,'Data for Bill Impacts'!$A$3:$Y$39,15,0)</f>
        <v>2.5453999999999999</v>
      </c>
      <c r="D22" s="22">
        <f>B22*C22</f>
        <v>409.69066462860764</v>
      </c>
      <c r="E22" s="73">
        <f>B5</f>
        <v>160.95335296165933</v>
      </c>
      <c r="F22" s="78">
        <f>VLOOKUP($B$3,'Data for Bill Impacts'!$A$3:$Y$39,24,0)</f>
        <v>1.8483000000000001</v>
      </c>
      <c r="G22" s="22">
        <f>E22*F22</f>
        <v>297.49008227903494</v>
      </c>
      <c r="H22" s="22">
        <f t="shared" si="2"/>
        <v>-112.2005823495727</v>
      </c>
      <c r="I22" s="23">
        <f t="shared" si="3"/>
        <v>-0.27386658285534687</v>
      </c>
      <c r="J22" s="125">
        <f t="shared" si="0"/>
        <v>3.0562685580340157E-2</v>
      </c>
    </row>
    <row r="23" spans="1:10" s="1" customFormat="1" x14ac:dyDescent="0.2">
      <c r="A23" s="107" t="s">
        <v>41</v>
      </c>
      <c r="B23" s="73">
        <f>C5</f>
        <v>160.95335296165933</v>
      </c>
      <c r="C23" s="126">
        <f>VLOOKUP($C$3,'Data for Bill Impacts'!$A$3:$Y$39,16,0)</f>
        <v>1.2384999999999999</v>
      </c>
      <c r="D23" s="22">
        <f>B23*C23</f>
        <v>199.34072764301507</v>
      </c>
      <c r="E23" s="73">
        <f>B5</f>
        <v>160.95335296165933</v>
      </c>
      <c r="F23" s="78">
        <f>VLOOKUP($B$3,'Data for Bill Impacts'!$A$3:$Y$39,25,0)</f>
        <v>1.5101</v>
      </c>
      <c r="G23" s="22">
        <f>E23*F23</f>
        <v>243.05565830740176</v>
      </c>
      <c r="H23" s="22">
        <f t="shared" si="2"/>
        <v>43.714930664386685</v>
      </c>
      <c r="I23" s="23">
        <f t="shared" si="3"/>
        <v>0.21929753734356083</v>
      </c>
      <c r="J23" s="125">
        <f t="shared" si="0"/>
        <v>2.4970357352633053E-2</v>
      </c>
    </row>
    <row r="24" spans="1:10" x14ac:dyDescent="0.2">
      <c r="A24" s="110" t="s">
        <v>76</v>
      </c>
      <c r="B24" s="74"/>
      <c r="C24" s="35"/>
      <c r="D24" s="35">
        <f>SUM(D22:D23)</f>
        <v>609.03139227162274</v>
      </c>
      <c r="E24" s="73"/>
      <c r="F24" s="35"/>
      <c r="G24" s="35">
        <f>SUM(G22:G23)</f>
        <v>540.54574058643675</v>
      </c>
      <c r="H24" s="35">
        <f t="shared" si="2"/>
        <v>-68.485651685185985</v>
      </c>
      <c r="I24" s="36">
        <f t="shared" si="3"/>
        <v>-0.11245011760353064</v>
      </c>
      <c r="J24" s="111">
        <f t="shared" si="0"/>
        <v>5.5533042932973217E-2</v>
      </c>
    </row>
    <row r="25" spans="1:10" s="1" customFormat="1" x14ac:dyDescent="0.2">
      <c r="A25" s="110" t="s">
        <v>80</v>
      </c>
      <c r="B25" s="74"/>
      <c r="C25" s="35"/>
      <c r="D25" s="35">
        <f>D21+D24</f>
        <v>1528.0860528460275</v>
      </c>
      <c r="E25" s="73"/>
      <c r="F25" s="35"/>
      <c r="G25" s="35">
        <f>G21+G24</f>
        <v>1576.3559748093658</v>
      </c>
      <c r="H25" s="35">
        <f t="shared" si="2"/>
        <v>48.26992196333822</v>
      </c>
      <c r="I25" s="36">
        <f t="shared" si="3"/>
        <v>3.1588484086636698E-2</v>
      </c>
      <c r="J25" s="111">
        <f t="shared" si="0"/>
        <v>0.1619471535040968</v>
      </c>
    </row>
    <row r="26" spans="1:10" x14ac:dyDescent="0.2">
      <c r="A26" s="107" t="s">
        <v>42</v>
      </c>
      <c r="B26" s="73">
        <f>$C$9</f>
        <v>60450.064957078757</v>
      </c>
      <c r="C26" s="34">
        <v>3.5999999999999999E-3</v>
      </c>
      <c r="D26" s="22">
        <f>B26*C26</f>
        <v>217.62023384548351</v>
      </c>
      <c r="E26" s="73">
        <f>$B$9</f>
        <v>60444.342686636024</v>
      </c>
      <c r="F26" s="34">
        <v>3.5999999999999999E-3</v>
      </c>
      <c r="G26" s="22">
        <f>E26*F26</f>
        <v>217.59963367188968</v>
      </c>
      <c r="H26" s="22">
        <f t="shared" si="2"/>
        <v>-2.060017359383437E-2</v>
      </c>
      <c r="I26" s="23">
        <f t="shared" si="3"/>
        <v>-9.4661113214596911E-5</v>
      </c>
      <c r="J26" s="125">
        <f t="shared" si="0"/>
        <v>2.2355129069725765E-2</v>
      </c>
    </row>
    <row r="27" spans="1:10" x14ac:dyDescent="0.2">
      <c r="A27" s="107" t="s">
        <v>43</v>
      </c>
      <c r="B27" s="73">
        <f>$C$9</f>
        <v>60450.064957078757</v>
      </c>
      <c r="C27" s="34">
        <v>2.0999999999999999E-3</v>
      </c>
      <c r="D27" s="22">
        <f>B27*C27</f>
        <v>126.94513640986538</v>
      </c>
      <c r="E27" s="73">
        <f>$B$9</f>
        <v>60444.342686636024</v>
      </c>
      <c r="F27" s="34">
        <v>2.0999999999999999E-3</v>
      </c>
      <c r="G27" s="22">
        <f>E27*F27</f>
        <v>126.93311964193565</v>
      </c>
      <c r="H27" s="22">
        <f>G27-D27</f>
        <v>-1.2016767929736716E-2</v>
      </c>
      <c r="I27" s="23">
        <f t="shared" si="3"/>
        <v>-9.4661113214596911E-5</v>
      </c>
      <c r="J27" s="125">
        <f t="shared" si="0"/>
        <v>1.304049195734003E-2</v>
      </c>
    </row>
    <row r="28" spans="1:10" x14ac:dyDescent="0.2">
      <c r="A28" s="107" t="s">
        <v>100</v>
      </c>
      <c r="B28" s="73">
        <f>$C$9</f>
        <v>60450.064957078757</v>
      </c>
      <c r="C28" s="34">
        <v>1.1000000000000001E-3</v>
      </c>
      <c r="D28" s="22">
        <f>B28*C28</f>
        <v>66.495071452786632</v>
      </c>
      <c r="E28" s="73">
        <f>$B$9</f>
        <v>60444.342686636024</v>
      </c>
      <c r="F28" s="34">
        <v>1.1000000000000001E-3</v>
      </c>
      <c r="G28" s="22">
        <f>E28*F28</f>
        <v>66.488776955299628</v>
      </c>
      <c r="H28" s="22">
        <f>G28-D28</f>
        <v>-6.2944974870049464E-3</v>
      </c>
      <c r="I28" s="23">
        <f t="shared" si="3"/>
        <v>-9.4661113214596911E-5</v>
      </c>
      <c r="J28" s="125">
        <f t="shared" si="0"/>
        <v>6.8307338824162064E-3</v>
      </c>
    </row>
    <row r="29" spans="1:10" x14ac:dyDescent="0.2">
      <c r="A29" s="107" t="s">
        <v>44</v>
      </c>
      <c r="B29" s="73">
        <v>1</v>
      </c>
      <c r="C29" s="22">
        <v>0.25</v>
      </c>
      <c r="D29" s="22">
        <f>B29*C29</f>
        <v>0.25</v>
      </c>
      <c r="E29" s="73">
        <f t="shared" si="4"/>
        <v>1</v>
      </c>
      <c r="F29" s="22">
        <f>C29</f>
        <v>0.25</v>
      </c>
      <c r="G29" s="22">
        <f>E29*F29</f>
        <v>0.25</v>
      </c>
      <c r="H29" s="22">
        <f t="shared" si="2"/>
        <v>0</v>
      </c>
      <c r="I29" s="23">
        <f t="shared" si="3"/>
        <v>0</v>
      </c>
      <c r="J29" s="125">
        <f t="shared" si="0"/>
        <v>2.5683785276304995E-5</v>
      </c>
    </row>
    <row r="30" spans="1:10" x14ac:dyDescent="0.2">
      <c r="A30" s="110" t="s">
        <v>45</v>
      </c>
      <c r="B30" s="74"/>
      <c r="C30" s="35"/>
      <c r="D30" s="35">
        <f>SUM(D26:D29)</f>
        <v>411.31044170813556</v>
      </c>
      <c r="E30" s="73"/>
      <c r="F30" s="35"/>
      <c r="G30" s="35">
        <f>SUM(G26:G29)</f>
        <v>411.27153026912492</v>
      </c>
      <c r="H30" s="35">
        <f t="shared" si="2"/>
        <v>-3.8911439010632876E-2</v>
      </c>
      <c r="I30" s="36">
        <f t="shared" si="3"/>
        <v>-9.4603576921211001E-5</v>
      </c>
      <c r="J30" s="111">
        <f t="shared" si="0"/>
        <v>4.2252038694758298E-2</v>
      </c>
    </row>
    <row r="31" spans="1:10" ht="13.5" thickBot="1" x14ac:dyDescent="0.25">
      <c r="A31" s="112" t="s">
        <v>46</v>
      </c>
      <c r="B31" s="113">
        <f>B4</f>
        <v>57222.704427374818</v>
      </c>
      <c r="C31" s="114">
        <v>7.0000000000000001E-3</v>
      </c>
      <c r="D31" s="115">
        <f>B31*C31</f>
        <v>400.55893099162375</v>
      </c>
      <c r="E31" s="116">
        <f t="shared" si="4"/>
        <v>57222.704427374818</v>
      </c>
      <c r="F31" s="114">
        <f>C31</f>
        <v>7.0000000000000001E-3</v>
      </c>
      <c r="G31" s="115">
        <f>E31*F31</f>
        <v>400.55893099162375</v>
      </c>
      <c r="H31" s="115">
        <f t="shared" si="2"/>
        <v>0</v>
      </c>
      <c r="I31" s="117">
        <f t="shared" si="3"/>
        <v>0</v>
      </c>
      <c r="J31" s="118">
        <f t="shared" si="0"/>
        <v>4.1151478296380543E-2</v>
      </c>
    </row>
    <row r="32" spans="1:10" x14ac:dyDescent="0.2">
      <c r="A32" s="37" t="s">
        <v>146</v>
      </c>
      <c r="B32" s="38"/>
      <c r="C32" s="39"/>
      <c r="D32" s="39">
        <f>SUM(D15,D21,D24,D30,D31)</f>
        <v>8566.3121161248982</v>
      </c>
      <c r="E32" s="38"/>
      <c r="F32" s="39"/>
      <c r="G32" s="39">
        <f>SUM(G15,G21,G24,G30,G31)</f>
        <v>8613.9537327936232</v>
      </c>
      <c r="H32" s="39">
        <f t="shared" si="2"/>
        <v>47.641616668724964</v>
      </c>
      <c r="I32" s="40">
        <f>IF(ISERROR(H32/D32),0,(H32/D32))</f>
        <v>5.5615083857435228E-3</v>
      </c>
      <c r="J32" s="41">
        <f t="shared" si="0"/>
        <v>0.88495575221238931</v>
      </c>
    </row>
    <row r="33" spans="1:10" x14ac:dyDescent="0.2">
      <c r="A33" s="46" t="s">
        <v>138</v>
      </c>
      <c r="B33" s="43"/>
      <c r="C33" s="26">
        <v>0.13</v>
      </c>
      <c r="D33" s="26">
        <f>D32*C33</f>
        <v>1113.6205750962367</v>
      </c>
      <c r="E33" s="26"/>
      <c r="F33" s="26">
        <f>C33</f>
        <v>0.13</v>
      </c>
      <c r="G33" s="26">
        <f>G32*F33</f>
        <v>1119.8139852631712</v>
      </c>
      <c r="H33" s="26">
        <f t="shared" si="2"/>
        <v>6.1934101669344273</v>
      </c>
      <c r="I33" s="44">
        <f t="shared" ref="I33:I36" si="8">IF(ISERROR(H33/D33),0,(H33/D33))</f>
        <v>5.5615083857436867E-3</v>
      </c>
      <c r="J33" s="45">
        <f t="shared" si="0"/>
        <v>0.11504424778761062</v>
      </c>
    </row>
    <row r="34" spans="1:10" x14ac:dyDescent="0.2">
      <c r="A34" s="46" t="s">
        <v>139</v>
      </c>
      <c r="B34" s="24"/>
      <c r="C34" s="25"/>
      <c r="D34" s="25">
        <f>SUM(D32:D33)</f>
        <v>9679.9326912211345</v>
      </c>
      <c r="E34" s="25"/>
      <c r="F34" s="25"/>
      <c r="G34" s="25">
        <f>SUM(G32:G33)</f>
        <v>9733.7677180567953</v>
      </c>
      <c r="H34" s="25">
        <f t="shared" si="2"/>
        <v>53.835026835660756</v>
      </c>
      <c r="I34" s="27">
        <f t="shared" si="8"/>
        <v>5.5615083857436833E-3</v>
      </c>
      <c r="J34" s="47">
        <f t="shared" si="0"/>
        <v>1</v>
      </c>
    </row>
    <row r="35" spans="1:10" x14ac:dyDescent="0.2">
      <c r="A35" s="46" t="s">
        <v>140</v>
      </c>
      <c r="B35" s="43"/>
      <c r="C35" s="26">
        <v>0</v>
      </c>
      <c r="D35" s="26">
        <f>D32*C35</f>
        <v>0</v>
      </c>
      <c r="E35" s="26"/>
      <c r="F35" s="26">
        <f>C35</f>
        <v>0</v>
      </c>
      <c r="G35" s="26">
        <f>G32*F35</f>
        <v>0</v>
      </c>
      <c r="H35" s="26">
        <f t="shared" si="2"/>
        <v>0</v>
      </c>
      <c r="I35" s="44">
        <f t="shared" si="8"/>
        <v>0</v>
      </c>
      <c r="J35" s="45">
        <f t="shared" si="0"/>
        <v>0</v>
      </c>
    </row>
    <row r="36" spans="1:10" ht="13.5" thickBot="1" x14ac:dyDescent="0.25">
      <c r="A36" s="46" t="s">
        <v>141</v>
      </c>
      <c r="B36" s="49"/>
      <c r="C36" s="50"/>
      <c r="D36" s="50">
        <f>SUM(D34:D35)</f>
        <v>9679.9326912211345</v>
      </c>
      <c r="E36" s="50"/>
      <c r="F36" s="50"/>
      <c r="G36" s="50">
        <f>SUM(G34:G35)</f>
        <v>9733.7677180567953</v>
      </c>
      <c r="H36" s="50">
        <f t="shared" si="2"/>
        <v>53.835026835660756</v>
      </c>
      <c r="I36" s="51">
        <f t="shared" si="8"/>
        <v>5.5615083857436833E-3</v>
      </c>
      <c r="J36" s="52">
        <f t="shared" si="0"/>
        <v>1</v>
      </c>
    </row>
    <row r="37" spans="1:10" x14ac:dyDescent="0.2">
      <c r="F37" s="69"/>
    </row>
    <row r="38" spans="1:10" x14ac:dyDescent="0.2">
      <c r="F38" s="69"/>
    </row>
  </sheetData>
  <mergeCells count="1">
    <mergeCell ref="A1:J1"/>
  </mergeCells>
  <dataValidations count="1">
    <dataValidation type="list" allowBlank="1" showInputMessage="1" showErrorMessage="1" sqref="WVI983030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6 IW65526 SS65526 ACO65526 AMK65526 AWG65526 BGC65526 BPY65526 BZU65526 CJQ65526 CTM65526 DDI65526 DNE65526 DXA65526 EGW65526 EQS65526 FAO65526 FKK65526 FUG65526 GEC65526 GNY65526 GXU65526 HHQ65526 HRM65526 IBI65526 ILE65526 IVA65526 JEW65526 JOS65526 JYO65526 KIK65526 KSG65526 LCC65526 LLY65526 LVU65526 MFQ65526 MPM65526 MZI65526 NJE65526 NTA65526 OCW65526 OMS65526 OWO65526 PGK65526 PQG65526 QAC65526 QJY65526 QTU65526 RDQ65526 RNM65526 RXI65526 SHE65526 SRA65526 TAW65526 TKS65526 TUO65526 UEK65526 UOG65526 UYC65526 VHY65526 VRU65526 WBQ65526 WLM65526 WVI65526 B131062 IW131062 SS131062 ACO131062 AMK131062 AWG131062 BGC131062 BPY131062 BZU131062 CJQ131062 CTM131062 DDI131062 DNE131062 DXA131062 EGW131062 EQS131062 FAO131062 FKK131062 FUG131062 GEC131062 GNY131062 GXU131062 HHQ131062 HRM131062 IBI131062 ILE131062 IVA131062 JEW131062 JOS131062 JYO131062 KIK131062 KSG131062 LCC131062 LLY131062 LVU131062 MFQ131062 MPM131062 MZI131062 NJE131062 NTA131062 OCW131062 OMS131062 OWO131062 PGK131062 PQG131062 QAC131062 QJY131062 QTU131062 RDQ131062 RNM131062 RXI131062 SHE131062 SRA131062 TAW131062 TKS131062 TUO131062 UEK131062 UOG131062 UYC131062 VHY131062 VRU131062 WBQ131062 WLM131062 WVI131062 B196598 IW196598 SS196598 ACO196598 AMK196598 AWG196598 BGC196598 BPY196598 BZU196598 CJQ196598 CTM196598 DDI196598 DNE196598 DXA196598 EGW196598 EQS196598 FAO196598 FKK196598 FUG196598 GEC196598 GNY196598 GXU196598 HHQ196598 HRM196598 IBI196598 ILE196598 IVA196598 JEW196598 JOS196598 JYO196598 KIK196598 KSG196598 LCC196598 LLY196598 LVU196598 MFQ196598 MPM196598 MZI196598 NJE196598 NTA196598 OCW196598 OMS196598 OWO196598 PGK196598 PQG196598 QAC196598 QJY196598 QTU196598 RDQ196598 RNM196598 RXI196598 SHE196598 SRA196598 TAW196598 TKS196598 TUO196598 UEK196598 UOG196598 UYC196598 VHY196598 VRU196598 WBQ196598 WLM196598 WVI196598 B262134 IW262134 SS262134 ACO262134 AMK262134 AWG262134 BGC262134 BPY262134 BZU262134 CJQ262134 CTM262134 DDI262134 DNE262134 DXA262134 EGW262134 EQS262134 FAO262134 FKK262134 FUG262134 GEC262134 GNY262134 GXU262134 HHQ262134 HRM262134 IBI262134 ILE262134 IVA262134 JEW262134 JOS262134 JYO262134 KIK262134 KSG262134 LCC262134 LLY262134 LVU262134 MFQ262134 MPM262134 MZI262134 NJE262134 NTA262134 OCW262134 OMS262134 OWO262134 PGK262134 PQG262134 QAC262134 QJY262134 QTU262134 RDQ262134 RNM262134 RXI262134 SHE262134 SRA262134 TAW262134 TKS262134 TUO262134 UEK262134 UOG262134 UYC262134 VHY262134 VRU262134 WBQ262134 WLM262134 WVI262134 B327670 IW327670 SS327670 ACO327670 AMK327670 AWG327670 BGC327670 BPY327670 BZU327670 CJQ327670 CTM327670 DDI327670 DNE327670 DXA327670 EGW327670 EQS327670 FAO327670 FKK327670 FUG327670 GEC327670 GNY327670 GXU327670 HHQ327670 HRM327670 IBI327670 ILE327670 IVA327670 JEW327670 JOS327670 JYO327670 KIK327670 KSG327670 LCC327670 LLY327670 LVU327670 MFQ327670 MPM327670 MZI327670 NJE327670 NTA327670 OCW327670 OMS327670 OWO327670 PGK327670 PQG327670 QAC327670 QJY327670 QTU327670 RDQ327670 RNM327670 RXI327670 SHE327670 SRA327670 TAW327670 TKS327670 TUO327670 UEK327670 UOG327670 UYC327670 VHY327670 VRU327670 WBQ327670 WLM327670 WVI327670 B393206 IW393206 SS393206 ACO393206 AMK393206 AWG393206 BGC393206 BPY393206 BZU393206 CJQ393206 CTM393206 DDI393206 DNE393206 DXA393206 EGW393206 EQS393206 FAO393206 FKK393206 FUG393206 GEC393206 GNY393206 GXU393206 HHQ393206 HRM393206 IBI393206 ILE393206 IVA393206 JEW393206 JOS393206 JYO393206 KIK393206 KSG393206 LCC393206 LLY393206 LVU393206 MFQ393206 MPM393206 MZI393206 NJE393206 NTA393206 OCW393206 OMS393206 OWO393206 PGK393206 PQG393206 QAC393206 QJY393206 QTU393206 RDQ393206 RNM393206 RXI393206 SHE393206 SRA393206 TAW393206 TKS393206 TUO393206 UEK393206 UOG393206 UYC393206 VHY393206 VRU393206 WBQ393206 WLM393206 WVI393206 B458742 IW458742 SS458742 ACO458742 AMK458742 AWG458742 BGC458742 BPY458742 BZU458742 CJQ458742 CTM458742 DDI458742 DNE458742 DXA458742 EGW458742 EQS458742 FAO458742 FKK458742 FUG458742 GEC458742 GNY458742 GXU458742 HHQ458742 HRM458742 IBI458742 ILE458742 IVA458742 JEW458742 JOS458742 JYO458742 KIK458742 KSG458742 LCC458742 LLY458742 LVU458742 MFQ458742 MPM458742 MZI458742 NJE458742 NTA458742 OCW458742 OMS458742 OWO458742 PGK458742 PQG458742 QAC458742 QJY458742 QTU458742 RDQ458742 RNM458742 RXI458742 SHE458742 SRA458742 TAW458742 TKS458742 TUO458742 UEK458742 UOG458742 UYC458742 VHY458742 VRU458742 WBQ458742 WLM458742 WVI458742 B524278 IW524278 SS524278 ACO524278 AMK524278 AWG524278 BGC524278 BPY524278 BZU524278 CJQ524278 CTM524278 DDI524278 DNE524278 DXA524278 EGW524278 EQS524278 FAO524278 FKK524278 FUG524278 GEC524278 GNY524278 GXU524278 HHQ524278 HRM524278 IBI524278 ILE524278 IVA524278 JEW524278 JOS524278 JYO524278 KIK524278 KSG524278 LCC524278 LLY524278 LVU524278 MFQ524278 MPM524278 MZI524278 NJE524278 NTA524278 OCW524278 OMS524278 OWO524278 PGK524278 PQG524278 QAC524278 QJY524278 QTU524278 RDQ524278 RNM524278 RXI524278 SHE524278 SRA524278 TAW524278 TKS524278 TUO524278 UEK524278 UOG524278 UYC524278 VHY524278 VRU524278 WBQ524278 WLM524278 WVI524278 B589814 IW589814 SS589814 ACO589814 AMK589814 AWG589814 BGC589814 BPY589814 BZU589814 CJQ589814 CTM589814 DDI589814 DNE589814 DXA589814 EGW589814 EQS589814 FAO589814 FKK589814 FUG589814 GEC589814 GNY589814 GXU589814 HHQ589814 HRM589814 IBI589814 ILE589814 IVA589814 JEW589814 JOS589814 JYO589814 KIK589814 KSG589814 LCC589814 LLY589814 LVU589814 MFQ589814 MPM589814 MZI589814 NJE589814 NTA589814 OCW589814 OMS589814 OWO589814 PGK589814 PQG589814 QAC589814 QJY589814 QTU589814 RDQ589814 RNM589814 RXI589814 SHE589814 SRA589814 TAW589814 TKS589814 TUO589814 UEK589814 UOG589814 UYC589814 VHY589814 VRU589814 WBQ589814 WLM589814 WVI589814 B655350 IW655350 SS655350 ACO655350 AMK655350 AWG655350 BGC655350 BPY655350 BZU655350 CJQ655350 CTM655350 DDI655350 DNE655350 DXA655350 EGW655350 EQS655350 FAO655350 FKK655350 FUG655350 GEC655350 GNY655350 GXU655350 HHQ655350 HRM655350 IBI655350 ILE655350 IVA655350 JEW655350 JOS655350 JYO655350 KIK655350 KSG655350 LCC655350 LLY655350 LVU655350 MFQ655350 MPM655350 MZI655350 NJE655350 NTA655350 OCW655350 OMS655350 OWO655350 PGK655350 PQG655350 QAC655350 QJY655350 QTU655350 RDQ655350 RNM655350 RXI655350 SHE655350 SRA655350 TAW655350 TKS655350 TUO655350 UEK655350 UOG655350 UYC655350 VHY655350 VRU655350 WBQ655350 WLM655350 WVI655350 B720886 IW720886 SS720886 ACO720886 AMK720886 AWG720886 BGC720886 BPY720886 BZU720886 CJQ720886 CTM720886 DDI720886 DNE720886 DXA720886 EGW720886 EQS720886 FAO720886 FKK720886 FUG720886 GEC720886 GNY720886 GXU720886 HHQ720886 HRM720886 IBI720886 ILE720886 IVA720886 JEW720886 JOS720886 JYO720886 KIK720886 KSG720886 LCC720886 LLY720886 LVU720886 MFQ720886 MPM720886 MZI720886 NJE720886 NTA720886 OCW720886 OMS720886 OWO720886 PGK720886 PQG720886 QAC720886 QJY720886 QTU720886 RDQ720886 RNM720886 RXI720886 SHE720886 SRA720886 TAW720886 TKS720886 TUO720886 UEK720886 UOG720886 UYC720886 VHY720886 VRU720886 WBQ720886 WLM720886 WVI720886 B786422 IW786422 SS786422 ACO786422 AMK786422 AWG786422 BGC786422 BPY786422 BZU786422 CJQ786422 CTM786422 DDI786422 DNE786422 DXA786422 EGW786422 EQS786422 FAO786422 FKK786422 FUG786422 GEC786422 GNY786422 GXU786422 HHQ786422 HRM786422 IBI786422 ILE786422 IVA786422 JEW786422 JOS786422 JYO786422 KIK786422 KSG786422 LCC786422 LLY786422 LVU786422 MFQ786422 MPM786422 MZI786422 NJE786422 NTA786422 OCW786422 OMS786422 OWO786422 PGK786422 PQG786422 QAC786422 QJY786422 QTU786422 RDQ786422 RNM786422 RXI786422 SHE786422 SRA786422 TAW786422 TKS786422 TUO786422 UEK786422 UOG786422 UYC786422 VHY786422 VRU786422 WBQ786422 WLM786422 WVI786422 B851958 IW851958 SS851958 ACO851958 AMK851958 AWG851958 BGC851958 BPY851958 BZU851958 CJQ851958 CTM851958 DDI851958 DNE851958 DXA851958 EGW851958 EQS851958 FAO851958 FKK851958 FUG851958 GEC851958 GNY851958 GXU851958 HHQ851958 HRM851958 IBI851958 ILE851958 IVA851958 JEW851958 JOS851958 JYO851958 KIK851958 KSG851958 LCC851958 LLY851958 LVU851958 MFQ851958 MPM851958 MZI851958 NJE851958 NTA851958 OCW851958 OMS851958 OWO851958 PGK851958 PQG851958 QAC851958 QJY851958 QTU851958 RDQ851958 RNM851958 RXI851958 SHE851958 SRA851958 TAW851958 TKS851958 TUO851958 UEK851958 UOG851958 UYC851958 VHY851958 VRU851958 WBQ851958 WLM851958 WVI851958 B917494 IW917494 SS917494 ACO917494 AMK917494 AWG917494 BGC917494 BPY917494 BZU917494 CJQ917494 CTM917494 DDI917494 DNE917494 DXA917494 EGW917494 EQS917494 FAO917494 FKK917494 FUG917494 GEC917494 GNY917494 GXU917494 HHQ917494 HRM917494 IBI917494 ILE917494 IVA917494 JEW917494 JOS917494 JYO917494 KIK917494 KSG917494 LCC917494 LLY917494 LVU917494 MFQ917494 MPM917494 MZI917494 NJE917494 NTA917494 OCW917494 OMS917494 OWO917494 PGK917494 PQG917494 QAC917494 QJY917494 QTU917494 RDQ917494 RNM917494 RXI917494 SHE917494 SRA917494 TAW917494 TKS917494 TUO917494 UEK917494 UOG917494 UYC917494 VHY917494 VRU917494 WBQ917494 WLM917494 WVI917494 B983030 IW983030 SS983030 ACO983030 AMK983030 AWG983030 BGC983030 BPY983030 BZU983030 CJQ983030 CTM983030 DDI983030 DNE983030 DXA983030 EGW983030 EQS983030 FAO983030 FKK983030 FUG983030 GEC983030 GNY983030 GXU983030 HHQ983030 HRM983030 IBI983030 ILE983030 IVA983030 JEW983030 JOS983030 JYO983030 KIK983030 KSG983030 LCC983030 LLY983030 LVU983030 MFQ983030 MPM983030 MZI983030 NJE983030 NTA983030 OCW983030 OMS983030 OWO983030 PGK983030 PQG983030 QAC983030 QJY983030 QTU983030 RDQ983030 RNM983030 RXI983030 SHE983030 SRA983030 TAW983030 TKS983030 TUO983030 UEK983030 UOG983030 UYC983030 VHY983030 VRU983030 WBQ983030 WLM983030">
      <formula1>Demand</formula1>
    </dataValidation>
  </dataValidation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Impacts'!$A$12:$A$21</xm:f>
          </x14:formula1>
          <xm:sqref>B3</xm:sqref>
        </x14:dataValidation>
      </x14:dataValidations>
    </ext>
  </extLst>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4">
    <pageSetUpPr fitToPage="1"/>
  </sheetPr>
  <dimension ref="A1:J38"/>
  <sheetViews>
    <sheetView topLeftCell="A10" workbookViewId="0">
      <selection activeCell="C19" sqref="C19"/>
    </sheetView>
  </sheetViews>
  <sheetFormatPr defaultRowHeight="12.75" x14ac:dyDescent="0.2"/>
  <cols>
    <col min="1" max="1" width="64.7109375" bestFit="1" customWidth="1"/>
    <col min="2" max="2" width="20.7109375" bestFit="1" customWidth="1"/>
    <col min="3" max="3" width="12.28515625" bestFit="1"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48" t="s">
        <v>111</v>
      </c>
      <c r="B1" s="349"/>
      <c r="C1" s="349"/>
      <c r="D1" s="349"/>
      <c r="E1" s="349"/>
      <c r="F1" s="349"/>
      <c r="G1" s="349"/>
      <c r="H1" s="349"/>
      <c r="I1" s="349"/>
      <c r="J1" s="350"/>
    </row>
    <row r="3" spans="1:10" x14ac:dyDescent="0.2">
      <c r="A3" s="13" t="s">
        <v>13</v>
      </c>
      <c r="B3" s="13" t="s">
        <v>182</v>
      </c>
      <c r="C3" s="13" t="s">
        <v>127</v>
      </c>
    </row>
    <row r="4" spans="1:10" x14ac:dyDescent="0.2">
      <c r="A4" s="15" t="s">
        <v>62</v>
      </c>
      <c r="B4" s="79">
        <v>175000</v>
      </c>
      <c r="C4" s="79">
        <f>B4</f>
        <v>175000</v>
      </c>
    </row>
    <row r="5" spans="1:10" x14ac:dyDescent="0.2">
      <c r="A5" s="15" t="s">
        <v>16</v>
      </c>
      <c r="B5" s="79">
        <v>500</v>
      </c>
      <c r="C5" s="79">
        <f>B5</f>
        <v>500</v>
      </c>
    </row>
    <row r="6" spans="1:10" x14ac:dyDescent="0.2">
      <c r="A6" s="15" t="s">
        <v>20</v>
      </c>
      <c r="B6" s="80">
        <f>VLOOKUP($B$3,'Data for Bill Impacts'!$A$3:$Y$39,2,0)</f>
        <v>1.0563</v>
      </c>
      <c r="C6" s="80">
        <f>VLOOKUP($C$3,'Data for Bill Impacts'!$A$3:$Y$39,2,0)</f>
        <v>1.0564</v>
      </c>
    </row>
    <row r="7" spans="1:10" x14ac:dyDescent="0.2">
      <c r="A7" s="81" t="s">
        <v>49</v>
      </c>
      <c r="B7" s="82">
        <f>B4/(B5*730)</f>
        <v>0.47945205479452052</v>
      </c>
      <c r="C7" s="82">
        <f>C4/(C5*730)</f>
        <v>0.47945205479452052</v>
      </c>
    </row>
    <row r="8" spans="1:10" x14ac:dyDescent="0.2">
      <c r="A8" s="15" t="s">
        <v>15</v>
      </c>
      <c r="B8" s="79">
        <f>VLOOKUP($B$3,'Data for Bill Impacts'!$A$3:$Y$39,4,0)</f>
        <v>0</v>
      </c>
      <c r="C8" s="79">
        <f>VLOOKUP($C$3,'Data for Bill Impacts'!$A$3:$Y$39,4,0)</f>
        <v>0</v>
      </c>
    </row>
    <row r="9" spans="1:10" x14ac:dyDescent="0.2">
      <c r="A9" s="15" t="s">
        <v>82</v>
      </c>
      <c r="B9" s="79">
        <f>B4*B6</f>
        <v>184852.5</v>
      </c>
      <c r="C9" s="79">
        <f>C4*C6</f>
        <v>184870</v>
      </c>
    </row>
    <row r="10" spans="1:10" x14ac:dyDescent="0.2">
      <c r="A10" s="15" t="s">
        <v>21</v>
      </c>
      <c r="B10" s="16" t="s">
        <v>19</v>
      </c>
      <c r="C10" s="16" t="str">
        <f>VLOOKUP($C$3,'Data for Bill Impacts'!$A$3:$Y$39,6,0)</f>
        <v>kW</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3" t="s">
        <v>50</v>
      </c>
    </row>
    <row r="13" spans="1:10" x14ac:dyDescent="0.2">
      <c r="A13" s="101" t="s">
        <v>31</v>
      </c>
      <c r="B13" s="102">
        <f>C9</f>
        <v>184870</v>
      </c>
      <c r="C13" s="103">
        <v>0.10299999999999999</v>
      </c>
      <c r="D13" s="104">
        <f>B13*C13</f>
        <v>19041.61</v>
      </c>
      <c r="E13" s="102">
        <f>B9</f>
        <v>184852.5</v>
      </c>
      <c r="F13" s="103">
        <f>C13</f>
        <v>0.10299999999999999</v>
      </c>
      <c r="G13" s="104">
        <f>E13*F13</f>
        <v>19039.807499999999</v>
      </c>
      <c r="H13" s="104">
        <f>G13-D13</f>
        <v>-1.8025000000016007</v>
      </c>
      <c r="I13" s="105">
        <f>IF(ISERROR(H13/D13),0,(H13/D13))</f>
        <v>-9.4661113214775466E-5</v>
      </c>
      <c r="J13" s="124">
        <f t="shared" ref="J13:J36" si="0">G13/$G$36</f>
        <v>0.64855811792064533</v>
      </c>
    </row>
    <row r="14" spans="1:10" x14ac:dyDescent="0.2">
      <c r="A14" s="107" t="s">
        <v>32</v>
      </c>
      <c r="B14" s="73">
        <v>0</v>
      </c>
      <c r="C14" s="21">
        <v>0.121</v>
      </c>
      <c r="D14" s="22">
        <f>B14*C14</f>
        <v>0</v>
      </c>
      <c r="E14" s="73">
        <f t="shared" ref="E14" si="1">B14</f>
        <v>0</v>
      </c>
      <c r="F14" s="21">
        <f>C14</f>
        <v>0.121</v>
      </c>
      <c r="G14" s="22">
        <f>E14*F14</f>
        <v>0</v>
      </c>
      <c r="H14" s="22">
        <f t="shared" ref="H14:H36" si="2">G14-D14</f>
        <v>0</v>
      </c>
      <c r="I14" s="23">
        <f t="shared" ref="I14:I31" si="3">IF(ISERROR(H14/D14),0,(H14/D14))</f>
        <v>0</v>
      </c>
      <c r="J14" s="125">
        <f t="shared" si="0"/>
        <v>0</v>
      </c>
    </row>
    <row r="15" spans="1:10" s="1" customFormat="1" x14ac:dyDescent="0.2">
      <c r="A15" s="46" t="s">
        <v>33</v>
      </c>
      <c r="B15" s="24"/>
      <c r="C15" s="25"/>
      <c r="D15" s="25">
        <f>SUM(D13:D14)</f>
        <v>19041.61</v>
      </c>
      <c r="E15" s="76"/>
      <c r="F15" s="25"/>
      <c r="G15" s="25">
        <f>SUM(G13:G14)</f>
        <v>19039.807499999999</v>
      </c>
      <c r="H15" s="25">
        <f t="shared" si="2"/>
        <v>-1.8025000000016007</v>
      </c>
      <c r="I15" s="27">
        <f t="shared" si="3"/>
        <v>-9.4661113214775466E-5</v>
      </c>
      <c r="J15" s="47">
        <f t="shared" si="0"/>
        <v>0.64855811792064533</v>
      </c>
    </row>
    <row r="16" spans="1:10" s="1" customFormat="1" x14ac:dyDescent="0.2">
      <c r="A16" s="107" t="s">
        <v>38</v>
      </c>
      <c r="B16" s="73">
        <v>1</v>
      </c>
      <c r="C16" s="122">
        <f>VLOOKUP($C$3,'Data for Bill Impacts'!$A$3:$Y$39,7,0)</f>
        <v>245.55</v>
      </c>
      <c r="D16" s="22">
        <f>B16*C16</f>
        <v>245.55</v>
      </c>
      <c r="E16" s="73">
        <f t="shared" ref="E16:E31" si="4">B16</f>
        <v>1</v>
      </c>
      <c r="F16" s="78">
        <f>VLOOKUP($B$3,'Data for Bill Impacts'!$A$3:$Y$39,17,0)</f>
        <v>208.51</v>
      </c>
      <c r="G16" s="22">
        <f>E16*F16</f>
        <v>208.51</v>
      </c>
      <c r="H16" s="22">
        <f t="shared" si="2"/>
        <v>-37.04000000000002</v>
      </c>
      <c r="I16" s="23">
        <f t="shared" si="3"/>
        <v>-0.15084504174302593</v>
      </c>
      <c r="J16" s="125">
        <f t="shared" si="0"/>
        <v>7.1025325843044242E-3</v>
      </c>
    </row>
    <row r="17" spans="1:10" x14ac:dyDescent="0.2">
      <c r="A17" s="107" t="s">
        <v>188</v>
      </c>
      <c r="B17" s="73">
        <v>1</v>
      </c>
      <c r="C17" s="122">
        <f>'Data for Bill Impacts'!K36</f>
        <v>-3.61</v>
      </c>
      <c r="D17" s="22">
        <f>B17*C17</f>
        <v>-3.61</v>
      </c>
      <c r="E17" s="73">
        <f t="shared" si="4"/>
        <v>1</v>
      </c>
      <c r="F17" s="122">
        <v>0</v>
      </c>
      <c r="G17" s="22">
        <f t="shared" ref="G17" si="5">E17*F17</f>
        <v>0</v>
      </c>
      <c r="H17" s="22">
        <f t="shared" si="2"/>
        <v>3.61</v>
      </c>
      <c r="I17" s="23">
        <f t="shared" si="3"/>
        <v>-1</v>
      </c>
      <c r="J17" s="125">
        <f t="shared" si="0"/>
        <v>0</v>
      </c>
    </row>
    <row r="18" spans="1:10" x14ac:dyDescent="0.2">
      <c r="A18" s="107" t="s">
        <v>39</v>
      </c>
      <c r="B18" s="73">
        <f>IF($C$10="kWh",$C$4,$C$5)</f>
        <v>500</v>
      </c>
      <c r="C18" s="126">
        <f>VLOOKUP($C$3,'Data for Bill Impacts'!$A$3:$Y$39,10,0)</f>
        <v>3.9601999999999999</v>
      </c>
      <c r="D18" s="22">
        <f>B18*C18</f>
        <v>1980.1</v>
      </c>
      <c r="E18" s="73">
        <f>B5</f>
        <v>500</v>
      </c>
      <c r="F18" s="126">
        <f>VLOOKUP($B$3,'Data for Bill Impacts'!$A$3:$Y$39,19,0)</f>
        <v>5.14</v>
      </c>
      <c r="G18" s="22">
        <f>E18*F18</f>
        <v>2570</v>
      </c>
      <c r="H18" s="22">
        <f t="shared" si="2"/>
        <v>589.90000000000009</v>
      </c>
      <c r="I18" s="23">
        <f t="shared" si="3"/>
        <v>0.29791424675521444</v>
      </c>
      <c r="J18" s="125">
        <f t="shared" si="0"/>
        <v>8.7542605830235334E-2</v>
      </c>
    </row>
    <row r="19" spans="1:10" x14ac:dyDescent="0.2">
      <c r="A19" s="107" t="s">
        <v>189</v>
      </c>
      <c r="B19" s="73">
        <f>IF($C$10="kWh",$C$4,$C$5)</f>
        <v>500</v>
      </c>
      <c r="C19" s="126">
        <f>'Data for Bill Impacts'!H36</f>
        <v>0.30499999999999999</v>
      </c>
      <c r="D19" s="22">
        <f>B19*C19</f>
        <v>152.5</v>
      </c>
      <c r="E19" s="73">
        <f>B5</f>
        <v>500</v>
      </c>
      <c r="F19" s="126">
        <v>0</v>
      </c>
      <c r="G19" s="22">
        <f>E19*F19</f>
        <v>0</v>
      </c>
      <c r="H19" s="22">
        <f t="shared" ref="H19" si="6">G19-D19</f>
        <v>-152.5</v>
      </c>
      <c r="I19" s="23">
        <f t="shared" ref="I19" si="7">IF(ISERROR(H19/D19),0,(H19/D19))</f>
        <v>-1</v>
      </c>
      <c r="J19" s="125">
        <f t="shared" si="0"/>
        <v>0</v>
      </c>
    </row>
    <row r="20" spans="1:10" s="1" customFormat="1" x14ac:dyDescent="0.2">
      <c r="A20" s="107" t="s">
        <v>190</v>
      </c>
      <c r="B20" s="73">
        <f>IF($B$10="kWh",$B$4,$B$5)</f>
        <v>500</v>
      </c>
      <c r="C20" s="78">
        <f>'Data for Bill Impacts'!L36</f>
        <v>-5.8299999999999998E-2</v>
      </c>
      <c r="D20" s="22">
        <f>B20*C20</f>
        <v>-29.15</v>
      </c>
      <c r="E20" s="73">
        <f>B20</f>
        <v>500</v>
      </c>
      <c r="F20" s="126">
        <v>0</v>
      </c>
      <c r="G20" s="22">
        <f>E20*F20</f>
        <v>0</v>
      </c>
      <c r="H20" s="22">
        <f>G20-D20</f>
        <v>29.15</v>
      </c>
      <c r="I20" s="23">
        <f>IF(ISERROR(H20/D20),0,(H20/D20))</f>
        <v>-1</v>
      </c>
      <c r="J20" s="125">
        <f t="shared" si="0"/>
        <v>0</v>
      </c>
    </row>
    <row r="21" spans="1:10" x14ac:dyDescent="0.2">
      <c r="A21" s="110" t="s">
        <v>79</v>
      </c>
      <c r="B21" s="74"/>
      <c r="C21" s="35"/>
      <c r="D21" s="35">
        <f>SUM(D16:D20)</f>
        <v>2345.39</v>
      </c>
      <c r="E21" s="73"/>
      <c r="F21" s="35"/>
      <c r="G21" s="35">
        <f>SUM(G16:G20)</f>
        <v>2778.51</v>
      </c>
      <c r="H21" s="35">
        <f t="shared" si="2"/>
        <v>433.12000000000035</v>
      </c>
      <c r="I21" s="36">
        <f t="shared" si="3"/>
        <v>0.18466864785813888</v>
      </c>
      <c r="J21" s="111">
        <f t="shared" si="0"/>
        <v>9.4645138414539767E-2</v>
      </c>
    </row>
    <row r="22" spans="1:10" x14ac:dyDescent="0.2">
      <c r="A22" s="107" t="s">
        <v>40</v>
      </c>
      <c r="B22" s="73">
        <f>C5</f>
        <v>500</v>
      </c>
      <c r="C22" s="126">
        <f>VLOOKUP($C$3,'Data for Bill Impacts'!$A$3:$Y$39,15,0)</f>
        <v>2.5453999999999999</v>
      </c>
      <c r="D22" s="22">
        <f>B22*C22</f>
        <v>1272.7</v>
      </c>
      <c r="E22" s="73">
        <f>B5</f>
        <v>500</v>
      </c>
      <c r="F22" s="78">
        <f>VLOOKUP($B$3,'Data for Bill Impacts'!$A$3:$Y$39,24,0)</f>
        <v>1.8483000000000001</v>
      </c>
      <c r="G22" s="22">
        <f>E22*F22</f>
        <v>924.15</v>
      </c>
      <c r="H22" s="22">
        <f t="shared" si="2"/>
        <v>-348.55000000000007</v>
      </c>
      <c r="I22" s="23">
        <f t="shared" si="3"/>
        <v>-0.27386658285534693</v>
      </c>
      <c r="J22" s="125">
        <f t="shared" si="0"/>
        <v>3.1479571664596105E-2</v>
      </c>
    </row>
    <row r="23" spans="1:10" s="1" customFormat="1" x14ac:dyDescent="0.2">
      <c r="A23" s="107" t="s">
        <v>41</v>
      </c>
      <c r="B23" s="73">
        <f>C5</f>
        <v>500</v>
      </c>
      <c r="C23" s="126">
        <f>VLOOKUP($C$3,'Data for Bill Impacts'!$A$3:$Y$39,16,0)</f>
        <v>1.2384999999999999</v>
      </c>
      <c r="D23" s="22">
        <f>B23*C23</f>
        <v>619.25</v>
      </c>
      <c r="E23" s="73">
        <f>B5</f>
        <v>500</v>
      </c>
      <c r="F23" s="78">
        <f>VLOOKUP($B$3,'Data for Bill Impacts'!$A$3:$Y$39,25,0)</f>
        <v>1.5101</v>
      </c>
      <c r="G23" s="22">
        <f>E23*F23</f>
        <v>755.05</v>
      </c>
      <c r="H23" s="22">
        <f t="shared" si="2"/>
        <v>135.79999999999995</v>
      </c>
      <c r="I23" s="23">
        <f t="shared" si="3"/>
        <v>0.21929753734356069</v>
      </c>
      <c r="J23" s="125">
        <f t="shared" si="0"/>
        <v>2.5719472580591124E-2</v>
      </c>
    </row>
    <row r="24" spans="1:10" x14ac:dyDescent="0.2">
      <c r="A24" s="110" t="s">
        <v>76</v>
      </c>
      <c r="B24" s="74"/>
      <c r="C24" s="35"/>
      <c r="D24" s="35">
        <f>SUM(D22:D23)</f>
        <v>1891.95</v>
      </c>
      <c r="E24" s="73"/>
      <c r="F24" s="35"/>
      <c r="G24" s="35">
        <f>SUM(G22:G23)</f>
        <v>1679.1999999999998</v>
      </c>
      <c r="H24" s="35">
        <f t="shared" si="2"/>
        <v>-212.75000000000023</v>
      </c>
      <c r="I24" s="36">
        <f t="shared" si="3"/>
        <v>-0.11245011760353087</v>
      </c>
      <c r="J24" s="111">
        <f t="shared" si="0"/>
        <v>5.7199044245187222E-2</v>
      </c>
    </row>
    <row r="25" spans="1:10" s="1" customFormat="1" x14ac:dyDescent="0.2">
      <c r="A25" s="110" t="s">
        <v>80</v>
      </c>
      <c r="B25" s="74"/>
      <c r="C25" s="35"/>
      <c r="D25" s="35">
        <f>D21+D24</f>
        <v>4237.34</v>
      </c>
      <c r="E25" s="73"/>
      <c r="F25" s="35"/>
      <c r="G25" s="35">
        <f>G21+G24</f>
        <v>4457.71</v>
      </c>
      <c r="H25" s="35">
        <f t="shared" si="2"/>
        <v>220.36999999999989</v>
      </c>
      <c r="I25" s="36">
        <f t="shared" si="3"/>
        <v>5.2006683438194687E-2</v>
      </c>
      <c r="J25" s="111">
        <f t="shared" si="0"/>
        <v>0.15184418265972699</v>
      </c>
    </row>
    <row r="26" spans="1:10" x14ac:dyDescent="0.2">
      <c r="A26" s="107" t="s">
        <v>42</v>
      </c>
      <c r="B26" s="73">
        <f>$C$9</f>
        <v>184870</v>
      </c>
      <c r="C26" s="34">
        <v>3.5999999999999999E-3</v>
      </c>
      <c r="D26" s="22">
        <f>B26*C26</f>
        <v>665.53199999999993</v>
      </c>
      <c r="E26" s="73">
        <f>$B$9</f>
        <v>184852.5</v>
      </c>
      <c r="F26" s="34">
        <v>3.5999999999999999E-3</v>
      </c>
      <c r="G26" s="22">
        <f>E26*F26</f>
        <v>665.46899999999994</v>
      </c>
      <c r="H26" s="22">
        <f t="shared" si="2"/>
        <v>-6.2999999999988177E-2</v>
      </c>
      <c r="I26" s="23">
        <f t="shared" si="3"/>
        <v>-9.4661113214673646E-5</v>
      </c>
      <c r="J26" s="125">
        <f t="shared" si="0"/>
        <v>2.2668050723440029E-2</v>
      </c>
    </row>
    <row r="27" spans="1:10" x14ac:dyDescent="0.2">
      <c r="A27" s="107" t="s">
        <v>43</v>
      </c>
      <c r="B27" s="73">
        <f>$C$9</f>
        <v>184870</v>
      </c>
      <c r="C27" s="34">
        <v>2.0999999999999999E-3</v>
      </c>
      <c r="D27" s="22">
        <f>B27*C27</f>
        <v>388.22699999999998</v>
      </c>
      <c r="E27" s="73">
        <f>$B$9</f>
        <v>184852.5</v>
      </c>
      <c r="F27" s="34">
        <v>2.0999999999999999E-3</v>
      </c>
      <c r="G27" s="22">
        <f>E27*F27</f>
        <v>388.19024999999999</v>
      </c>
      <c r="H27" s="22">
        <f>G27-D27</f>
        <v>-3.6749999999983629E-2</v>
      </c>
      <c r="I27" s="23">
        <f t="shared" si="3"/>
        <v>-9.4661113214649238E-5</v>
      </c>
      <c r="J27" s="125">
        <f t="shared" si="0"/>
        <v>1.322302958867335E-2</v>
      </c>
    </row>
    <row r="28" spans="1:10" x14ac:dyDescent="0.2">
      <c r="A28" s="107" t="s">
        <v>100</v>
      </c>
      <c r="B28" s="73">
        <f>$C$9</f>
        <v>184870</v>
      </c>
      <c r="C28" s="34">
        <v>1.1000000000000001E-3</v>
      </c>
      <c r="D28" s="22">
        <f>B28*C28</f>
        <v>203.357</v>
      </c>
      <c r="E28" s="73">
        <f>$B$9</f>
        <v>184852.5</v>
      </c>
      <c r="F28" s="34">
        <v>1.1000000000000001E-3</v>
      </c>
      <c r="G28" s="22">
        <f>E28*F28</f>
        <v>203.33775</v>
      </c>
      <c r="H28" s="22">
        <f>G28-D28</f>
        <v>-1.9249999999999545E-2</v>
      </c>
      <c r="I28" s="23">
        <f t="shared" si="3"/>
        <v>-9.4661113214689164E-5</v>
      </c>
      <c r="J28" s="125">
        <f t="shared" si="0"/>
        <v>6.9263488321622321E-3</v>
      </c>
    </row>
    <row r="29" spans="1:10" x14ac:dyDescent="0.2">
      <c r="A29" s="107" t="s">
        <v>44</v>
      </c>
      <c r="B29" s="73">
        <v>1</v>
      </c>
      <c r="C29" s="22">
        <v>0.25</v>
      </c>
      <c r="D29" s="22">
        <f>B29*C29</f>
        <v>0.25</v>
      </c>
      <c r="E29" s="73">
        <f t="shared" si="4"/>
        <v>1</v>
      </c>
      <c r="F29" s="22">
        <f>C29</f>
        <v>0.25</v>
      </c>
      <c r="G29" s="22">
        <f>E29*F29</f>
        <v>0.25</v>
      </c>
      <c r="H29" s="22">
        <f t="shared" si="2"/>
        <v>0</v>
      </c>
      <c r="I29" s="23">
        <f t="shared" si="3"/>
        <v>0</v>
      </c>
      <c r="J29" s="125">
        <f t="shared" si="0"/>
        <v>8.515817687766083E-6</v>
      </c>
    </row>
    <row r="30" spans="1:10" x14ac:dyDescent="0.2">
      <c r="A30" s="110" t="s">
        <v>45</v>
      </c>
      <c r="B30" s="74"/>
      <c r="C30" s="35"/>
      <c r="D30" s="35">
        <f>SUM(D26:D29)</f>
        <v>1257.366</v>
      </c>
      <c r="E30" s="73"/>
      <c r="F30" s="35"/>
      <c r="G30" s="35">
        <f>SUM(G26:G29)</f>
        <v>1257.2469999999998</v>
      </c>
      <c r="H30" s="35">
        <f t="shared" si="2"/>
        <v>-0.11900000000014188</v>
      </c>
      <c r="I30" s="36">
        <f t="shared" si="3"/>
        <v>-9.4642291902391099E-5</v>
      </c>
      <c r="J30" s="111">
        <f t="shared" si="0"/>
        <v>4.2825944961963375E-2</v>
      </c>
    </row>
    <row r="31" spans="1:10" ht="13.5" thickBot="1" x14ac:dyDescent="0.25">
      <c r="A31" s="112" t="s">
        <v>46</v>
      </c>
      <c r="B31" s="113">
        <f>B4</f>
        <v>175000</v>
      </c>
      <c r="C31" s="114">
        <v>7.0000000000000001E-3</v>
      </c>
      <c r="D31" s="115">
        <f>B31*C31</f>
        <v>1225</v>
      </c>
      <c r="E31" s="116">
        <f t="shared" si="4"/>
        <v>175000</v>
      </c>
      <c r="F31" s="114">
        <f>C31</f>
        <v>7.0000000000000001E-3</v>
      </c>
      <c r="G31" s="115">
        <f>E31*F31</f>
        <v>1225</v>
      </c>
      <c r="H31" s="115">
        <f t="shared" si="2"/>
        <v>0</v>
      </c>
      <c r="I31" s="117">
        <f t="shared" si="3"/>
        <v>0</v>
      </c>
      <c r="J31" s="118">
        <f t="shared" si="0"/>
        <v>4.1727506670053809E-2</v>
      </c>
    </row>
    <row r="32" spans="1:10" x14ac:dyDescent="0.2">
      <c r="A32" s="37" t="s">
        <v>146</v>
      </c>
      <c r="B32" s="38"/>
      <c r="C32" s="39"/>
      <c r="D32" s="39">
        <f>SUM(D15,D21,D24,D30,D31)</f>
        <v>25761.315999999999</v>
      </c>
      <c r="E32" s="38"/>
      <c r="F32" s="39"/>
      <c r="G32" s="39">
        <f>SUM(G15,G21,G24,G30,G31)</f>
        <v>25979.764499999997</v>
      </c>
      <c r="H32" s="39">
        <f t="shared" si="2"/>
        <v>218.4484999999986</v>
      </c>
      <c r="I32" s="40">
        <f>IF(ISERROR(H32/D32),0,(H32/D32))</f>
        <v>8.4797104309422156E-3</v>
      </c>
      <c r="J32" s="41">
        <f t="shared" si="0"/>
        <v>0.88495575221238942</v>
      </c>
    </row>
    <row r="33" spans="1:10" x14ac:dyDescent="0.2">
      <c r="A33" s="46" t="s">
        <v>138</v>
      </c>
      <c r="B33" s="43"/>
      <c r="C33" s="26">
        <v>0.13</v>
      </c>
      <c r="D33" s="26">
        <f>D32*C33</f>
        <v>3348.9710799999998</v>
      </c>
      <c r="E33" s="26"/>
      <c r="F33" s="26">
        <f>C33</f>
        <v>0.13</v>
      </c>
      <c r="G33" s="26">
        <f>G32*F33</f>
        <v>3377.369385</v>
      </c>
      <c r="H33" s="26">
        <f t="shared" si="2"/>
        <v>28.398305000000164</v>
      </c>
      <c r="I33" s="44">
        <f t="shared" ref="I33:I36" si="8">IF(ISERROR(H33/D33),0,(H33/D33))</f>
        <v>8.4797104309423197E-3</v>
      </c>
      <c r="J33" s="45">
        <f t="shared" si="0"/>
        <v>0.11504424778761063</v>
      </c>
    </row>
    <row r="34" spans="1:10" x14ac:dyDescent="0.2">
      <c r="A34" s="46" t="s">
        <v>139</v>
      </c>
      <c r="B34" s="24"/>
      <c r="C34" s="25"/>
      <c r="D34" s="25">
        <f>SUM(D32:D33)</f>
        <v>29110.287079999998</v>
      </c>
      <c r="E34" s="25"/>
      <c r="F34" s="25"/>
      <c r="G34" s="25">
        <f>SUM(G32:G33)</f>
        <v>29357.133884999996</v>
      </c>
      <c r="H34" s="25">
        <f t="shared" si="2"/>
        <v>246.8468049999974</v>
      </c>
      <c r="I34" s="27">
        <f t="shared" si="8"/>
        <v>8.4797104309421809E-3</v>
      </c>
      <c r="J34" s="47">
        <f t="shared" si="0"/>
        <v>1</v>
      </c>
    </row>
    <row r="35" spans="1:10" x14ac:dyDescent="0.2">
      <c r="A35" s="46" t="s">
        <v>140</v>
      </c>
      <c r="B35" s="43"/>
      <c r="C35" s="26">
        <v>0</v>
      </c>
      <c r="D35" s="26">
        <f>D32*C35</f>
        <v>0</v>
      </c>
      <c r="E35" s="26"/>
      <c r="F35" s="26">
        <f>C35</f>
        <v>0</v>
      </c>
      <c r="G35" s="26">
        <f>G32*F35</f>
        <v>0</v>
      </c>
      <c r="H35" s="26">
        <f t="shared" si="2"/>
        <v>0</v>
      </c>
      <c r="I35" s="44">
        <f t="shared" si="8"/>
        <v>0</v>
      </c>
      <c r="J35" s="45">
        <f t="shared" si="0"/>
        <v>0</v>
      </c>
    </row>
    <row r="36" spans="1:10" ht="13.5" thickBot="1" x14ac:dyDescent="0.25">
      <c r="A36" s="46" t="s">
        <v>141</v>
      </c>
      <c r="B36" s="49"/>
      <c r="C36" s="50"/>
      <c r="D36" s="50">
        <f>SUM(D34:D35)</f>
        <v>29110.287079999998</v>
      </c>
      <c r="E36" s="50"/>
      <c r="F36" s="50"/>
      <c r="G36" s="50">
        <f>SUM(G34:G35)</f>
        <v>29357.133884999996</v>
      </c>
      <c r="H36" s="50">
        <f t="shared" si="2"/>
        <v>246.8468049999974</v>
      </c>
      <c r="I36" s="51">
        <f t="shared" si="8"/>
        <v>8.4797104309421809E-3</v>
      </c>
      <c r="J36" s="52">
        <f t="shared" si="0"/>
        <v>1</v>
      </c>
    </row>
    <row r="37" spans="1:10" x14ac:dyDescent="0.2">
      <c r="F37" s="69"/>
    </row>
    <row r="38" spans="1:10" x14ac:dyDescent="0.2">
      <c r="F38" s="69"/>
    </row>
  </sheetData>
  <mergeCells count="1">
    <mergeCell ref="A1:J1"/>
  </mergeCells>
  <dataValidations count="1">
    <dataValidation type="list" allowBlank="1" showInputMessage="1" showErrorMessage="1" sqref="WVI983030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6 IW65526 SS65526 ACO65526 AMK65526 AWG65526 BGC65526 BPY65526 BZU65526 CJQ65526 CTM65526 DDI65526 DNE65526 DXA65526 EGW65526 EQS65526 FAO65526 FKK65526 FUG65526 GEC65526 GNY65526 GXU65526 HHQ65526 HRM65526 IBI65526 ILE65526 IVA65526 JEW65526 JOS65526 JYO65526 KIK65526 KSG65526 LCC65526 LLY65526 LVU65526 MFQ65526 MPM65526 MZI65526 NJE65526 NTA65526 OCW65526 OMS65526 OWO65526 PGK65526 PQG65526 QAC65526 QJY65526 QTU65526 RDQ65526 RNM65526 RXI65526 SHE65526 SRA65526 TAW65526 TKS65526 TUO65526 UEK65526 UOG65526 UYC65526 VHY65526 VRU65526 WBQ65526 WLM65526 WVI65526 B131062 IW131062 SS131062 ACO131062 AMK131062 AWG131062 BGC131062 BPY131062 BZU131062 CJQ131062 CTM131062 DDI131062 DNE131062 DXA131062 EGW131062 EQS131062 FAO131062 FKK131062 FUG131062 GEC131062 GNY131062 GXU131062 HHQ131062 HRM131062 IBI131062 ILE131062 IVA131062 JEW131062 JOS131062 JYO131062 KIK131062 KSG131062 LCC131062 LLY131062 LVU131062 MFQ131062 MPM131062 MZI131062 NJE131062 NTA131062 OCW131062 OMS131062 OWO131062 PGK131062 PQG131062 QAC131062 QJY131062 QTU131062 RDQ131062 RNM131062 RXI131062 SHE131062 SRA131062 TAW131062 TKS131062 TUO131062 UEK131062 UOG131062 UYC131062 VHY131062 VRU131062 WBQ131062 WLM131062 WVI131062 B196598 IW196598 SS196598 ACO196598 AMK196598 AWG196598 BGC196598 BPY196598 BZU196598 CJQ196598 CTM196598 DDI196598 DNE196598 DXA196598 EGW196598 EQS196598 FAO196598 FKK196598 FUG196598 GEC196598 GNY196598 GXU196598 HHQ196598 HRM196598 IBI196598 ILE196598 IVA196598 JEW196598 JOS196598 JYO196598 KIK196598 KSG196598 LCC196598 LLY196598 LVU196598 MFQ196598 MPM196598 MZI196598 NJE196598 NTA196598 OCW196598 OMS196598 OWO196598 PGK196598 PQG196598 QAC196598 QJY196598 QTU196598 RDQ196598 RNM196598 RXI196598 SHE196598 SRA196598 TAW196598 TKS196598 TUO196598 UEK196598 UOG196598 UYC196598 VHY196598 VRU196598 WBQ196598 WLM196598 WVI196598 B262134 IW262134 SS262134 ACO262134 AMK262134 AWG262134 BGC262134 BPY262134 BZU262134 CJQ262134 CTM262134 DDI262134 DNE262134 DXA262134 EGW262134 EQS262134 FAO262134 FKK262134 FUG262134 GEC262134 GNY262134 GXU262134 HHQ262134 HRM262134 IBI262134 ILE262134 IVA262134 JEW262134 JOS262134 JYO262134 KIK262134 KSG262134 LCC262134 LLY262134 LVU262134 MFQ262134 MPM262134 MZI262134 NJE262134 NTA262134 OCW262134 OMS262134 OWO262134 PGK262134 PQG262134 QAC262134 QJY262134 QTU262134 RDQ262134 RNM262134 RXI262134 SHE262134 SRA262134 TAW262134 TKS262134 TUO262134 UEK262134 UOG262134 UYC262134 VHY262134 VRU262134 WBQ262134 WLM262134 WVI262134 B327670 IW327670 SS327670 ACO327670 AMK327670 AWG327670 BGC327670 BPY327670 BZU327670 CJQ327670 CTM327670 DDI327670 DNE327670 DXA327670 EGW327670 EQS327670 FAO327670 FKK327670 FUG327670 GEC327670 GNY327670 GXU327670 HHQ327670 HRM327670 IBI327670 ILE327670 IVA327670 JEW327670 JOS327670 JYO327670 KIK327670 KSG327670 LCC327670 LLY327670 LVU327670 MFQ327670 MPM327670 MZI327670 NJE327670 NTA327670 OCW327670 OMS327670 OWO327670 PGK327670 PQG327670 QAC327670 QJY327670 QTU327670 RDQ327670 RNM327670 RXI327670 SHE327670 SRA327670 TAW327670 TKS327670 TUO327670 UEK327670 UOG327670 UYC327670 VHY327670 VRU327670 WBQ327670 WLM327670 WVI327670 B393206 IW393206 SS393206 ACO393206 AMK393206 AWG393206 BGC393206 BPY393206 BZU393206 CJQ393206 CTM393206 DDI393206 DNE393206 DXA393206 EGW393206 EQS393206 FAO393206 FKK393206 FUG393206 GEC393206 GNY393206 GXU393206 HHQ393206 HRM393206 IBI393206 ILE393206 IVA393206 JEW393206 JOS393206 JYO393206 KIK393206 KSG393206 LCC393206 LLY393206 LVU393206 MFQ393206 MPM393206 MZI393206 NJE393206 NTA393206 OCW393206 OMS393206 OWO393206 PGK393206 PQG393206 QAC393206 QJY393206 QTU393206 RDQ393206 RNM393206 RXI393206 SHE393206 SRA393206 TAW393206 TKS393206 TUO393206 UEK393206 UOG393206 UYC393206 VHY393206 VRU393206 WBQ393206 WLM393206 WVI393206 B458742 IW458742 SS458742 ACO458742 AMK458742 AWG458742 BGC458742 BPY458742 BZU458742 CJQ458742 CTM458742 DDI458742 DNE458742 DXA458742 EGW458742 EQS458742 FAO458742 FKK458742 FUG458742 GEC458742 GNY458742 GXU458742 HHQ458742 HRM458742 IBI458742 ILE458742 IVA458742 JEW458742 JOS458742 JYO458742 KIK458742 KSG458742 LCC458742 LLY458742 LVU458742 MFQ458742 MPM458742 MZI458742 NJE458742 NTA458742 OCW458742 OMS458742 OWO458742 PGK458742 PQG458742 QAC458742 QJY458742 QTU458742 RDQ458742 RNM458742 RXI458742 SHE458742 SRA458742 TAW458742 TKS458742 TUO458742 UEK458742 UOG458742 UYC458742 VHY458742 VRU458742 WBQ458742 WLM458742 WVI458742 B524278 IW524278 SS524278 ACO524278 AMK524278 AWG524278 BGC524278 BPY524278 BZU524278 CJQ524278 CTM524278 DDI524278 DNE524278 DXA524278 EGW524278 EQS524278 FAO524278 FKK524278 FUG524278 GEC524278 GNY524278 GXU524278 HHQ524278 HRM524278 IBI524278 ILE524278 IVA524278 JEW524278 JOS524278 JYO524278 KIK524278 KSG524278 LCC524278 LLY524278 LVU524278 MFQ524278 MPM524278 MZI524278 NJE524278 NTA524278 OCW524278 OMS524278 OWO524278 PGK524278 PQG524278 QAC524278 QJY524278 QTU524278 RDQ524278 RNM524278 RXI524278 SHE524278 SRA524278 TAW524278 TKS524278 TUO524278 UEK524278 UOG524278 UYC524278 VHY524278 VRU524278 WBQ524278 WLM524278 WVI524278 B589814 IW589814 SS589814 ACO589814 AMK589814 AWG589814 BGC589814 BPY589814 BZU589814 CJQ589814 CTM589814 DDI589814 DNE589814 DXA589814 EGW589814 EQS589814 FAO589814 FKK589814 FUG589814 GEC589814 GNY589814 GXU589814 HHQ589814 HRM589814 IBI589814 ILE589814 IVA589814 JEW589814 JOS589814 JYO589814 KIK589814 KSG589814 LCC589814 LLY589814 LVU589814 MFQ589814 MPM589814 MZI589814 NJE589814 NTA589814 OCW589814 OMS589814 OWO589814 PGK589814 PQG589814 QAC589814 QJY589814 QTU589814 RDQ589814 RNM589814 RXI589814 SHE589814 SRA589814 TAW589814 TKS589814 TUO589814 UEK589814 UOG589814 UYC589814 VHY589814 VRU589814 WBQ589814 WLM589814 WVI589814 B655350 IW655350 SS655350 ACO655350 AMK655350 AWG655350 BGC655350 BPY655350 BZU655350 CJQ655350 CTM655350 DDI655350 DNE655350 DXA655350 EGW655350 EQS655350 FAO655350 FKK655350 FUG655350 GEC655350 GNY655350 GXU655350 HHQ655350 HRM655350 IBI655350 ILE655350 IVA655350 JEW655350 JOS655350 JYO655350 KIK655350 KSG655350 LCC655350 LLY655350 LVU655350 MFQ655350 MPM655350 MZI655350 NJE655350 NTA655350 OCW655350 OMS655350 OWO655350 PGK655350 PQG655350 QAC655350 QJY655350 QTU655350 RDQ655350 RNM655350 RXI655350 SHE655350 SRA655350 TAW655350 TKS655350 TUO655350 UEK655350 UOG655350 UYC655350 VHY655350 VRU655350 WBQ655350 WLM655350 WVI655350 B720886 IW720886 SS720886 ACO720886 AMK720886 AWG720886 BGC720886 BPY720886 BZU720886 CJQ720886 CTM720886 DDI720886 DNE720886 DXA720886 EGW720886 EQS720886 FAO720886 FKK720886 FUG720886 GEC720886 GNY720886 GXU720886 HHQ720886 HRM720886 IBI720886 ILE720886 IVA720886 JEW720886 JOS720886 JYO720886 KIK720886 KSG720886 LCC720886 LLY720886 LVU720886 MFQ720886 MPM720886 MZI720886 NJE720886 NTA720886 OCW720886 OMS720886 OWO720886 PGK720886 PQG720886 QAC720886 QJY720886 QTU720886 RDQ720886 RNM720886 RXI720886 SHE720886 SRA720886 TAW720886 TKS720886 TUO720886 UEK720886 UOG720886 UYC720886 VHY720886 VRU720886 WBQ720886 WLM720886 WVI720886 B786422 IW786422 SS786422 ACO786422 AMK786422 AWG786422 BGC786422 BPY786422 BZU786422 CJQ786422 CTM786422 DDI786422 DNE786422 DXA786422 EGW786422 EQS786422 FAO786422 FKK786422 FUG786422 GEC786422 GNY786422 GXU786422 HHQ786422 HRM786422 IBI786422 ILE786422 IVA786422 JEW786422 JOS786422 JYO786422 KIK786422 KSG786422 LCC786422 LLY786422 LVU786422 MFQ786422 MPM786422 MZI786422 NJE786422 NTA786422 OCW786422 OMS786422 OWO786422 PGK786422 PQG786422 QAC786422 QJY786422 QTU786422 RDQ786422 RNM786422 RXI786422 SHE786422 SRA786422 TAW786422 TKS786422 TUO786422 UEK786422 UOG786422 UYC786422 VHY786422 VRU786422 WBQ786422 WLM786422 WVI786422 B851958 IW851958 SS851958 ACO851958 AMK851958 AWG851958 BGC851958 BPY851958 BZU851958 CJQ851958 CTM851958 DDI851958 DNE851958 DXA851958 EGW851958 EQS851958 FAO851958 FKK851958 FUG851958 GEC851958 GNY851958 GXU851958 HHQ851958 HRM851958 IBI851958 ILE851958 IVA851958 JEW851958 JOS851958 JYO851958 KIK851958 KSG851958 LCC851958 LLY851958 LVU851958 MFQ851958 MPM851958 MZI851958 NJE851958 NTA851958 OCW851958 OMS851958 OWO851958 PGK851958 PQG851958 QAC851958 QJY851958 QTU851958 RDQ851958 RNM851958 RXI851958 SHE851958 SRA851958 TAW851958 TKS851958 TUO851958 UEK851958 UOG851958 UYC851958 VHY851958 VRU851958 WBQ851958 WLM851958 WVI851958 B917494 IW917494 SS917494 ACO917494 AMK917494 AWG917494 BGC917494 BPY917494 BZU917494 CJQ917494 CTM917494 DDI917494 DNE917494 DXA917494 EGW917494 EQS917494 FAO917494 FKK917494 FUG917494 GEC917494 GNY917494 GXU917494 HHQ917494 HRM917494 IBI917494 ILE917494 IVA917494 JEW917494 JOS917494 JYO917494 KIK917494 KSG917494 LCC917494 LLY917494 LVU917494 MFQ917494 MPM917494 MZI917494 NJE917494 NTA917494 OCW917494 OMS917494 OWO917494 PGK917494 PQG917494 QAC917494 QJY917494 QTU917494 RDQ917494 RNM917494 RXI917494 SHE917494 SRA917494 TAW917494 TKS917494 TUO917494 UEK917494 UOG917494 UYC917494 VHY917494 VRU917494 WBQ917494 WLM917494 WVI917494 B983030 IW983030 SS983030 ACO983030 AMK983030 AWG983030 BGC983030 BPY983030 BZU983030 CJQ983030 CTM983030 DDI983030 DNE983030 DXA983030 EGW983030 EQS983030 FAO983030 FKK983030 FUG983030 GEC983030 GNY983030 GXU983030 HHQ983030 HRM983030 IBI983030 ILE983030 IVA983030 JEW983030 JOS983030 JYO983030 KIK983030 KSG983030 LCC983030 LLY983030 LVU983030 MFQ983030 MPM983030 MZI983030 NJE983030 NTA983030 OCW983030 OMS983030 OWO983030 PGK983030 PQG983030 QAC983030 QJY983030 QTU983030 RDQ983030 RNM983030 RXI983030 SHE983030 SRA983030 TAW983030 TKS983030 TUO983030 UEK983030 UOG983030 UYC983030 VHY983030 VRU983030 WBQ983030 WLM983030">
      <formula1>Demand</formula1>
    </dataValidation>
  </dataValidation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Impacts'!$A$12:$A$21</xm:f>
          </x14:formula1>
          <xm:sqref>B3</xm:sqref>
        </x14:dataValidation>
      </x14:dataValidations>
    </ext>
  </extLst>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5">
    <pageSetUpPr fitToPage="1"/>
  </sheetPr>
  <dimension ref="A1:J38"/>
  <sheetViews>
    <sheetView topLeftCell="A7" workbookViewId="0">
      <selection activeCell="C19" sqref="C19"/>
    </sheetView>
  </sheetViews>
  <sheetFormatPr defaultRowHeight="12.75" x14ac:dyDescent="0.2"/>
  <cols>
    <col min="1" max="1" width="64.7109375" bestFit="1" customWidth="1"/>
    <col min="2" max="2" width="20.7109375" bestFit="1" customWidth="1"/>
    <col min="3" max="3" width="12.28515625" bestFit="1"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48" t="s">
        <v>109</v>
      </c>
      <c r="B1" s="349"/>
      <c r="C1" s="349"/>
      <c r="D1" s="349"/>
      <c r="E1" s="349"/>
      <c r="F1" s="349"/>
      <c r="G1" s="349"/>
      <c r="H1" s="349"/>
      <c r="I1" s="349"/>
      <c r="J1" s="350"/>
    </row>
    <row r="3" spans="1:10" x14ac:dyDescent="0.2">
      <c r="A3" s="13" t="s">
        <v>13</v>
      </c>
      <c r="B3" s="13" t="s">
        <v>182</v>
      </c>
      <c r="C3" s="13" t="s">
        <v>121</v>
      </c>
    </row>
    <row r="4" spans="1:10" x14ac:dyDescent="0.2">
      <c r="A4" s="15" t="s">
        <v>62</v>
      </c>
      <c r="B4" s="79">
        <v>15000</v>
      </c>
      <c r="C4" s="79">
        <f>B4</f>
        <v>15000</v>
      </c>
    </row>
    <row r="5" spans="1:10" x14ac:dyDescent="0.2">
      <c r="A5" s="15" t="s">
        <v>16</v>
      </c>
      <c r="B5" s="79">
        <v>60</v>
      </c>
      <c r="C5" s="79">
        <f>B5</f>
        <v>60</v>
      </c>
    </row>
    <row r="6" spans="1:10" x14ac:dyDescent="0.2">
      <c r="A6" s="15" t="s">
        <v>20</v>
      </c>
      <c r="B6" s="80">
        <f>VLOOKUP($B$3,'Data for Bill Impacts'!$A$3:$Y$39,2,0)</f>
        <v>1.0563</v>
      </c>
      <c r="C6" s="80">
        <f>VLOOKUP($C$3,'Data for Bill Impacts'!$A$3:$Y$39,2,0)</f>
        <v>1.0654999999999999</v>
      </c>
    </row>
    <row r="7" spans="1:10" x14ac:dyDescent="0.2">
      <c r="A7" s="81" t="s">
        <v>49</v>
      </c>
      <c r="B7" s="82">
        <f>B4/(B5*730)</f>
        <v>0.34246575342465752</v>
      </c>
      <c r="C7" s="82">
        <f>C4/(C5*730)</f>
        <v>0.34246575342465752</v>
      </c>
    </row>
    <row r="8" spans="1:10" x14ac:dyDescent="0.2">
      <c r="A8" s="15" t="s">
        <v>15</v>
      </c>
      <c r="B8" s="79">
        <f>VLOOKUP($B$3,'Data for Bill Impacts'!$A$3:$Y$39,4,0)</f>
        <v>0</v>
      </c>
      <c r="C8" s="79">
        <f>VLOOKUP($C$3,'Data for Bill Impacts'!$A$3:$Y$39,4,0)</f>
        <v>750</v>
      </c>
    </row>
    <row r="9" spans="1:10" x14ac:dyDescent="0.2">
      <c r="A9" s="15" t="s">
        <v>82</v>
      </c>
      <c r="B9" s="79">
        <f>B4*B6</f>
        <v>15844.5</v>
      </c>
      <c r="C9" s="79">
        <f>C4*C6</f>
        <v>15982.499999999998</v>
      </c>
    </row>
    <row r="10" spans="1:10" x14ac:dyDescent="0.2">
      <c r="A10" s="15" t="s">
        <v>21</v>
      </c>
      <c r="B10" s="16" t="s">
        <v>19</v>
      </c>
      <c r="C10" s="16" t="str">
        <f>VLOOKUP($C$3,'Data for Bill Impacts'!$A$3:$Y$39,6,0)</f>
        <v>kW</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3" t="s">
        <v>50</v>
      </c>
    </row>
    <row r="13" spans="1:10" x14ac:dyDescent="0.2">
      <c r="A13" s="101" t="s">
        <v>31</v>
      </c>
      <c r="B13" s="102">
        <f>C9</f>
        <v>15982.499999999998</v>
      </c>
      <c r="C13" s="103">
        <v>0.10299999999999999</v>
      </c>
      <c r="D13" s="104">
        <f>B13*C13</f>
        <v>1646.1974999999998</v>
      </c>
      <c r="E13" s="102">
        <f>B9</f>
        <v>15844.5</v>
      </c>
      <c r="F13" s="103">
        <f>C13</f>
        <v>0.10299999999999999</v>
      </c>
      <c r="G13" s="104">
        <f>E13*F13</f>
        <v>1631.9834999999998</v>
      </c>
      <c r="H13" s="104">
        <f>G13-D13</f>
        <v>-14.213999999999942</v>
      </c>
      <c r="I13" s="105">
        <f>IF(ISERROR(H13/D13),0,(H13/D13))</f>
        <v>-8.6344439230407917E-3</v>
      </c>
      <c r="J13" s="124">
        <f t="shared" ref="J13:J36" si="0">G13/$G$36</f>
        <v>0.56340749144685698</v>
      </c>
    </row>
    <row r="14" spans="1:10" x14ac:dyDescent="0.2">
      <c r="A14" s="107" t="s">
        <v>32</v>
      </c>
      <c r="B14" s="73">
        <v>0</v>
      </c>
      <c r="C14" s="21">
        <v>0.121</v>
      </c>
      <c r="D14" s="22">
        <f>B14*C14</f>
        <v>0</v>
      </c>
      <c r="E14" s="73">
        <f t="shared" ref="E14" si="1">B14</f>
        <v>0</v>
      </c>
      <c r="F14" s="21">
        <f>C14</f>
        <v>0.121</v>
      </c>
      <c r="G14" s="22">
        <f>E14*F14</f>
        <v>0</v>
      </c>
      <c r="H14" s="22">
        <f t="shared" ref="H14:H36" si="2">G14-D14</f>
        <v>0</v>
      </c>
      <c r="I14" s="23">
        <f t="shared" ref="I14:I31" si="3">IF(ISERROR(H14/D14),0,(H14/D14))</f>
        <v>0</v>
      </c>
      <c r="J14" s="125">
        <f t="shared" si="0"/>
        <v>0</v>
      </c>
    </row>
    <row r="15" spans="1:10" s="1" customFormat="1" x14ac:dyDescent="0.2">
      <c r="A15" s="46" t="s">
        <v>33</v>
      </c>
      <c r="B15" s="24"/>
      <c r="C15" s="25"/>
      <c r="D15" s="25">
        <f>SUM(D13:D14)</f>
        <v>1646.1974999999998</v>
      </c>
      <c r="E15" s="76"/>
      <c r="F15" s="25"/>
      <c r="G15" s="25">
        <f>SUM(G13:G14)</f>
        <v>1631.9834999999998</v>
      </c>
      <c r="H15" s="25">
        <f t="shared" si="2"/>
        <v>-14.213999999999942</v>
      </c>
      <c r="I15" s="27">
        <f t="shared" si="3"/>
        <v>-8.6344439230407917E-3</v>
      </c>
      <c r="J15" s="47">
        <f t="shared" si="0"/>
        <v>0.56340749144685698</v>
      </c>
    </row>
    <row r="16" spans="1:10" s="1" customFormat="1" x14ac:dyDescent="0.2">
      <c r="A16" s="107" t="s">
        <v>38</v>
      </c>
      <c r="B16" s="73">
        <v>1</v>
      </c>
      <c r="C16" s="122">
        <f>VLOOKUP($C$3,'Data for Bill Impacts'!$A$3:$Y$39,7,0)</f>
        <v>83.61</v>
      </c>
      <c r="D16" s="22">
        <f>B16*C16</f>
        <v>83.61</v>
      </c>
      <c r="E16" s="73">
        <f t="shared" ref="E16:E31" si="4">B16</f>
        <v>1</v>
      </c>
      <c r="F16" s="78">
        <f>VLOOKUP($B$3,'Data for Bill Impacts'!$A$3:$Y$39,17,0)</f>
        <v>208.51</v>
      </c>
      <c r="G16" s="22">
        <f>E16*F16</f>
        <v>208.51</v>
      </c>
      <c r="H16" s="22">
        <f t="shared" si="2"/>
        <v>124.89999999999999</v>
      </c>
      <c r="I16" s="23">
        <f t="shared" si="3"/>
        <v>1.4938404497069728</v>
      </c>
      <c r="J16" s="125">
        <f t="shared" si="0"/>
        <v>7.1983629761933357E-2</v>
      </c>
    </row>
    <row r="17" spans="1:10" x14ac:dyDescent="0.2">
      <c r="A17" s="107" t="s">
        <v>188</v>
      </c>
      <c r="B17" s="73">
        <v>1</v>
      </c>
      <c r="C17" s="122">
        <f>'Data for Bill Impacts'!K30</f>
        <v>-0.84</v>
      </c>
      <c r="D17" s="22">
        <f>B17*C17</f>
        <v>-0.84</v>
      </c>
      <c r="E17" s="73">
        <f t="shared" si="4"/>
        <v>1</v>
      </c>
      <c r="F17" s="122">
        <v>0</v>
      </c>
      <c r="G17" s="22">
        <f t="shared" ref="G17" si="5">E17*F17</f>
        <v>0</v>
      </c>
      <c r="H17" s="22">
        <f t="shared" si="2"/>
        <v>0.84</v>
      </c>
      <c r="I17" s="23">
        <f t="shared" si="3"/>
        <v>-1</v>
      </c>
      <c r="J17" s="125">
        <f t="shared" si="0"/>
        <v>0</v>
      </c>
    </row>
    <row r="18" spans="1:10" x14ac:dyDescent="0.2">
      <c r="A18" s="107" t="s">
        <v>39</v>
      </c>
      <c r="B18" s="73">
        <f>IF($C$10="kWh",$C$4,$C$5)</f>
        <v>60</v>
      </c>
      <c r="C18" s="126">
        <f>VLOOKUP($C$3,'Data for Bill Impacts'!$A$3:$Y$39,10,0)</f>
        <v>3.9339</v>
      </c>
      <c r="D18" s="22">
        <f>B18*C18</f>
        <v>236.03399999999999</v>
      </c>
      <c r="E18" s="73">
        <f>B5</f>
        <v>60</v>
      </c>
      <c r="F18" s="126">
        <f>VLOOKUP($B$3,'Data for Bill Impacts'!$A$3:$Y$39,19,0)</f>
        <v>5.14</v>
      </c>
      <c r="G18" s="22">
        <f>E18*F18</f>
        <v>308.39999999999998</v>
      </c>
      <c r="H18" s="22">
        <f t="shared" si="2"/>
        <v>72.365999999999985</v>
      </c>
      <c r="I18" s="23">
        <f t="shared" si="3"/>
        <v>0.30659142326952893</v>
      </c>
      <c r="J18" s="125">
        <f t="shared" si="0"/>
        <v>0.10646852150295068</v>
      </c>
    </row>
    <row r="19" spans="1:10" x14ac:dyDescent="0.2">
      <c r="A19" s="107" t="s">
        <v>189</v>
      </c>
      <c r="B19" s="73">
        <f>IF($C$10="kWh",$C$4,$C$5)</f>
        <v>60</v>
      </c>
      <c r="C19" s="126">
        <f>'Data for Bill Impacts'!H30</f>
        <v>0.155</v>
      </c>
      <c r="D19" s="22">
        <f>B19*C19</f>
        <v>9.3000000000000007</v>
      </c>
      <c r="E19" s="73">
        <f>B5</f>
        <v>60</v>
      </c>
      <c r="F19" s="126">
        <v>0</v>
      </c>
      <c r="G19" s="22">
        <f>E19*F19</f>
        <v>0</v>
      </c>
      <c r="H19" s="22">
        <f t="shared" ref="H19" si="6">G19-D19</f>
        <v>-9.3000000000000007</v>
      </c>
      <c r="I19" s="23">
        <f t="shared" ref="I19" si="7">IF(ISERROR(H19/D19),0,(H19/D19))</f>
        <v>-1</v>
      </c>
      <c r="J19" s="125">
        <f t="shared" si="0"/>
        <v>0</v>
      </c>
    </row>
    <row r="20" spans="1:10" s="1" customFormat="1" x14ac:dyDescent="0.2">
      <c r="A20" s="107" t="s">
        <v>190</v>
      </c>
      <c r="B20" s="73">
        <f>IF($B$10="kWh",$B$4,$B$5)</f>
        <v>60</v>
      </c>
      <c r="C20" s="78">
        <f>'Data for Bill Impacts'!L30</f>
        <v>-3.9300000000000002E-2</v>
      </c>
      <c r="D20" s="22">
        <f>B20*C20</f>
        <v>-2.3580000000000001</v>
      </c>
      <c r="E20" s="73">
        <f>B20</f>
        <v>60</v>
      </c>
      <c r="F20" s="126">
        <f>VLOOKUP($B$3,'Data for Bill Impacts'!$A$3:$Y$39,23,0)</f>
        <v>0</v>
      </c>
      <c r="G20" s="22">
        <f>E20*F20</f>
        <v>0</v>
      </c>
      <c r="H20" s="22">
        <f>G20-D20</f>
        <v>2.3580000000000001</v>
      </c>
      <c r="I20" s="23">
        <f>IF(ISERROR(H20/D20),0,(H20/D20))</f>
        <v>-1</v>
      </c>
      <c r="J20" s="125">
        <f t="shared" si="0"/>
        <v>0</v>
      </c>
    </row>
    <row r="21" spans="1:10" x14ac:dyDescent="0.2">
      <c r="A21" s="110" t="s">
        <v>79</v>
      </c>
      <c r="B21" s="74"/>
      <c r="C21" s="35"/>
      <c r="D21" s="35">
        <f>SUM(D16:D20)</f>
        <v>325.74599999999998</v>
      </c>
      <c r="E21" s="73"/>
      <c r="F21" s="35"/>
      <c r="G21" s="35">
        <f>SUM(G16:G20)</f>
        <v>516.91</v>
      </c>
      <c r="H21" s="35">
        <f t="shared" si="2"/>
        <v>191.16399999999999</v>
      </c>
      <c r="I21" s="36">
        <f t="shared" si="3"/>
        <v>0.58684987689795121</v>
      </c>
      <c r="J21" s="111">
        <f t="shared" si="0"/>
        <v>0.17845215126488403</v>
      </c>
    </row>
    <row r="22" spans="1:10" x14ac:dyDescent="0.2">
      <c r="A22" s="107" t="s">
        <v>40</v>
      </c>
      <c r="B22" s="73">
        <f>C5</f>
        <v>60</v>
      </c>
      <c r="C22" s="126">
        <f>VLOOKUP($C$3,'Data for Bill Impacts'!$A$3:$Y$39,15,0)</f>
        <v>2.503832177640037</v>
      </c>
      <c r="D22" s="22">
        <f>B22*C22</f>
        <v>150.22993065840222</v>
      </c>
      <c r="E22" s="73">
        <f>B5</f>
        <v>60</v>
      </c>
      <c r="F22" s="78">
        <f>VLOOKUP($B$3,'Data for Bill Impacts'!$A$3:$Y$39,24,0)</f>
        <v>1.8483000000000001</v>
      </c>
      <c r="G22" s="22">
        <f>E22*F22</f>
        <v>110.898</v>
      </c>
      <c r="H22" s="22">
        <f t="shared" si="2"/>
        <v>-39.331930658402229</v>
      </c>
      <c r="I22" s="23">
        <f t="shared" si="3"/>
        <v>-0.26181154771239606</v>
      </c>
      <c r="J22" s="125">
        <f t="shared" si="0"/>
        <v>3.8285168928775044E-2</v>
      </c>
    </row>
    <row r="23" spans="1:10" s="1" customFormat="1" x14ac:dyDescent="0.2">
      <c r="A23" s="107" t="s">
        <v>41</v>
      </c>
      <c r="B23" s="73">
        <f>C5</f>
        <v>60</v>
      </c>
      <c r="C23" s="126">
        <f>VLOOKUP($C$3,'Data for Bill Impacts'!$A$3:$Y$39,16,0)</f>
        <v>2.1172379802527086</v>
      </c>
      <c r="D23" s="22">
        <f>B23*C23</f>
        <v>127.03427881516251</v>
      </c>
      <c r="E23" s="73">
        <f>B5</f>
        <v>60</v>
      </c>
      <c r="F23" s="78">
        <f>VLOOKUP($B$3,'Data for Bill Impacts'!$A$3:$Y$39,25,0)</f>
        <v>1.5101</v>
      </c>
      <c r="G23" s="22">
        <f>E23*F23</f>
        <v>90.605999999999995</v>
      </c>
      <c r="H23" s="22">
        <f t="shared" si="2"/>
        <v>-36.428278815162514</v>
      </c>
      <c r="I23" s="23">
        <f t="shared" si="3"/>
        <v>-0.28675944126991432</v>
      </c>
      <c r="J23" s="125">
        <f t="shared" si="0"/>
        <v>3.1279788778522534E-2</v>
      </c>
    </row>
    <row r="24" spans="1:10" x14ac:dyDescent="0.2">
      <c r="A24" s="110" t="s">
        <v>76</v>
      </c>
      <c r="B24" s="74"/>
      <c r="C24" s="35"/>
      <c r="D24" s="35">
        <f>SUM(D22:D23)</f>
        <v>277.26420947356473</v>
      </c>
      <c r="E24" s="73"/>
      <c r="F24" s="35"/>
      <c r="G24" s="35">
        <f>SUM(G22:G23)</f>
        <v>201.50399999999999</v>
      </c>
      <c r="H24" s="35">
        <f t="shared" si="2"/>
        <v>-75.760209473564743</v>
      </c>
      <c r="I24" s="36">
        <f t="shared" si="3"/>
        <v>-0.27324193633721761</v>
      </c>
      <c r="J24" s="111">
        <f t="shared" si="0"/>
        <v>6.9564957707297578E-2</v>
      </c>
    </row>
    <row r="25" spans="1:10" s="1" customFormat="1" x14ac:dyDescent="0.2">
      <c r="A25" s="110" t="s">
        <v>80</v>
      </c>
      <c r="B25" s="74"/>
      <c r="C25" s="35"/>
      <c r="D25" s="35">
        <f>D21+D24</f>
        <v>603.01020947356471</v>
      </c>
      <c r="E25" s="73"/>
      <c r="F25" s="35"/>
      <c r="G25" s="35">
        <f>G21+G24</f>
        <v>718.41399999999999</v>
      </c>
      <c r="H25" s="35">
        <f t="shared" si="2"/>
        <v>115.40379052643527</v>
      </c>
      <c r="I25" s="36">
        <f t="shared" si="3"/>
        <v>0.19137949691960307</v>
      </c>
      <c r="J25" s="111">
        <f t="shared" si="0"/>
        <v>0.24801710897218163</v>
      </c>
    </row>
    <row r="26" spans="1:10" x14ac:dyDescent="0.2">
      <c r="A26" s="107" t="s">
        <v>42</v>
      </c>
      <c r="B26" s="73">
        <f>$C$9</f>
        <v>15982.499999999998</v>
      </c>
      <c r="C26" s="34">
        <v>3.5999999999999999E-3</v>
      </c>
      <c r="D26" s="22">
        <f>B26*C26</f>
        <v>57.536999999999992</v>
      </c>
      <c r="E26" s="73">
        <f>$B$9</f>
        <v>15844.5</v>
      </c>
      <c r="F26" s="34">
        <v>3.5999999999999999E-3</v>
      </c>
      <c r="G26" s="22">
        <f>E26*F26</f>
        <v>57.040199999999999</v>
      </c>
      <c r="H26" s="22">
        <f t="shared" si="2"/>
        <v>-0.49679999999999325</v>
      </c>
      <c r="I26" s="23">
        <f t="shared" si="3"/>
        <v>-8.6344439230407102E-3</v>
      </c>
      <c r="J26" s="125">
        <f t="shared" si="0"/>
        <v>1.969191232241442E-2</v>
      </c>
    </row>
    <row r="27" spans="1:10" x14ac:dyDescent="0.2">
      <c r="A27" s="107" t="s">
        <v>43</v>
      </c>
      <c r="B27" s="73">
        <f>$C$9</f>
        <v>15982.499999999998</v>
      </c>
      <c r="C27" s="34">
        <v>2.0999999999999999E-3</v>
      </c>
      <c r="D27" s="22">
        <f>B27*C27</f>
        <v>33.563249999999996</v>
      </c>
      <c r="E27" s="73">
        <f>$B$9</f>
        <v>15844.5</v>
      </c>
      <c r="F27" s="34">
        <v>2.0999999999999999E-3</v>
      </c>
      <c r="G27" s="22">
        <f>E27*F27</f>
        <v>33.273449999999997</v>
      </c>
      <c r="H27" s="22">
        <f>G27-D27</f>
        <v>-0.28979999999999961</v>
      </c>
      <c r="I27" s="23">
        <f t="shared" si="3"/>
        <v>-8.634443923040816E-3</v>
      </c>
      <c r="J27" s="125">
        <f t="shared" si="0"/>
        <v>1.1486948854741745E-2</v>
      </c>
    </row>
    <row r="28" spans="1:10" x14ac:dyDescent="0.2">
      <c r="A28" s="107" t="s">
        <v>100</v>
      </c>
      <c r="B28" s="73">
        <f>$C$9</f>
        <v>15982.499999999998</v>
      </c>
      <c r="C28" s="34">
        <v>1.1000000000000001E-3</v>
      </c>
      <c r="D28" s="22">
        <f>B28*C28</f>
        <v>17.580749999999998</v>
      </c>
      <c r="E28" s="73">
        <f>$B$9</f>
        <v>15844.5</v>
      </c>
      <c r="F28" s="34">
        <v>1.1000000000000001E-3</v>
      </c>
      <c r="G28" s="22">
        <f>E28*F28</f>
        <v>17.42895</v>
      </c>
      <c r="H28" s="22">
        <f>G28-D28</f>
        <v>-0.15179999999999794</v>
      </c>
      <c r="I28" s="23">
        <f t="shared" si="3"/>
        <v>-8.6344439230407102E-3</v>
      </c>
      <c r="J28" s="125">
        <f t="shared" si="0"/>
        <v>6.0169732096266287E-3</v>
      </c>
    </row>
    <row r="29" spans="1:10" x14ac:dyDescent="0.2">
      <c r="A29" s="107" t="s">
        <v>44</v>
      </c>
      <c r="B29" s="73">
        <v>1</v>
      </c>
      <c r="C29" s="22">
        <v>0.25</v>
      </c>
      <c r="D29" s="22">
        <f>B29*C29</f>
        <v>0.25</v>
      </c>
      <c r="E29" s="73">
        <f t="shared" si="4"/>
        <v>1</v>
      </c>
      <c r="F29" s="22">
        <f>C29</f>
        <v>0.25</v>
      </c>
      <c r="G29" s="22">
        <f>E29*F29</f>
        <v>0.25</v>
      </c>
      <c r="H29" s="22">
        <f t="shared" si="2"/>
        <v>0</v>
      </c>
      <c r="I29" s="23">
        <f t="shared" si="3"/>
        <v>0</v>
      </c>
      <c r="J29" s="125">
        <f t="shared" si="0"/>
        <v>8.630716723650348E-5</v>
      </c>
    </row>
    <row r="30" spans="1:10" x14ac:dyDescent="0.2">
      <c r="A30" s="110" t="s">
        <v>45</v>
      </c>
      <c r="B30" s="74"/>
      <c r="C30" s="35"/>
      <c r="D30" s="35">
        <f>SUM(D26:D29)</f>
        <v>108.93099999999998</v>
      </c>
      <c r="E30" s="73"/>
      <c r="F30" s="35"/>
      <c r="G30" s="35">
        <f>SUM(G26:G29)</f>
        <v>107.9926</v>
      </c>
      <c r="H30" s="35">
        <f t="shared" si="2"/>
        <v>-0.93839999999998724</v>
      </c>
      <c r="I30" s="36">
        <f t="shared" si="3"/>
        <v>-8.6146276083023873E-3</v>
      </c>
      <c r="J30" s="111">
        <f t="shared" si="0"/>
        <v>3.72821415540193E-2</v>
      </c>
    </row>
    <row r="31" spans="1:10" ht="13.5" thickBot="1" x14ac:dyDescent="0.25">
      <c r="A31" s="112" t="s">
        <v>46</v>
      </c>
      <c r="B31" s="113">
        <f>B4</f>
        <v>15000</v>
      </c>
      <c r="C31" s="114">
        <v>7.0000000000000001E-3</v>
      </c>
      <c r="D31" s="115">
        <f>B31*C31</f>
        <v>105</v>
      </c>
      <c r="E31" s="116">
        <f t="shared" si="4"/>
        <v>15000</v>
      </c>
      <c r="F31" s="114">
        <f>C31</f>
        <v>7.0000000000000001E-3</v>
      </c>
      <c r="G31" s="115">
        <f>E31*F31</f>
        <v>105</v>
      </c>
      <c r="H31" s="115">
        <f t="shared" si="2"/>
        <v>0</v>
      </c>
      <c r="I31" s="117">
        <f t="shared" si="3"/>
        <v>0</v>
      </c>
      <c r="J31" s="118">
        <f t="shared" si="0"/>
        <v>3.6249010239331456E-2</v>
      </c>
    </row>
    <row r="32" spans="1:10" x14ac:dyDescent="0.2">
      <c r="A32" s="37" t="s">
        <v>146</v>
      </c>
      <c r="B32" s="38"/>
      <c r="C32" s="39"/>
      <c r="D32" s="39">
        <f>SUM(D15,D21,D24,D30,D31)</f>
        <v>2463.1387094735646</v>
      </c>
      <c r="E32" s="38"/>
      <c r="F32" s="39"/>
      <c r="G32" s="39">
        <f>SUM(G15,G21,G24,G30,G31)</f>
        <v>2563.3900999999996</v>
      </c>
      <c r="H32" s="39">
        <f t="shared" si="2"/>
        <v>100.25139052643499</v>
      </c>
      <c r="I32" s="40">
        <f>IF(ISERROR(H32/D32),0,(H32/D32))</f>
        <v>4.0700667867730946E-2</v>
      </c>
      <c r="J32" s="41">
        <f t="shared" si="0"/>
        <v>0.88495575221238931</v>
      </c>
    </row>
    <row r="33" spans="1:10" x14ac:dyDescent="0.2">
      <c r="A33" s="46" t="s">
        <v>138</v>
      </c>
      <c r="B33" s="43"/>
      <c r="C33" s="26">
        <v>0.13</v>
      </c>
      <c r="D33" s="26">
        <f>D32*C33</f>
        <v>320.20803223156344</v>
      </c>
      <c r="E33" s="26"/>
      <c r="F33" s="26">
        <f>C33</f>
        <v>0.13</v>
      </c>
      <c r="G33" s="26">
        <f>G32*F33</f>
        <v>333.24071299999997</v>
      </c>
      <c r="H33" s="26">
        <f t="shared" si="2"/>
        <v>13.032680768436535</v>
      </c>
      <c r="I33" s="44">
        <f t="shared" ref="I33:I36" si="8">IF(ISERROR(H33/D33),0,(H33/D33))</f>
        <v>4.0700667867730904E-2</v>
      </c>
      <c r="J33" s="45">
        <f t="shared" si="0"/>
        <v>0.11504424778761062</v>
      </c>
    </row>
    <row r="34" spans="1:10" x14ac:dyDescent="0.2">
      <c r="A34" s="46" t="s">
        <v>139</v>
      </c>
      <c r="B34" s="24"/>
      <c r="C34" s="25"/>
      <c r="D34" s="25">
        <f>SUM(D32:D33)</f>
        <v>2783.3467417051279</v>
      </c>
      <c r="E34" s="25"/>
      <c r="F34" s="25"/>
      <c r="G34" s="25">
        <f>SUM(G32:G33)</f>
        <v>2896.6308129999998</v>
      </c>
      <c r="H34" s="25">
        <f t="shared" si="2"/>
        <v>113.28407129487186</v>
      </c>
      <c r="I34" s="27">
        <f t="shared" si="8"/>
        <v>4.070066786773107E-2</v>
      </c>
      <c r="J34" s="47">
        <f t="shared" si="0"/>
        <v>1</v>
      </c>
    </row>
    <row r="35" spans="1:10" x14ac:dyDescent="0.2">
      <c r="A35" s="46" t="s">
        <v>140</v>
      </c>
      <c r="B35" s="43"/>
      <c r="C35" s="26">
        <v>0</v>
      </c>
      <c r="D35" s="26">
        <f>D32*C35</f>
        <v>0</v>
      </c>
      <c r="E35" s="26"/>
      <c r="F35" s="26">
        <f>C35</f>
        <v>0</v>
      </c>
      <c r="G35" s="26">
        <f>G32*F35</f>
        <v>0</v>
      </c>
      <c r="H35" s="26">
        <f t="shared" si="2"/>
        <v>0</v>
      </c>
      <c r="I35" s="44">
        <f t="shared" si="8"/>
        <v>0</v>
      </c>
      <c r="J35" s="45">
        <f t="shared" si="0"/>
        <v>0</v>
      </c>
    </row>
    <row r="36" spans="1:10" ht="13.5" thickBot="1" x14ac:dyDescent="0.25">
      <c r="A36" s="46" t="s">
        <v>141</v>
      </c>
      <c r="B36" s="49"/>
      <c r="C36" s="50"/>
      <c r="D36" s="50">
        <f>SUM(D34:D35)</f>
        <v>2783.3467417051279</v>
      </c>
      <c r="E36" s="50"/>
      <c r="F36" s="50"/>
      <c r="G36" s="50">
        <f>SUM(G34:G35)</f>
        <v>2896.6308129999998</v>
      </c>
      <c r="H36" s="50">
        <f t="shared" si="2"/>
        <v>113.28407129487186</v>
      </c>
      <c r="I36" s="51">
        <f t="shared" si="8"/>
        <v>4.070066786773107E-2</v>
      </c>
      <c r="J36" s="52">
        <f t="shared" si="0"/>
        <v>1</v>
      </c>
    </row>
    <row r="37" spans="1:10" x14ac:dyDescent="0.2">
      <c r="F37" s="69"/>
    </row>
    <row r="38" spans="1:10" x14ac:dyDescent="0.2">
      <c r="F38" s="69"/>
    </row>
  </sheetData>
  <mergeCells count="1">
    <mergeCell ref="A1:J1"/>
  </mergeCells>
  <dataValidations count="1">
    <dataValidation type="list" allowBlank="1" showInputMessage="1" showErrorMessage="1" sqref="WVI983030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6 IW65526 SS65526 ACO65526 AMK65526 AWG65526 BGC65526 BPY65526 BZU65526 CJQ65526 CTM65526 DDI65526 DNE65526 DXA65526 EGW65526 EQS65526 FAO65526 FKK65526 FUG65526 GEC65526 GNY65526 GXU65526 HHQ65526 HRM65526 IBI65526 ILE65526 IVA65526 JEW65526 JOS65526 JYO65526 KIK65526 KSG65526 LCC65526 LLY65526 LVU65526 MFQ65526 MPM65526 MZI65526 NJE65526 NTA65526 OCW65526 OMS65526 OWO65526 PGK65526 PQG65526 QAC65526 QJY65526 QTU65526 RDQ65526 RNM65526 RXI65526 SHE65526 SRA65526 TAW65526 TKS65526 TUO65526 UEK65526 UOG65526 UYC65526 VHY65526 VRU65526 WBQ65526 WLM65526 WVI65526 B131062 IW131062 SS131062 ACO131062 AMK131062 AWG131062 BGC131062 BPY131062 BZU131062 CJQ131062 CTM131062 DDI131062 DNE131062 DXA131062 EGW131062 EQS131062 FAO131062 FKK131062 FUG131062 GEC131062 GNY131062 GXU131062 HHQ131062 HRM131062 IBI131062 ILE131062 IVA131062 JEW131062 JOS131062 JYO131062 KIK131062 KSG131062 LCC131062 LLY131062 LVU131062 MFQ131062 MPM131062 MZI131062 NJE131062 NTA131062 OCW131062 OMS131062 OWO131062 PGK131062 PQG131062 QAC131062 QJY131062 QTU131062 RDQ131062 RNM131062 RXI131062 SHE131062 SRA131062 TAW131062 TKS131062 TUO131062 UEK131062 UOG131062 UYC131062 VHY131062 VRU131062 WBQ131062 WLM131062 WVI131062 B196598 IW196598 SS196598 ACO196598 AMK196598 AWG196598 BGC196598 BPY196598 BZU196598 CJQ196598 CTM196598 DDI196598 DNE196598 DXA196598 EGW196598 EQS196598 FAO196598 FKK196598 FUG196598 GEC196598 GNY196598 GXU196598 HHQ196598 HRM196598 IBI196598 ILE196598 IVA196598 JEW196598 JOS196598 JYO196598 KIK196598 KSG196598 LCC196598 LLY196598 LVU196598 MFQ196598 MPM196598 MZI196598 NJE196598 NTA196598 OCW196598 OMS196598 OWO196598 PGK196598 PQG196598 QAC196598 QJY196598 QTU196598 RDQ196598 RNM196598 RXI196598 SHE196598 SRA196598 TAW196598 TKS196598 TUO196598 UEK196598 UOG196598 UYC196598 VHY196598 VRU196598 WBQ196598 WLM196598 WVI196598 B262134 IW262134 SS262134 ACO262134 AMK262134 AWG262134 BGC262134 BPY262134 BZU262134 CJQ262134 CTM262134 DDI262134 DNE262134 DXA262134 EGW262134 EQS262134 FAO262134 FKK262134 FUG262134 GEC262134 GNY262134 GXU262134 HHQ262134 HRM262134 IBI262134 ILE262134 IVA262134 JEW262134 JOS262134 JYO262134 KIK262134 KSG262134 LCC262134 LLY262134 LVU262134 MFQ262134 MPM262134 MZI262134 NJE262134 NTA262134 OCW262134 OMS262134 OWO262134 PGK262134 PQG262134 QAC262134 QJY262134 QTU262134 RDQ262134 RNM262134 RXI262134 SHE262134 SRA262134 TAW262134 TKS262134 TUO262134 UEK262134 UOG262134 UYC262134 VHY262134 VRU262134 WBQ262134 WLM262134 WVI262134 B327670 IW327670 SS327670 ACO327670 AMK327670 AWG327670 BGC327670 BPY327670 BZU327670 CJQ327670 CTM327670 DDI327670 DNE327670 DXA327670 EGW327670 EQS327670 FAO327670 FKK327670 FUG327670 GEC327670 GNY327670 GXU327670 HHQ327670 HRM327670 IBI327670 ILE327670 IVA327670 JEW327670 JOS327670 JYO327670 KIK327670 KSG327670 LCC327670 LLY327670 LVU327670 MFQ327670 MPM327670 MZI327670 NJE327670 NTA327670 OCW327670 OMS327670 OWO327670 PGK327670 PQG327670 QAC327670 QJY327670 QTU327670 RDQ327670 RNM327670 RXI327670 SHE327670 SRA327670 TAW327670 TKS327670 TUO327670 UEK327670 UOG327670 UYC327670 VHY327670 VRU327670 WBQ327670 WLM327670 WVI327670 B393206 IW393206 SS393206 ACO393206 AMK393206 AWG393206 BGC393206 BPY393206 BZU393206 CJQ393206 CTM393206 DDI393206 DNE393206 DXA393206 EGW393206 EQS393206 FAO393206 FKK393206 FUG393206 GEC393206 GNY393206 GXU393206 HHQ393206 HRM393206 IBI393206 ILE393206 IVA393206 JEW393206 JOS393206 JYO393206 KIK393206 KSG393206 LCC393206 LLY393206 LVU393206 MFQ393206 MPM393206 MZI393206 NJE393206 NTA393206 OCW393206 OMS393206 OWO393206 PGK393206 PQG393206 QAC393206 QJY393206 QTU393206 RDQ393206 RNM393206 RXI393206 SHE393206 SRA393206 TAW393206 TKS393206 TUO393206 UEK393206 UOG393206 UYC393206 VHY393206 VRU393206 WBQ393206 WLM393206 WVI393206 B458742 IW458742 SS458742 ACO458742 AMK458742 AWG458742 BGC458742 BPY458742 BZU458742 CJQ458742 CTM458742 DDI458742 DNE458742 DXA458742 EGW458742 EQS458742 FAO458742 FKK458742 FUG458742 GEC458742 GNY458742 GXU458742 HHQ458742 HRM458742 IBI458742 ILE458742 IVA458742 JEW458742 JOS458742 JYO458742 KIK458742 KSG458742 LCC458742 LLY458742 LVU458742 MFQ458742 MPM458742 MZI458742 NJE458742 NTA458742 OCW458742 OMS458742 OWO458742 PGK458742 PQG458742 QAC458742 QJY458742 QTU458742 RDQ458742 RNM458742 RXI458742 SHE458742 SRA458742 TAW458742 TKS458742 TUO458742 UEK458742 UOG458742 UYC458742 VHY458742 VRU458742 WBQ458742 WLM458742 WVI458742 B524278 IW524278 SS524278 ACO524278 AMK524278 AWG524278 BGC524278 BPY524278 BZU524278 CJQ524278 CTM524278 DDI524278 DNE524278 DXA524278 EGW524278 EQS524278 FAO524278 FKK524278 FUG524278 GEC524278 GNY524278 GXU524278 HHQ524278 HRM524278 IBI524278 ILE524278 IVA524278 JEW524278 JOS524278 JYO524278 KIK524278 KSG524278 LCC524278 LLY524278 LVU524278 MFQ524278 MPM524278 MZI524278 NJE524278 NTA524278 OCW524278 OMS524278 OWO524278 PGK524278 PQG524278 QAC524278 QJY524278 QTU524278 RDQ524278 RNM524278 RXI524278 SHE524278 SRA524278 TAW524278 TKS524278 TUO524278 UEK524278 UOG524278 UYC524278 VHY524278 VRU524278 WBQ524278 WLM524278 WVI524278 B589814 IW589814 SS589814 ACO589814 AMK589814 AWG589814 BGC589814 BPY589814 BZU589814 CJQ589814 CTM589814 DDI589814 DNE589814 DXA589814 EGW589814 EQS589814 FAO589814 FKK589814 FUG589814 GEC589814 GNY589814 GXU589814 HHQ589814 HRM589814 IBI589814 ILE589814 IVA589814 JEW589814 JOS589814 JYO589814 KIK589814 KSG589814 LCC589814 LLY589814 LVU589814 MFQ589814 MPM589814 MZI589814 NJE589814 NTA589814 OCW589814 OMS589814 OWO589814 PGK589814 PQG589814 QAC589814 QJY589814 QTU589814 RDQ589814 RNM589814 RXI589814 SHE589814 SRA589814 TAW589814 TKS589814 TUO589814 UEK589814 UOG589814 UYC589814 VHY589814 VRU589814 WBQ589814 WLM589814 WVI589814 B655350 IW655350 SS655350 ACO655350 AMK655350 AWG655350 BGC655350 BPY655350 BZU655350 CJQ655350 CTM655350 DDI655350 DNE655350 DXA655350 EGW655350 EQS655350 FAO655350 FKK655350 FUG655350 GEC655350 GNY655350 GXU655350 HHQ655350 HRM655350 IBI655350 ILE655350 IVA655350 JEW655350 JOS655350 JYO655350 KIK655350 KSG655350 LCC655350 LLY655350 LVU655350 MFQ655350 MPM655350 MZI655350 NJE655350 NTA655350 OCW655350 OMS655350 OWO655350 PGK655350 PQG655350 QAC655350 QJY655350 QTU655350 RDQ655350 RNM655350 RXI655350 SHE655350 SRA655350 TAW655350 TKS655350 TUO655350 UEK655350 UOG655350 UYC655350 VHY655350 VRU655350 WBQ655350 WLM655350 WVI655350 B720886 IW720886 SS720886 ACO720886 AMK720886 AWG720886 BGC720886 BPY720886 BZU720886 CJQ720886 CTM720886 DDI720886 DNE720886 DXA720886 EGW720886 EQS720886 FAO720886 FKK720886 FUG720886 GEC720886 GNY720886 GXU720886 HHQ720886 HRM720886 IBI720886 ILE720886 IVA720886 JEW720886 JOS720886 JYO720886 KIK720886 KSG720886 LCC720886 LLY720886 LVU720886 MFQ720886 MPM720886 MZI720886 NJE720886 NTA720886 OCW720886 OMS720886 OWO720886 PGK720886 PQG720886 QAC720886 QJY720886 QTU720886 RDQ720886 RNM720886 RXI720886 SHE720886 SRA720886 TAW720886 TKS720886 TUO720886 UEK720886 UOG720886 UYC720886 VHY720886 VRU720886 WBQ720886 WLM720886 WVI720886 B786422 IW786422 SS786422 ACO786422 AMK786422 AWG786422 BGC786422 BPY786422 BZU786422 CJQ786422 CTM786422 DDI786422 DNE786422 DXA786422 EGW786422 EQS786422 FAO786422 FKK786422 FUG786422 GEC786422 GNY786422 GXU786422 HHQ786422 HRM786422 IBI786422 ILE786422 IVA786422 JEW786422 JOS786422 JYO786422 KIK786422 KSG786422 LCC786422 LLY786422 LVU786422 MFQ786422 MPM786422 MZI786422 NJE786422 NTA786422 OCW786422 OMS786422 OWO786422 PGK786422 PQG786422 QAC786422 QJY786422 QTU786422 RDQ786422 RNM786422 RXI786422 SHE786422 SRA786422 TAW786422 TKS786422 TUO786422 UEK786422 UOG786422 UYC786422 VHY786422 VRU786422 WBQ786422 WLM786422 WVI786422 B851958 IW851958 SS851958 ACO851958 AMK851958 AWG851958 BGC851958 BPY851958 BZU851958 CJQ851958 CTM851958 DDI851958 DNE851958 DXA851958 EGW851958 EQS851958 FAO851958 FKK851958 FUG851958 GEC851958 GNY851958 GXU851958 HHQ851958 HRM851958 IBI851958 ILE851958 IVA851958 JEW851958 JOS851958 JYO851958 KIK851958 KSG851958 LCC851958 LLY851958 LVU851958 MFQ851958 MPM851958 MZI851958 NJE851958 NTA851958 OCW851958 OMS851958 OWO851958 PGK851958 PQG851958 QAC851958 QJY851958 QTU851958 RDQ851958 RNM851958 RXI851958 SHE851958 SRA851958 TAW851958 TKS851958 TUO851958 UEK851958 UOG851958 UYC851958 VHY851958 VRU851958 WBQ851958 WLM851958 WVI851958 B917494 IW917494 SS917494 ACO917494 AMK917494 AWG917494 BGC917494 BPY917494 BZU917494 CJQ917494 CTM917494 DDI917494 DNE917494 DXA917494 EGW917494 EQS917494 FAO917494 FKK917494 FUG917494 GEC917494 GNY917494 GXU917494 HHQ917494 HRM917494 IBI917494 ILE917494 IVA917494 JEW917494 JOS917494 JYO917494 KIK917494 KSG917494 LCC917494 LLY917494 LVU917494 MFQ917494 MPM917494 MZI917494 NJE917494 NTA917494 OCW917494 OMS917494 OWO917494 PGK917494 PQG917494 QAC917494 QJY917494 QTU917494 RDQ917494 RNM917494 RXI917494 SHE917494 SRA917494 TAW917494 TKS917494 TUO917494 UEK917494 UOG917494 UYC917494 VHY917494 VRU917494 WBQ917494 WLM917494 WVI917494 B983030 IW983030 SS983030 ACO983030 AMK983030 AWG983030 BGC983030 BPY983030 BZU983030 CJQ983030 CTM983030 DDI983030 DNE983030 DXA983030 EGW983030 EQS983030 FAO983030 FKK983030 FUG983030 GEC983030 GNY983030 GXU983030 HHQ983030 HRM983030 IBI983030 ILE983030 IVA983030 JEW983030 JOS983030 JYO983030 KIK983030 KSG983030 LCC983030 LLY983030 LVU983030 MFQ983030 MPM983030 MZI983030 NJE983030 NTA983030 OCW983030 OMS983030 OWO983030 PGK983030 PQG983030 QAC983030 QJY983030 QTU983030 RDQ983030 RNM983030 RXI983030 SHE983030 SRA983030 TAW983030 TKS983030 TUO983030 UEK983030 UOG983030 UYC983030 VHY983030 VRU983030 WBQ983030 WLM983030">
      <formula1>Demand</formula1>
    </dataValidation>
  </dataValidation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Impacts'!$A$12:$A$21</xm:f>
          </x14:formula1>
          <xm:sqref>B3</xm:sqref>
        </x14:dataValidation>
      </x14:dataValidations>
    </ext>
  </extLst>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7">
    <pageSetUpPr fitToPage="1"/>
  </sheetPr>
  <dimension ref="A1:J38"/>
  <sheetViews>
    <sheetView topLeftCell="B16" zoomScale="120" zoomScaleNormal="120" workbookViewId="0">
      <selection activeCell="C19" sqref="C19"/>
    </sheetView>
  </sheetViews>
  <sheetFormatPr defaultRowHeight="12.75" x14ac:dyDescent="0.2"/>
  <cols>
    <col min="1" max="1" width="64.7109375" bestFit="1" customWidth="1"/>
    <col min="2" max="2" width="20.7109375" bestFit="1" customWidth="1"/>
    <col min="3" max="3" width="12.85546875" bestFit="1"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48" t="s">
        <v>112</v>
      </c>
      <c r="B1" s="349"/>
      <c r="C1" s="349"/>
      <c r="D1" s="349"/>
      <c r="E1" s="349"/>
      <c r="F1" s="349"/>
      <c r="G1" s="349"/>
      <c r="H1" s="349"/>
      <c r="I1" s="349"/>
      <c r="J1" s="350"/>
    </row>
    <row r="3" spans="1:10" x14ac:dyDescent="0.2">
      <c r="A3" s="13" t="s">
        <v>13</v>
      </c>
      <c r="B3" s="13" t="s">
        <v>182</v>
      </c>
      <c r="C3" s="13" t="s">
        <v>121</v>
      </c>
    </row>
    <row r="4" spans="1:10" x14ac:dyDescent="0.2">
      <c r="A4" s="15" t="s">
        <v>62</v>
      </c>
      <c r="B4" s="79">
        <f>C4</f>
        <v>50916.548053308041</v>
      </c>
      <c r="C4" s="79">
        <f>'Data for Bill Impacts_HONI Avg '!E31</f>
        <v>50916.548053308041</v>
      </c>
    </row>
    <row r="5" spans="1:10" x14ac:dyDescent="0.2">
      <c r="A5" s="15" t="s">
        <v>16</v>
      </c>
      <c r="B5" s="79">
        <f>C5</f>
        <v>143.21569056237885</v>
      </c>
      <c r="C5" s="79">
        <f>'Data for Bill Impacts_HONI Avg '!F31</f>
        <v>143.21569056237885</v>
      </c>
    </row>
    <row r="6" spans="1:10" x14ac:dyDescent="0.2">
      <c r="A6" s="15" t="s">
        <v>20</v>
      </c>
      <c r="B6" s="224">
        <f>VLOOKUP($B$3,'Data for Bill Impacts'!$A$3:$Y$39,2,0)</f>
        <v>1.0563</v>
      </c>
      <c r="C6" s="224">
        <f>VLOOKUP($C$3,'Data for Bill Impacts'!$A$3:$Y$39,2,0)</f>
        <v>1.0654999999999999</v>
      </c>
    </row>
    <row r="7" spans="1:10" x14ac:dyDescent="0.2">
      <c r="A7" s="81" t="s">
        <v>49</v>
      </c>
      <c r="B7" s="82">
        <f>B4/(B5*730)</f>
        <v>0.48701853609438145</v>
      </c>
      <c r="C7" s="82">
        <f>C4/(C5*730)</f>
        <v>0.48701853609438145</v>
      </c>
    </row>
    <row r="8" spans="1:10" x14ac:dyDescent="0.2">
      <c r="A8" s="15" t="s">
        <v>15</v>
      </c>
      <c r="B8" s="79">
        <f>VLOOKUP($B$3,'Data for Bill Impacts'!$A$3:$Y$39,4,0)</f>
        <v>0</v>
      </c>
      <c r="C8" s="79">
        <v>0</v>
      </c>
    </row>
    <row r="9" spans="1:10" x14ac:dyDescent="0.2">
      <c r="A9" s="15" t="s">
        <v>82</v>
      </c>
      <c r="B9" s="79">
        <f>B4*B6</f>
        <v>53783.149708709287</v>
      </c>
      <c r="C9" s="79">
        <f>C4*C6</f>
        <v>54251.581950799715</v>
      </c>
    </row>
    <row r="10" spans="1:10" x14ac:dyDescent="0.2">
      <c r="A10" s="15" t="s">
        <v>21</v>
      </c>
      <c r="B10" s="16" t="s">
        <v>19</v>
      </c>
      <c r="C10" s="16" t="str">
        <f>VLOOKUP($C$3,'Data for Bill Impacts'!$A$3:$Y$39,6,0)</f>
        <v>kW</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3" t="s">
        <v>50</v>
      </c>
    </row>
    <row r="13" spans="1:10" x14ac:dyDescent="0.2">
      <c r="A13" s="101" t="s">
        <v>31</v>
      </c>
      <c r="B13" s="102">
        <f>C9</f>
        <v>54251.581950799715</v>
      </c>
      <c r="C13" s="103">
        <v>0.10299999999999999</v>
      </c>
      <c r="D13" s="104">
        <f>B13*C13</f>
        <v>5587.9129409323705</v>
      </c>
      <c r="E13" s="102">
        <f>B9</f>
        <v>53783.149708709287</v>
      </c>
      <c r="F13" s="103">
        <f>C13</f>
        <v>0.10299999999999999</v>
      </c>
      <c r="G13" s="104">
        <f>E13*F13</f>
        <v>5539.664419997056</v>
      </c>
      <c r="H13" s="104">
        <f>G13-D13</f>
        <v>-48.248520935314446</v>
      </c>
      <c r="I13" s="105">
        <f>IF(ISERROR(H13/D13),0,(H13/D13))</f>
        <v>-8.6344439230407813E-3</v>
      </c>
      <c r="J13" s="124">
        <f t="shared" ref="J13:J36" si="0">G13/$G$36</f>
        <v>0.63769099846484056</v>
      </c>
    </row>
    <row r="14" spans="1:10" x14ac:dyDescent="0.2">
      <c r="A14" s="107" t="s">
        <v>32</v>
      </c>
      <c r="B14" s="73">
        <v>0</v>
      </c>
      <c r="C14" s="21">
        <v>0.121</v>
      </c>
      <c r="D14" s="22">
        <f>B14*C14</f>
        <v>0</v>
      </c>
      <c r="E14" s="73">
        <f t="shared" ref="E14" si="1">B14</f>
        <v>0</v>
      </c>
      <c r="F14" s="21">
        <f>C14</f>
        <v>0.121</v>
      </c>
      <c r="G14" s="22">
        <f>E14*F14</f>
        <v>0</v>
      </c>
      <c r="H14" s="22">
        <f t="shared" ref="H14:H36" si="2">G14-D14</f>
        <v>0</v>
      </c>
      <c r="I14" s="23">
        <f t="shared" ref="I14:I31" si="3">IF(ISERROR(H14/D14),0,(H14/D14))</f>
        <v>0</v>
      </c>
      <c r="J14" s="125">
        <f t="shared" si="0"/>
        <v>0</v>
      </c>
    </row>
    <row r="15" spans="1:10" s="1" customFormat="1" x14ac:dyDescent="0.2">
      <c r="A15" s="46" t="s">
        <v>33</v>
      </c>
      <c r="B15" s="24"/>
      <c r="C15" s="25"/>
      <c r="D15" s="25">
        <f>SUM(D13:D14)</f>
        <v>5587.9129409323705</v>
      </c>
      <c r="E15" s="76"/>
      <c r="F15" s="25"/>
      <c r="G15" s="25">
        <f>SUM(G13:G14)</f>
        <v>5539.664419997056</v>
      </c>
      <c r="H15" s="25">
        <f t="shared" si="2"/>
        <v>-48.248520935314446</v>
      </c>
      <c r="I15" s="27">
        <f t="shared" si="3"/>
        <v>-8.6344439230407813E-3</v>
      </c>
      <c r="J15" s="47">
        <f t="shared" si="0"/>
        <v>0.63769099846484056</v>
      </c>
    </row>
    <row r="16" spans="1:10" s="1" customFormat="1" x14ac:dyDescent="0.2">
      <c r="A16" s="107" t="s">
        <v>38</v>
      </c>
      <c r="B16" s="73">
        <v>1</v>
      </c>
      <c r="C16" s="122">
        <f>VLOOKUP($C$3,'Data for Bill Impacts'!$A$3:$Y$39,7,0)</f>
        <v>83.61</v>
      </c>
      <c r="D16" s="22">
        <f>B16*C16</f>
        <v>83.61</v>
      </c>
      <c r="E16" s="73">
        <f t="shared" ref="E16:E31" si="4">B16</f>
        <v>1</v>
      </c>
      <c r="F16" s="78">
        <f>VLOOKUP($B$3,'Data for Bill Impacts'!$A$3:$Y$39,17,0)</f>
        <v>208.51</v>
      </c>
      <c r="G16" s="22">
        <f>E16*F16</f>
        <v>208.51</v>
      </c>
      <c r="H16" s="22">
        <f t="shared" si="2"/>
        <v>124.89999999999999</v>
      </c>
      <c r="I16" s="23">
        <f t="shared" si="3"/>
        <v>1.4938404497069728</v>
      </c>
      <c r="J16" s="125">
        <f t="shared" si="0"/>
        <v>2.4002347436412864E-2</v>
      </c>
    </row>
    <row r="17" spans="1:10" x14ac:dyDescent="0.2">
      <c r="A17" s="107" t="s">
        <v>188</v>
      </c>
      <c r="B17" s="73">
        <v>1</v>
      </c>
      <c r="C17" s="122">
        <f>'Data for Bill Impacts'!K30</f>
        <v>-0.84</v>
      </c>
      <c r="D17" s="22">
        <f>B17*C17</f>
        <v>-0.84</v>
      </c>
      <c r="E17" s="73">
        <f t="shared" si="4"/>
        <v>1</v>
      </c>
      <c r="F17" s="122">
        <v>0</v>
      </c>
      <c r="G17" s="22">
        <f t="shared" ref="G17" si="5">E17*F17</f>
        <v>0</v>
      </c>
      <c r="H17" s="22">
        <f t="shared" si="2"/>
        <v>0.84</v>
      </c>
      <c r="I17" s="23">
        <f t="shared" si="3"/>
        <v>-1</v>
      </c>
      <c r="J17" s="125">
        <f t="shared" si="0"/>
        <v>0</v>
      </c>
    </row>
    <row r="18" spans="1:10" x14ac:dyDescent="0.2">
      <c r="A18" s="107" t="s">
        <v>39</v>
      </c>
      <c r="B18" s="73">
        <f>IF($C$10="kWh",$C$4,$C$5)</f>
        <v>143.21569056237885</v>
      </c>
      <c r="C18" s="126">
        <f>VLOOKUP($C$3,'Data for Bill Impacts'!$A$3:$Y$39,10,0)</f>
        <v>3.9339</v>
      </c>
      <c r="D18" s="22">
        <f>B18*C18</f>
        <v>563.39620510334214</v>
      </c>
      <c r="E18" s="73">
        <f>B5</f>
        <v>143.21569056237885</v>
      </c>
      <c r="F18" s="126">
        <f>VLOOKUP($B$3,'Data for Bill Impacts'!$A$3:$Y$39,19,0)</f>
        <v>5.14</v>
      </c>
      <c r="G18" s="22">
        <f>E18*F18</f>
        <v>736.12864949062725</v>
      </c>
      <c r="H18" s="22">
        <f t="shared" si="2"/>
        <v>172.73244438728511</v>
      </c>
      <c r="I18" s="23">
        <f t="shared" si="3"/>
        <v>0.30659142326952893</v>
      </c>
      <c r="J18" s="125">
        <f t="shared" si="0"/>
        <v>8.473845668299565E-2</v>
      </c>
    </row>
    <row r="19" spans="1:10" x14ac:dyDescent="0.2">
      <c r="A19" s="107" t="s">
        <v>189</v>
      </c>
      <c r="B19" s="73">
        <f>IF($C$10="kWh",$C$4,$C$5)</f>
        <v>143.21569056237885</v>
      </c>
      <c r="C19" s="126">
        <f>'Data for Bill Impacts'!H30</f>
        <v>0.155</v>
      </c>
      <c r="D19" s="22">
        <f>B19*C19</f>
        <v>22.198432037168722</v>
      </c>
      <c r="E19" s="73">
        <f>B5</f>
        <v>143.21569056237885</v>
      </c>
      <c r="F19" s="126">
        <v>0</v>
      </c>
      <c r="G19" s="22">
        <f>E19*F19</f>
        <v>0</v>
      </c>
      <c r="H19" s="22">
        <f t="shared" ref="H19" si="6">G19-D19</f>
        <v>-22.198432037168722</v>
      </c>
      <c r="I19" s="23">
        <f t="shared" ref="I19" si="7">IF(ISERROR(H19/D19),0,(H19/D19))</f>
        <v>-1</v>
      </c>
      <c r="J19" s="125">
        <f t="shared" si="0"/>
        <v>0</v>
      </c>
    </row>
    <row r="20" spans="1:10" s="1" customFormat="1" x14ac:dyDescent="0.2">
      <c r="A20" s="107" t="s">
        <v>190</v>
      </c>
      <c r="B20" s="73">
        <f>IF($B$10="kWh",$B$4,$B$5)</f>
        <v>143.21569056237885</v>
      </c>
      <c r="C20" s="78">
        <f>'Data for Bill Impacts'!L30</f>
        <v>-3.9300000000000002E-2</v>
      </c>
      <c r="D20" s="22">
        <f>B20*C20</f>
        <v>-5.6283766391014893</v>
      </c>
      <c r="E20" s="73">
        <f>B20</f>
        <v>143.21569056237885</v>
      </c>
      <c r="F20" s="126">
        <f>VLOOKUP($B$3,'Data for Bill Impacts'!$A$3:$Y$39,23,0)</f>
        <v>0</v>
      </c>
      <c r="G20" s="22">
        <f>E20*F20</f>
        <v>0</v>
      </c>
      <c r="H20" s="22">
        <f>G20-D20</f>
        <v>5.6283766391014893</v>
      </c>
      <c r="I20" s="23">
        <f>IF(ISERROR(H20/D20),0,(H20/D20))</f>
        <v>-1</v>
      </c>
      <c r="J20" s="125">
        <f t="shared" si="0"/>
        <v>0</v>
      </c>
    </row>
    <row r="21" spans="1:10" x14ac:dyDescent="0.2">
      <c r="A21" s="110" t="s">
        <v>79</v>
      </c>
      <c r="B21" s="74"/>
      <c r="C21" s="35"/>
      <c r="D21" s="35">
        <f>SUM(D16:D20)</f>
        <v>662.73626050140933</v>
      </c>
      <c r="E21" s="73"/>
      <c r="F21" s="35"/>
      <c r="G21" s="35">
        <f>SUM(G16:G20)</f>
        <v>944.63864949062724</v>
      </c>
      <c r="H21" s="35">
        <f t="shared" si="2"/>
        <v>281.90238898921791</v>
      </c>
      <c r="I21" s="36">
        <f t="shared" si="3"/>
        <v>0.42536134777948886</v>
      </c>
      <c r="J21" s="111">
        <f t="shared" si="0"/>
        <v>0.10874080411940851</v>
      </c>
    </row>
    <row r="22" spans="1:10" x14ac:dyDescent="0.2">
      <c r="A22" s="107" t="s">
        <v>40</v>
      </c>
      <c r="B22" s="73">
        <f>C5</f>
        <v>143.21569056237885</v>
      </c>
      <c r="C22" s="126">
        <f>VLOOKUP($C$3,'Data for Bill Impacts'!$A$3:$Y$39,15,0)</f>
        <v>2.503832177640037</v>
      </c>
      <c r="D22" s="22">
        <f>B22*C22</f>
        <v>358.58805437302271</v>
      </c>
      <c r="E22" s="73">
        <f>B5</f>
        <v>143.21569056237885</v>
      </c>
      <c r="F22" s="78">
        <f>VLOOKUP($B$3,'Data for Bill Impacts'!$A$3:$Y$39,24,0)</f>
        <v>1.8483000000000001</v>
      </c>
      <c r="G22" s="22">
        <f>E22*F22</f>
        <v>264.70556086644484</v>
      </c>
      <c r="H22" s="22">
        <f t="shared" si="2"/>
        <v>-93.882493506577873</v>
      </c>
      <c r="I22" s="23">
        <f t="shared" si="3"/>
        <v>-0.26181154771239595</v>
      </c>
      <c r="J22" s="125">
        <f t="shared" si="0"/>
        <v>3.0471223635638301E-2</v>
      </c>
    </row>
    <row r="23" spans="1:10" s="1" customFormat="1" x14ac:dyDescent="0.2">
      <c r="A23" s="107" t="s">
        <v>41</v>
      </c>
      <c r="B23" s="73">
        <f>C5</f>
        <v>143.21569056237885</v>
      </c>
      <c r="C23" s="126">
        <f>VLOOKUP($C$3,'Data for Bill Impacts'!$A$3:$Y$39,16,0)</f>
        <v>2.1172379802527086</v>
      </c>
      <c r="D23" s="22">
        <f>B23*C23</f>
        <v>303.22169942678789</v>
      </c>
      <c r="E23" s="73">
        <f>B5</f>
        <v>143.21569056237885</v>
      </c>
      <c r="F23" s="78">
        <f>VLOOKUP($B$3,'Data for Bill Impacts'!$A$3:$Y$39,25,0)</f>
        <v>1.5101</v>
      </c>
      <c r="G23" s="22">
        <f>E23*F23</f>
        <v>216.27001431824831</v>
      </c>
      <c r="H23" s="22">
        <f t="shared" si="2"/>
        <v>-86.951685108539579</v>
      </c>
      <c r="I23" s="23">
        <f t="shared" si="3"/>
        <v>-0.28675944126991426</v>
      </c>
      <c r="J23" s="125">
        <f t="shared" si="0"/>
        <v>2.4895631018869987E-2</v>
      </c>
    </row>
    <row r="24" spans="1:10" x14ac:dyDescent="0.2">
      <c r="A24" s="110" t="s">
        <v>76</v>
      </c>
      <c r="B24" s="74"/>
      <c r="C24" s="35"/>
      <c r="D24" s="35">
        <f>SUM(D22:D23)</f>
        <v>661.80975379981055</v>
      </c>
      <c r="E24" s="73"/>
      <c r="F24" s="35"/>
      <c r="G24" s="35">
        <f>SUM(G22:G23)</f>
        <v>480.97557518469318</v>
      </c>
      <c r="H24" s="35">
        <f t="shared" si="2"/>
        <v>-180.83417861511737</v>
      </c>
      <c r="I24" s="36">
        <f t="shared" si="3"/>
        <v>-0.27324193633721744</v>
      </c>
      <c r="J24" s="111">
        <f t="shared" si="0"/>
        <v>5.5366854654508295E-2</v>
      </c>
    </row>
    <row r="25" spans="1:10" s="1" customFormat="1" x14ac:dyDescent="0.2">
      <c r="A25" s="110" t="s">
        <v>80</v>
      </c>
      <c r="B25" s="74"/>
      <c r="C25" s="35"/>
      <c r="D25" s="35">
        <f>D21+D24</f>
        <v>1324.5460143012199</v>
      </c>
      <c r="E25" s="73"/>
      <c r="F25" s="35"/>
      <c r="G25" s="35">
        <f>G21+G24</f>
        <v>1425.6142246753204</v>
      </c>
      <c r="H25" s="35">
        <f t="shared" si="2"/>
        <v>101.06821037410054</v>
      </c>
      <c r="I25" s="36">
        <f t="shared" si="3"/>
        <v>7.630403872939083E-2</v>
      </c>
      <c r="J25" s="111">
        <f t="shared" si="0"/>
        <v>0.16410765877391681</v>
      </c>
    </row>
    <row r="26" spans="1:10" x14ac:dyDescent="0.2">
      <c r="A26" s="107" t="s">
        <v>42</v>
      </c>
      <c r="B26" s="73">
        <f>$C$9</f>
        <v>54251.581950799715</v>
      </c>
      <c r="C26" s="34">
        <v>3.5999999999999999E-3</v>
      </c>
      <c r="D26" s="22">
        <f>B26*C26</f>
        <v>195.30569502287898</v>
      </c>
      <c r="E26" s="73">
        <f>$B$9</f>
        <v>53783.149708709287</v>
      </c>
      <c r="F26" s="34">
        <v>3.5999999999999999E-3</v>
      </c>
      <c r="G26" s="22">
        <f>E26*F26</f>
        <v>193.61933895135343</v>
      </c>
      <c r="H26" s="22">
        <f t="shared" si="2"/>
        <v>-1.6863560715255517</v>
      </c>
      <c r="I26" s="23">
        <f t="shared" si="3"/>
        <v>-8.6344439230407709E-3</v>
      </c>
      <c r="J26" s="125">
        <f t="shared" si="0"/>
        <v>2.2288229072557536E-2</v>
      </c>
    </row>
    <row r="27" spans="1:10" x14ac:dyDescent="0.2">
      <c r="A27" s="107" t="s">
        <v>43</v>
      </c>
      <c r="B27" s="73">
        <f>$C$9</f>
        <v>54251.581950799715</v>
      </c>
      <c r="C27" s="34">
        <v>2.0999999999999999E-3</v>
      </c>
      <c r="D27" s="22">
        <f>B27*C27</f>
        <v>113.92832209667939</v>
      </c>
      <c r="E27" s="73">
        <f>$B$9</f>
        <v>53783.149708709287</v>
      </c>
      <c r="F27" s="34">
        <v>2.0999999999999999E-3</v>
      </c>
      <c r="G27" s="22">
        <f>E27*F27</f>
        <v>112.94461438828949</v>
      </c>
      <c r="H27" s="22">
        <f>G27-D27</f>
        <v>-0.9837077083899004</v>
      </c>
      <c r="I27" s="23">
        <f t="shared" si="3"/>
        <v>-8.634443923040731E-3</v>
      </c>
      <c r="J27" s="125">
        <f t="shared" si="0"/>
        <v>1.3001466958991894E-2</v>
      </c>
    </row>
    <row r="28" spans="1:10" x14ac:dyDescent="0.2">
      <c r="A28" s="107" t="s">
        <v>100</v>
      </c>
      <c r="B28" s="73">
        <f>$C$9</f>
        <v>54251.581950799715</v>
      </c>
      <c r="C28" s="34">
        <v>1.1000000000000001E-3</v>
      </c>
      <c r="D28" s="22">
        <f>B28*C28</f>
        <v>59.676740145879691</v>
      </c>
      <c r="E28" s="73">
        <f>$B$9</f>
        <v>53783.149708709287</v>
      </c>
      <c r="F28" s="34">
        <v>1.1000000000000001E-3</v>
      </c>
      <c r="G28" s="22">
        <f>E28*F28</f>
        <v>59.16146467958022</v>
      </c>
      <c r="H28" s="22">
        <f>G28-D28</f>
        <v>-0.51527546629947096</v>
      </c>
      <c r="I28" s="23">
        <f t="shared" si="3"/>
        <v>-8.6344439230407188E-3</v>
      </c>
      <c r="J28" s="125">
        <f t="shared" si="0"/>
        <v>6.8102922166148033E-3</v>
      </c>
    </row>
    <row r="29" spans="1:10" x14ac:dyDescent="0.2">
      <c r="A29" s="107" t="s">
        <v>44</v>
      </c>
      <c r="B29" s="73">
        <v>1</v>
      </c>
      <c r="C29" s="22">
        <v>0.25</v>
      </c>
      <c r="D29" s="22">
        <f>B29*C29</f>
        <v>0.25</v>
      </c>
      <c r="E29" s="73">
        <f t="shared" si="4"/>
        <v>1</v>
      </c>
      <c r="F29" s="22">
        <f>C29</f>
        <v>0.25</v>
      </c>
      <c r="G29" s="22">
        <f>E29*F29</f>
        <v>0.25</v>
      </c>
      <c r="H29" s="22">
        <f t="shared" si="2"/>
        <v>0</v>
      </c>
      <c r="I29" s="23">
        <f t="shared" si="3"/>
        <v>0</v>
      </c>
      <c r="J29" s="125">
        <f t="shared" si="0"/>
        <v>2.8778412829615925E-5</v>
      </c>
    </row>
    <row r="30" spans="1:10" x14ac:dyDescent="0.2">
      <c r="A30" s="110" t="s">
        <v>45</v>
      </c>
      <c r="B30" s="74"/>
      <c r="C30" s="35"/>
      <c r="D30" s="35">
        <f>SUM(D26:D29)</f>
        <v>369.16075726543806</v>
      </c>
      <c r="E30" s="73"/>
      <c r="F30" s="35"/>
      <c r="G30" s="35">
        <f>SUM(G26:G29)</f>
        <v>365.97541801922313</v>
      </c>
      <c r="H30" s="35">
        <f t="shared" si="2"/>
        <v>-3.1853392462149372</v>
      </c>
      <c r="I30" s="36">
        <f t="shared" si="3"/>
        <v>-8.6285965762189047E-3</v>
      </c>
      <c r="J30" s="111">
        <f t="shared" si="0"/>
        <v>4.2128766660993848E-2</v>
      </c>
    </row>
    <row r="31" spans="1:10" ht="13.5" thickBot="1" x14ac:dyDescent="0.25">
      <c r="A31" s="112" t="s">
        <v>46</v>
      </c>
      <c r="B31" s="113">
        <f>B4</f>
        <v>50916.548053308041</v>
      </c>
      <c r="C31" s="114">
        <v>7.0000000000000001E-3</v>
      </c>
      <c r="D31" s="115">
        <f>B31*C31</f>
        <v>356.41583637315631</v>
      </c>
      <c r="E31" s="116">
        <f t="shared" si="4"/>
        <v>50916.548053308041</v>
      </c>
      <c r="F31" s="114">
        <f>C31</f>
        <v>7.0000000000000001E-3</v>
      </c>
      <c r="G31" s="115">
        <f>E31*F31</f>
        <v>356.41583637315631</v>
      </c>
      <c r="H31" s="115">
        <f t="shared" si="2"/>
        <v>0</v>
      </c>
      <c r="I31" s="117">
        <f t="shared" si="3"/>
        <v>0</v>
      </c>
      <c r="J31" s="118">
        <f t="shared" si="0"/>
        <v>4.1028328312638127E-2</v>
      </c>
    </row>
    <row r="32" spans="1:10" x14ac:dyDescent="0.2">
      <c r="A32" s="37" t="s">
        <v>146</v>
      </c>
      <c r="B32" s="38"/>
      <c r="C32" s="39"/>
      <c r="D32" s="39">
        <f>SUM(D15,D21,D24,D30,D31)</f>
        <v>7638.0355488721862</v>
      </c>
      <c r="E32" s="38"/>
      <c r="F32" s="39"/>
      <c r="G32" s="39">
        <f>SUM(G15,G21,G24,G30,G31)</f>
        <v>7687.6698990647565</v>
      </c>
      <c r="H32" s="39">
        <f t="shared" si="2"/>
        <v>49.634350192570309</v>
      </c>
      <c r="I32" s="40">
        <f>IF(ISERROR(H32/D32),0,(H32/D32))</f>
        <v>6.498313587961658E-3</v>
      </c>
      <c r="J32" s="41">
        <f t="shared" si="0"/>
        <v>0.88495575221238942</v>
      </c>
    </row>
    <row r="33" spans="1:10" x14ac:dyDescent="0.2">
      <c r="A33" s="46" t="s">
        <v>138</v>
      </c>
      <c r="B33" s="43"/>
      <c r="C33" s="26">
        <v>0.13</v>
      </c>
      <c r="D33" s="26">
        <f>D32*C33</f>
        <v>992.94462135338426</v>
      </c>
      <c r="E33" s="26"/>
      <c r="F33" s="26">
        <f>C33</f>
        <v>0.13</v>
      </c>
      <c r="G33" s="26">
        <f>G32*F33</f>
        <v>999.39708687841835</v>
      </c>
      <c r="H33" s="26">
        <f t="shared" si="2"/>
        <v>6.4524655250340857</v>
      </c>
      <c r="I33" s="44">
        <f t="shared" ref="I33:I36" si="8">IF(ISERROR(H33/D33),0,(H33/D33))</f>
        <v>6.4983135879616025E-3</v>
      </c>
      <c r="J33" s="45">
        <f t="shared" si="0"/>
        <v>0.11504424778761062</v>
      </c>
    </row>
    <row r="34" spans="1:10" x14ac:dyDescent="0.2">
      <c r="A34" s="46" t="s">
        <v>139</v>
      </c>
      <c r="B34" s="24"/>
      <c r="C34" s="25"/>
      <c r="D34" s="25">
        <f>SUM(D32:D33)</f>
        <v>8630.98017022557</v>
      </c>
      <c r="E34" s="25"/>
      <c r="F34" s="25"/>
      <c r="G34" s="25">
        <f>SUM(G32:G33)</f>
        <v>8687.0669859431746</v>
      </c>
      <c r="H34" s="25">
        <f t="shared" si="2"/>
        <v>56.086815717604622</v>
      </c>
      <c r="I34" s="27">
        <f t="shared" si="8"/>
        <v>6.4983135879616788E-3</v>
      </c>
      <c r="J34" s="47">
        <f t="shared" si="0"/>
        <v>1</v>
      </c>
    </row>
    <row r="35" spans="1:10" x14ac:dyDescent="0.2">
      <c r="A35" s="46" t="s">
        <v>140</v>
      </c>
      <c r="B35" s="43"/>
      <c r="C35" s="26">
        <v>0</v>
      </c>
      <c r="D35" s="26">
        <f>D32*C35</f>
        <v>0</v>
      </c>
      <c r="E35" s="26"/>
      <c r="F35" s="26">
        <f>C35</f>
        <v>0</v>
      </c>
      <c r="G35" s="26">
        <f>G32*F35</f>
        <v>0</v>
      </c>
      <c r="H35" s="26">
        <f t="shared" si="2"/>
        <v>0</v>
      </c>
      <c r="I35" s="44">
        <f t="shared" si="8"/>
        <v>0</v>
      </c>
      <c r="J35" s="45">
        <f t="shared" si="0"/>
        <v>0</v>
      </c>
    </row>
    <row r="36" spans="1:10" ht="13.5" thickBot="1" x14ac:dyDescent="0.25">
      <c r="A36" s="46" t="s">
        <v>141</v>
      </c>
      <c r="B36" s="49"/>
      <c r="C36" s="50"/>
      <c r="D36" s="50">
        <f>SUM(D34:D35)</f>
        <v>8630.98017022557</v>
      </c>
      <c r="E36" s="50"/>
      <c r="F36" s="50"/>
      <c r="G36" s="50">
        <f>SUM(G34:G35)</f>
        <v>8687.0669859431746</v>
      </c>
      <c r="H36" s="50">
        <f t="shared" si="2"/>
        <v>56.086815717604622</v>
      </c>
      <c r="I36" s="51">
        <f t="shared" si="8"/>
        <v>6.4983135879616788E-3</v>
      </c>
      <c r="J36" s="52">
        <f t="shared" si="0"/>
        <v>1</v>
      </c>
    </row>
    <row r="37" spans="1:10" x14ac:dyDescent="0.2">
      <c r="F37" s="69"/>
    </row>
    <row r="38" spans="1:10" x14ac:dyDescent="0.2">
      <c r="F38" s="69"/>
    </row>
  </sheetData>
  <mergeCells count="1">
    <mergeCell ref="A1:J1"/>
  </mergeCells>
  <dataValidations count="1">
    <dataValidation type="list" allowBlank="1" showInputMessage="1" showErrorMessage="1" sqref="WVI983030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6 IW65526 SS65526 ACO65526 AMK65526 AWG65526 BGC65526 BPY65526 BZU65526 CJQ65526 CTM65526 DDI65526 DNE65526 DXA65526 EGW65526 EQS65526 FAO65526 FKK65526 FUG65526 GEC65526 GNY65526 GXU65526 HHQ65526 HRM65526 IBI65526 ILE65526 IVA65526 JEW65526 JOS65526 JYO65526 KIK65526 KSG65526 LCC65526 LLY65526 LVU65526 MFQ65526 MPM65526 MZI65526 NJE65526 NTA65526 OCW65526 OMS65526 OWO65526 PGK65526 PQG65526 QAC65526 QJY65526 QTU65526 RDQ65526 RNM65526 RXI65526 SHE65526 SRA65526 TAW65526 TKS65526 TUO65526 UEK65526 UOG65526 UYC65526 VHY65526 VRU65526 WBQ65526 WLM65526 WVI65526 B131062 IW131062 SS131062 ACO131062 AMK131062 AWG131062 BGC131062 BPY131062 BZU131062 CJQ131062 CTM131062 DDI131062 DNE131062 DXA131062 EGW131062 EQS131062 FAO131062 FKK131062 FUG131062 GEC131062 GNY131062 GXU131062 HHQ131062 HRM131062 IBI131062 ILE131062 IVA131062 JEW131062 JOS131062 JYO131062 KIK131062 KSG131062 LCC131062 LLY131062 LVU131062 MFQ131062 MPM131062 MZI131062 NJE131062 NTA131062 OCW131062 OMS131062 OWO131062 PGK131062 PQG131062 QAC131062 QJY131062 QTU131062 RDQ131062 RNM131062 RXI131062 SHE131062 SRA131062 TAW131062 TKS131062 TUO131062 UEK131062 UOG131062 UYC131062 VHY131062 VRU131062 WBQ131062 WLM131062 WVI131062 B196598 IW196598 SS196598 ACO196598 AMK196598 AWG196598 BGC196598 BPY196598 BZU196598 CJQ196598 CTM196598 DDI196598 DNE196598 DXA196598 EGW196598 EQS196598 FAO196598 FKK196598 FUG196598 GEC196598 GNY196598 GXU196598 HHQ196598 HRM196598 IBI196598 ILE196598 IVA196598 JEW196598 JOS196598 JYO196598 KIK196598 KSG196598 LCC196598 LLY196598 LVU196598 MFQ196598 MPM196598 MZI196598 NJE196598 NTA196598 OCW196598 OMS196598 OWO196598 PGK196598 PQG196598 QAC196598 QJY196598 QTU196598 RDQ196598 RNM196598 RXI196598 SHE196598 SRA196598 TAW196598 TKS196598 TUO196598 UEK196598 UOG196598 UYC196598 VHY196598 VRU196598 WBQ196598 WLM196598 WVI196598 B262134 IW262134 SS262134 ACO262134 AMK262134 AWG262134 BGC262134 BPY262134 BZU262134 CJQ262134 CTM262134 DDI262134 DNE262134 DXA262134 EGW262134 EQS262134 FAO262134 FKK262134 FUG262134 GEC262134 GNY262134 GXU262134 HHQ262134 HRM262134 IBI262134 ILE262134 IVA262134 JEW262134 JOS262134 JYO262134 KIK262134 KSG262134 LCC262134 LLY262134 LVU262134 MFQ262134 MPM262134 MZI262134 NJE262134 NTA262134 OCW262134 OMS262134 OWO262134 PGK262134 PQG262134 QAC262134 QJY262134 QTU262134 RDQ262134 RNM262134 RXI262134 SHE262134 SRA262134 TAW262134 TKS262134 TUO262134 UEK262134 UOG262134 UYC262134 VHY262134 VRU262134 WBQ262134 WLM262134 WVI262134 B327670 IW327670 SS327670 ACO327670 AMK327670 AWG327670 BGC327670 BPY327670 BZU327670 CJQ327670 CTM327670 DDI327670 DNE327670 DXA327670 EGW327670 EQS327670 FAO327670 FKK327670 FUG327670 GEC327670 GNY327670 GXU327670 HHQ327670 HRM327670 IBI327670 ILE327670 IVA327670 JEW327670 JOS327670 JYO327670 KIK327670 KSG327670 LCC327670 LLY327670 LVU327670 MFQ327670 MPM327670 MZI327670 NJE327670 NTA327670 OCW327670 OMS327670 OWO327670 PGK327670 PQG327670 QAC327670 QJY327670 QTU327670 RDQ327670 RNM327670 RXI327670 SHE327670 SRA327670 TAW327670 TKS327670 TUO327670 UEK327670 UOG327670 UYC327670 VHY327670 VRU327670 WBQ327670 WLM327670 WVI327670 B393206 IW393206 SS393206 ACO393206 AMK393206 AWG393206 BGC393206 BPY393206 BZU393206 CJQ393206 CTM393206 DDI393206 DNE393206 DXA393206 EGW393206 EQS393206 FAO393206 FKK393206 FUG393206 GEC393206 GNY393206 GXU393206 HHQ393206 HRM393206 IBI393206 ILE393206 IVA393206 JEW393206 JOS393206 JYO393206 KIK393206 KSG393206 LCC393206 LLY393206 LVU393206 MFQ393206 MPM393206 MZI393206 NJE393206 NTA393206 OCW393206 OMS393206 OWO393206 PGK393206 PQG393206 QAC393206 QJY393206 QTU393206 RDQ393206 RNM393206 RXI393206 SHE393206 SRA393206 TAW393206 TKS393206 TUO393206 UEK393206 UOG393206 UYC393206 VHY393206 VRU393206 WBQ393206 WLM393206 WVI393206 B458742 IW458742 SS458742 ACO458742 AMK458742 AWG458742 BGC458742 BPY458742 BZU458742 CJQ458742 CTM458742 DDI458742 DNE458742 DXA458742 EGW458742 EQS458742 FAO458742 FKK458742 FUG458742 GEC458742 GNY458742 GXU458742 HHQ458742 HRM458742 IBI458742 ILE458742 IVA458742 JEW458742 JOS458742 JYO458742 KIK458742 KSG458742 LCC458742 LLY458742 LVU458742 MFQ458742 MPM458742 MZI458742 NJE458742 NTA458742 OCW458742 OMS458742 OWO458742 PGK458742 PQG458742 QAC458742 QJY458742 QTU458742 RDQ458742 RNM458742 RXI458742 SHE458742 SRA458742 TAW458742 TKS458742 TUO458742 UEK458742 UOG458742 UYC458742 VHY458742 VRU458742 WBQ458742 WLM458742 WVI458742 B524278 IW524278 SS524278 ACO524278 AMK524278 AWG524278 BGC524278 BPY524278 BZU524278 CJQ524278 CTM524278 DDI524278 DNE524278 DXA524278 EGW524278 EQS524278 FAO524278 FKK524278 FUG524278 GEC524278 GNY524278 GXU524278 HHQ524278 HRM524278 IBI524278 ILE524278 IVA524278 JEW524278 JOS524278 JYO524278 KIK524278 KSG524278 LCC524278 LLY524278 LVU524278 MFQ524278 MPM524278 MZI524278 NJE524278 NTA524278 OCW524278 OMS524278 OWO524278 PGK524278 PQG524278 QAC524278 QJY524278 QTU524278 RDQ524278 RNM524278 RXI524278 SHE524278 SRA524278 TAW524278 TKS524278 TUO524278 UEK524278 UOG524278 UYC524278 VHY524278 VRU524278 WBQ524278 WLM524278 WVI524278 B589814 IW589814 SS589814 ACO589814 AMK589814 AWG589814 BGC589814 BPY589814 BZU589814 CJQ589814 CTM589814 DDI589814 DNE589814 DXA589814 EGW589814 EQS589814 FAO589814 FKK589814 FUG589814 GEC589814 GNY589814 GXU589814 HHQ589814 HRM589814 IBI589814 ILE589814 IVA589814 JEW589814 JOS589814 JYO589814 KIK589814 KSG589814 LCC589814 LLY589814 LVU589814 MFQ589814 MPM589814 MZI589814 NJE589814 NTA589814 OCW589814 OMS589814 OWO589814 PGK589814 PQG589814 QAC589814 QJY589814 QTU589814 RDQ589814 RNM589814 RXI589814 SHE589814 SRA589814 TAW589814 TKS589814 TUO589814 UEK589814 UOG589814 UYC589814 VHY589814 VRU589814 WBQ589814 WLM589814 WVI589814 B655350 IW655350 SS655350 ACO655350 AMK655350 AWG655350 BGC655350 BPY655350 BZU655350 CJQ655350 CTM655350 DDI655350 DNE655350 DXA655350 EGW655350 EQS655350 FAO655350 FKK655350 FUG655350 GEC655350 GNY655350 GXU655350 HHQ655350 HRM655350 IBI655350 ILE655350 IVA655350 JEW655350 JOS655350 JYO655350 KIK655350 KSG655350 LCC655350 LLY655350 LVU655350 MFQ655350 MPM655350 MZI655350 NJE655350 NTA655350 OCW655350 OMS655350 OWO655350 PGK655350 PQG655350 QAC655350 QJY655350 QTU655350 RDQ655350 RNM655350 RXI655350 SHE655350 SRA655350 TAW655350 TKS655350 TUO655350 UEK655350 UOG655350 UYC655350 VHY655350 VRU655350 WBQ655350 WLM655350 WVI655350 B720886 IW720886 SS720886 ACO720886 AMK720886 AWG720886 BGC720886 BPY720886 BZU720886 CJQ720886 CTM720886 DDI720886 DNE720886 DXA720886 EGW720886 EQS720886 FAO720886 FKK720886 FUG720886 GEC720886 GNY720886 GXU720886 HHQ720886 HRM720886 IBI720886 ILE720886 IVA720886 JEW720886 JOS720886 JYO720886 KIK720886 KSG720886 LCC720886 LLY720886 LVU720886 MFQ720886 MPM720886 MZI720886 NJE720886 NTA720886 OCW720886 OMS720886 OWO720886 PGK720886 PQG720886 QAC720886 QJY720886 QTU720886 RDQ720886 RNM720886 RXI720886 SHE720886 SRA720886 TAW720886 TKS720886 TUO720886 UEK720886 UOG720886 UYC720886 VHY720886 VRU720886 WBQ720886 WLM720886 WVI720886 B786422 IW786422 SS786422 ACO786422 AMK786422 AWG786422 BGC786422 BPY786422 BZU786422 CJQ786422 CTM786422 DDI786422 DNE786422 DXA786422 EGW786422 EQS786422 FAO786422 FKK786422 FUG786422 GEC786422 GNY786422 GXU786422 HHQ786422 HRM786422 IBI786422 ILE786422 IVA786422 JEW786422 JOS786422 JYO786422 KIK786422 KSG786422 LCC786422 LLY786422 LVU786422 MFQ786422 MPM786422 MZI786422 NJE786422 NTA786422 OCW786422 OMS786422 OWO786422 PGK786422 PQG786422 QAC786422 QJY786422 QTU786422 RDQ786422 RNM786422 RXI786422 SHE786422 SRA786422 TAW786422 TKS786422 TUO786422 UEK786422 UOG786422 UYC786422 VHY786422 VRU786422 WBQ786422 WLM786422 WVI786422 B851958 IW851958 SS851958 ACO851958 AMK851958 AWG851958 BGC851958 BPY851958 BZU851958 CJQ851958 CTM851958 DDI851958 DNE851958 DXA851958 EGW851958 EQS851958 FAO851958 FKK851958 FUG851958 GEC851958 GNY851958 GXU851958 HHQ851958 HRM851958 IBI851958 ILE851958 IVA851958 JEW851958 JOS851958 JYO851958 KIK851958 KSG851958 LCC851958 LLY851958 LVU851958 MFQ851958 MPM851958 MZI851958 NJE851958 NTA851958 OCW851958 OMS851958 OWO851958 PGK851958 PQG851958 QAC851958 QJY851958 QTU851958 RDQ851958 RNM851958 RXI851958 SHE851958 SRA851958 TAW851958 TKS851958 TUO851958 UEK851958 UOG851958 UYC851958 VHY851958 VRU851958 WBQ851958 WLM851958 WVI851958 B917494 IW917494 SS917494 ACO917494 AMK917494 AWG917494 BGC917494 BPY917494 BZU917494 CJQ917494 CTM917494 DDI917494 DNE917494 DXA917494 EGW917494 EQS917494 FAO917494 FKK917494 FUG917494 GEC917494 GNY917494 GXU917494 HHQ917494 HRM917494 IBI917494 ILE917494 IVA917494 JEW917494 JOS917494 JYO917494 KIK917494 KSG917494 LCC917494 LLY917494 LVU917494 MFQ917494 MPM917494 MZI917494 NJE917494 NTA917494 OCW917494 OMS917494 OWO917494 PGK917494 PQG917494 QAC917494 QJY917494 QTU917494 RDQ917494 RNM917494 RXI917494 SHE917494 SRA917494 TAW917494 TKS917494 TUO917494 UEK917494 UOG917494 UYC917494 VHY917494 VRU917494 WBQ917494 WLM917494 WVI917494 B983030 IW983030 SS983030 ACO983030 AMK983030 AWG983030 BGC983030 BPY983030 BZU983030 CJQ983030 CTM983030 DDI983030 DNE983030 DXA983030 EGW983030 EQS983030 FAO983030 FKK983030 FUG983030 GEC983030 GNY983030 GXU983030 HHQ983030 HRM983030 IBI983030 ILE983030 IVA983030 JEW983030 JOS983030 JYO983030 KIK983030 KSG983030 LCC983030 LLY983030 LVU983030 MFQ983030 MPM983030 MZI983030 NJE983030 NTA983030 OCW983030 OMS983030 OWO983030 PGK983030 PQG983030 QAC983030 QJY983030 QTU983030 RDQ983030 RNM983030 RXI983030 SHE983030 SRA983030 TAW983030 TKS983030 TUO983030 UEK983030 UOG983030 UYC983030 VHY983030 VRU983030 WBQ983030 WLM983030">
      <formula1>Demand</formula1>
    </dataValidation>
  </dataValidation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Impacts'!$A$12:$A$21</xm:f>
          </x14:formula1>
          <xm:sqref>B3</xm:sqref>
        </x14:dataValidation>
      </x14:dataValidations>
    </ext>
  </extLst>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8">
    <pageSetUpPr fitToPage="1"/>
  </sheetPr>
  <dimension ref="A1:J38"/>
  <sheetViews>
    <sheetView topLeftCell="A10" workbookViewId="0">
      <selection activeCell="C19" sqref="C19"/>
    </sheetView>
  </sheetViews>
  <sheetFormatPr defaultRowHeight="12.75" x14ac:dyDescent="0.2"/>
  <cols>
    <col min="1" max="1" width="64.7109375" bestFit="1" customWidth="1"/>
    <col min="2" max="2" width="20.7109375" bestFit="1" customWidth="1"/>
    <col min="3" max="3" width="12.28515625" bestFit="1"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48" t="s">
        <v>111</v>
      </c>
      <c r="B1" s="349"/>
      <c r="C1" s="349"/>
      <c r="D1" s="349"/>
      <c r="E1" s="349"/>
      <c r="F1" s="349"/>
      <c r="G1" s="349"/>
      <c r="H1" s="349"/>
      <c r="I1" s="349"/>
      <c r="J1" s="350"/>
    </row>
    <row r="3" spans="1:10" x14ac:dyDescent="0.2">
      <c r="A3" s="13" t="s">
        <v>13</v>
      </c>
      <c r="B3" s="13" t="s">
        <v>182</v>
      </c>
      <c r="C3" s="13" t="s">
        <v>121</v>
      </c>
    </row>
    <row r="4" spans="1:10" x14ac:dyDescent="0.2">
      <c r="A4" s="15" t="s">
        <v>62</v>
      </c>
      <c r="B4" s="79">
        <v>175000</v>
      </c>
      <c r="C4" s="79">
        <f>B4</f>
        <v>175000</v>
      </c>
    </row>
    <row r="5" spans="1:10" x14ac:dyDescent="0.2">
      <c r="A5" s="15" t="s">
        <v>16</v>
      </c>
      <c r="B5" s="79">
        <v>500</v>
      </c>
      <c r="C5" s="79">
        <f>B5</f>
        <v>500</v>
      </c>
    </row>
    <row r="6" spans="1:10" x14ac:dyDescent="0.2">
      <c r="A6" s="15" t="s">
        <v>20</v>
      </c>
      <c r="B6" s="80">
        <f>VLOOKUP($B$3,'Data for Bill Impacts'!$A$3:$Y$39,2,0)</f>
        <v>1.0563</v>
      </c>
      <c r="C6" s="80">
        <f>VLOOKUP($C$3,'Data for Bill Impacts'!$A$3:$Y$39,2,0)</f>
        <v>1.0654999999999999</v>
      </c>
    </row>
    <row r="7" spans="1:10" x14ac:dyDescent="0.2">
      <c r="A7" s="81" t="s">
        <v>49</v>
      </c>
      <c r="B7" s="82">
        <f>B4/(B5*730)</f>
        <v>0.47945205479452052</v>
      </c>
      <c r="C7" s="82">
        <f>C4/(C5*730)</f>
        <v>0.47945205479452052</v>
      </c>
    </row>
    <row r="8" spans="1:10" x14ac:dyDescent="0.2">
      <c r="A8" s="15" t="s">
        <v>15</v>
      </c>
      <c r="B8" s="79">
        <f>VLOOKUP($B$3,'Data for Bill Impacts'!$A$3:$Y$39,4,0)</f>
        <v>0</v>
      </c>
      <c r="C8" s="79">
        <v>0</v>
      </c>
    </row>
    <row r="9" spans="1:10" x14ac:dyDescent="0.2">
      <c r="A9" s="15" t="s">
        <v>82</v>
      </c>
      <c r="B9" s="79">
        <f>B4*B6</f>
        <v>184852.5</v>
      </c>
      <c r="C9" s="79">
        <f>C4*C6</f>
        <v>186462.49999999997</v>
      </c>
    </row>
    <row r="10" spans="1:10" x14ac:dyDescent="0.2">
      <c r="A10" s="15" t="s">
        <v>21</v>
      </c>
      <c r="B10" s="16" t="s">
        <v>19</v>
      </c>
      <c r="C10" s="16" t="str">
        <f>VLOOKUP($C$3,'Data for Bill Impacts'!$A$3:$Y$39,6,0)</f>
        <v>kW</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3" t="s">
        <v>50</v>
      </c>
    </row>
    <row r="13" spans="1:10" x14ac:dyDescent="0.2">
      <c r="A13" s="101" t="s">
        <v>31</v>
      </c>
      <c r="B13" s="102">
        <f>C9</f>
        <v>186462.49999999997</v>
      </c>
      <c r="C13" s="103">
        <v>0.10299999999999999</v>
      </c>
      <c r="D13" s="104">
        <f>B13*C13</f>
        <v>19205.637499999997</v>
      </c>
      <c r="E13" s="102">
        <f>B9</f>
        <v>184852.5</v>
      </c>
      <c r="F13" s="103">
        <f>C13</f>
        <v>0.10299999999999999</v>
      </c>
      <c r="G13" s="104">
        <f>E13*F13</f>
        <v>19039.807499999999</v>
      </c>
      <c r="H13" s="104">
        <f>G13-D13</f>
        <v>-165.82999999999811</v>
      </c>
      <c r="I13" s="105">
        <f>IF(ISERROR(H13/D13),0,(H13/D13))</f>
        <v>-8.6344439230407292E-3</v>
      </c>
      <c r="J13" s="124">
        <f t="shared" ref="J13:J36" si="0">G13/$G$36</f>
        <v>0.64855811792064533</v>
      </c>
    </row>
    <row r="14" spans="1:10" x14ac:dyDescent="0.2">
      <c r="A14" s="107" t="s">
        <v>32</v>
      </c>
      <c r="B14" s="73">
        <v>0</v>
      </c>
      <c r="C14" s="21">
        <v>0.121</v>
      </c>
      <c r="D14" s="22">
        <f>B14*C14</f>
        <v>0</v>
      </c>
      <c r="E14" s="73">
        <f t="shared" ref="E14" si="1">B14</f>
        <v>0</v>
      </c>
      <c r="F14" s="21">
        <f>C14</f>
        <v>0.121</v>
      </c>
      <c r="G14" s="22">
        <f>E14*F14</f>
        <v>0</v>
      </c>
      <c r="H14" s="22">
        <f t="shared" ref="H14:H36" si="2">G14-D14</f>
        <v>0</v>
      </c>
      <c r="I14" s="23">
        <f t="shared" ref="I14:I31" si="3">IF(ISERROR(H14/D14),0,(H14/D14))</f>
        <v>0</v>
      </c>
      <c r="J14" s="125">
        <f t="shared" si="0"/>
        <v>0</v>
      </c>
    </row>
    <row r="15" spans="1:10" s="1" customFormat="1" x14ac:dyDescent="0.2">
      <c r="A15" s="46" t="s">
        <v>33</v>
      </c>
      <c r="B15" s="24"/>
      <c r="C15" s="25"/>
      <c r="D15" s="25">
        <f>SUM(D13:D14)</f>
        <v>19205.637499999997</v>
      </c>
      <c r="E15" s="76"/>
      <c r="F15" s="25"/>
      <c r="G15" s="25">
        <f>SUM(G13:G14)</f>
        <v>19039.807499999999</v>
      </c>
      <c r="H15" s="25">
        <f t="shared" si="2"/>
        <v>-165.82999999999811</v>
      </c>
      <c r="I15" s="27">
        <f t="shared" si="3"/>
        <v>-8.6344439230407292E-3</v>
      </c>
      <c r="J15" s="47">
        <f t="shared" si="0"/>
        <v>0.64855811792064533</v>
      </c>
    </row>
    <row r="16" spans="1:10" s="1" customFormat="1" x14ac:dyDescent="0.2">
      <c r="A16" s="107" t="s">
        <v>38</v>
      </c>
      <c r="B16" s="73">
        <v>1</v>
      </c>
      <c r="C16" s="122">
        <f>VLOOKUP($C$3,'Data for Bill Impacts'!$A$3:$Y$39,7,0)</f>
        <v>83.61</v>
      </c>
      <c r="D16" s="22">
        <f>B16*C16</f>
        <v>83.61</v>
      </c>
      <c r="E16" s="73">
        <f t="shared" ref="E16:E29" si="4">B16</f>
        <v>1</v>
      </c>
      <c r="F16" s="78">
        <f>VLOOKUP($B$3,'Data for Bill Impacts'!$A$3:$Y$39,17,0)</f>
        <v>208.51</v>
      </c>
      <c r="G16" s="22">
        <f>E16*F16</f>
        <v>208.51</v>
      </c>
      <c r="H16" s="22">
        <f t="shared" si="2"/>
        <v>124.89999999999999</v>
      </c>
      <c r="I16" s="23">
        <f t="shared" si="3"/>
        <v>1.4938404497069728</v>
      </c>
      <c r="J16" s="125">
        <f t="shared" si="0"/>
        <v>7.1025325843044242E-3</v>
      </c>
    </row>
    <row r="17" spans="1:10" x14ac:dyDescent="0.2">
      <c r="A17" s="107" t="s">
        <v>188</v>
      </c>
      <c r="B17" s="73">
        <v>1</v>
      </c>
      <c r="C17" s="126">
        <f>'Data for Bill Impacts'!K30</f>
        <v>-0.84</v>
      </c>
      <c r="D17" s="22">
        <f t="shared" ref="D17" si="5">B17*C17</f>
        <v>-0.84</v>
      </c>
      <c r="E17" s="73">
        <v>1</v>
      </c>
      <c r="F17" s="122">
        <v>0</v>
      </c>
      <c r="G17" s="22">
        <f t="shared" ref="G17" si="6">E17*F17</f>
        <v>0</v>
      </c>
      <c r="H17" s="22">
        <f t="shared" si="2"/>
        <v>0.84</v>
      </c>
      <c r="I17" s="23">
        <f t="shared" si="3"/>
        <v>-1</v>
      </c>
      <c r="J17" s="125">
        <f t="shared" si="0"/>
        <v>0</v>
      </c>
    </row>
    <row r="18" spans="1:10" x14ac:dyDescent="0.2">
      <c r="A18" s="107" t="s">
        <v>39</v>
      </c>
      <c r="B18" s="73">
        <f>IF($C$10="kWh",$C$4,$C$5)</f>
        <v>500</v>
      </c>
      <c r="C18" s="126">
        <f>VLOOKUP($C$3,'Data for Bill Impacts'!$A$3:$Y$39,10,0)</f>
        <v>3.9339</v>
      </c>
      <c r="D18" s="22">
        <f>B18*C18</f>
        <v>1966.95</v>
      </c>
      <c r="E18" s="73">
        <f>IF($B$10="kWh",$B$4,$B$5)</f>
        <v>500</v>
      </c>
      <c r="F18" s="126">
        <f>VLOOKUP($B$3,'Data for Bill Impacts'!$A$3:$Y$39,19,0)</f>
        <v>5.14</v>
      </c>
      <c r="G18" s="22">
        <f>E18*F18</f>
        <v>2570</v>
      </c>
      <c r="H18" s="22">
        <f t="shared" si="2"/>
        <v>603.04999999999995</v>
      </c>
      <c r="I18" s="23">
        <f t="shared" si="3"/>
        <v>0.30659142326952893</v>
      </c>
      <c r="J18" s="125">
        <f t="shared" si="0"/>
        <v>8.7542605830235334E-2</v>
      </c>
    </row>
    <row r="19" spans="1:10" s="1" customFormat="1" x14ac:dyDescent="0.2">
      <c r="A19" s="107" t="s">
        <v>189</v>
      </c>
      <c r="B19" s="73">
        <f>IF($C$10="kWh",$C$4,$C$5)</f>
        <v>500</v>
      </c>
      <c r="C19" s="126">
        <f>'Data for Bill Impacts'!H30</f>
        <v>0.155</v>
      </c>
      <c r="D19" s="22">
        <f>B19*C19</f>
        <v>77.5</v>
      </c>
      <c r="E19" s="73">
        <f t="shared" ref="E19:E20" si="7">IF($B$10="kWh",$B$4,$B$5)</f>
        <v>500</v>
      </c>
      <c r="F19" s="126">
        <v>0</v>
      </c>
      <c r="G19" s="22">
        <f t="shared" ref="G19:G20" si="8">E19*F19</f>
        <v>0</v>
      </c>
      <c r="H19" s="22">
        <f t="shared" ref="H19" si="9">G19-D19</f>
        <v>-77.5</v>
      </c>
      <c r="I19" s="23">
        <f t="shared" ref="I19" si="10">IF(ISERROR(H19/D19),0,(H19/D19))</f>
        <v>-1</v>
      </c>
      <c r="J19" s="125">
        <f t="shared" si="0"/>
        <v>0</v>
      </c>
    </row>
    <row r="20" spans="1:10" x14ac:dyDescent="0.2">
      <c r="A20" s="107" t="s">
        <v>190</v>
      </c>
      <c r="B20" s="120">
        <f>IF($C$10="kWh",$C$4,$C$5)</f>
        <v>500</v>
      </c>
      <c r="C20" s="273">
        <f>'Data for Bill Impacts'!L30</f>
        <v>-3.9300000000000002E-2</v>
      </c>
      <c r="D20" s="22">
        <f>B20*C20</f>
        <v>-19.650000000000002</v>
      </c>
      <c r="E20" s="73">
        <f t="shared" si="7"/>
        <v>500</v>
      </c>
      <c r="F20" s="268">
        <v>0</v>
      </c>
      <c r="G20" s="22">
        <f t="shared" si="8"/>
        <v>0</v>
      </c>
      <c r="H20" s="35">
        <f t="shared" si="2"/>
        <v>19.650000000000002</v>
      </c>
      <c r="I20" s="36">
        <f t="shared" si="3"/>
        <v>-1</v>
      </c>
      <c r="J20" s="125">
        <f t="shared" si="0"/>
        <v>0</v>
      </c>
    </row>
    <row r="21" spans="1:10" x14ac:dyDescent="0.2">
      <c r="A21" s="110" t="s">
        <v>79</v>
      </c>
      <c r="B21" s="74"/>
      <c r="C21" s="35"/>
      <c r="D21" s="35">
        <f>SUM(D16:D20)</f>
        <v>2107.5700000000002</v>
      </c>
      <c r="E21" s="73"/>
      <c r="F21" s="35"/>
      <c r="G21" s="35">
        <f>SUM(G16:G20)</f>
        <v>2778.51</v>
      </c>
      <c r="H21" s="35">
        <f t="shared" si="2"/>
        <v>670.94</v>
      </c>
      <c r="I21" s="36">
        <f t="shared" si="3"/>
        <v>0.31834767054000579</v>
      </c>
      <c r="J21" s="111">
        <f t="shared" si="0"/>
        <v>9.4645138414539767E-2</v>
      </c>
    </row>
    <row r="22" spans="1:10" x14ac:dyDescent="0.2">
      <c r="A22" s="107" t="s">
        <v>40</v>
      </c>
      <c r="B22" s="73">
        <f>C5</f>
        <v>500</v>
      </c>
      <c r="C22" s="126">
        <f>VLOOKUP($C$3,'Data for Bill Impacts'!$A$3:$Y$39,15,0)</f>
        <v>2.503832177640037</v>
      </c>
      <c r="D22" s="22">
        <f>B22*C22</f>
        <v>1251.9160888200186</v>
      </c>
      <c r="E22" s="73">
        <f>B5</f>
        <v>500</v>
      </c>
      <c r="F22" s="78">
        <f>VLOOKUP($B$3,'Data for Bill Impacts'!$A$3:$Y$39,24,0)</f>
        <v>1.8483000000000001</v>
      </c>
      <c r="G22" s="22">
        <f>E22*F22</f>
        <v>924.15</v>
      </c>
      <c r="H22" s="22">
        <f t="shared" si="2"/>
        <v>-327.76608882001858</v>
      </c>
      <c r="I22" s="23">
        <f t="shared" si="3"/>
        <v>-0.26181154771239606</v>
      </c>
      <c r="J22" s="125">
        <f t="shared" si="0"/>
        <v>3.1479571664596105E-2</v>
      </c>
    </row>
    <row r="23" spans="1:10" s="1" customFormat="1" x14ac:dyDescent="0.2">
      <c r="A23" s="107" t="s">
        <v>41</v>
      </c>
      <c r="B23" s="73">
        <f>C5</f>
        <v>500</v>
      </c>
      <c r="C23" s="126">
        <f>VLOOKUP($C$3,'Data for Bill Impacts'!$A$3:$Y$39,16,0)</f>
        <v>2.1172379802527086</v>
      </c>
      <c r="D23" s="22">
        <f>B23*C23</f>
        <v>1058.6189901263542</v>
      </c>
      <c r="E23" s="73">
        <f>B5</f>
        <v>500</v>
      </c>
      <c r="F23" s="78">
        <f>VLOOKUP($B$3,'Data for Bill Impacts'!$A$3:$Y$39,25,0)</f>
        <v>1.5101</v>
      </c>
      <c r="G23" s="22">
        <f>E23*F23</f>
        <v>755.05</v>
      </c>
      <c r="H23" s="22">
        <f t="shared" si="2"/>
        <v>-303.56899012635427</v>
      </c>
      <c r="I23" s="23">
        <f t="shared" si="3"/>
        <v>-0.28675944126991432</v>
      </c>
      <c r="J23" s="125">
        <f t="shared" si="0"/>
        <v>2.5719472580591124E-2</v>
      </c>
    </row>
    <row r="24" spans="1:10" x14ac:dyDescent="0.2">
      <c r="A24" s="110" t="s">
        <v>76</v>
      </c>
      <c r="B24" s="74"/>
      <c r="C24" s="35"/>
      <c r="D24" s="35">
        <f>SUM(D22:D23)</f>
        <v>2310.5350789463728</v>
      </c>
      <c r="E24" s="73"/>
      <c r="F24" s="35"/>
      <c r="G24" s="35">
        <f>SUM(G22:G23)</f>
        <v>1679.1999999999998</v>
      </c>
      <c r="H24" s="35">
        <f t="shared" si="2"/>
        <v>-631.33507894637296</v>
      </c>
      <c r="I24" s="36">
        <f t="shared" si="3"/>
        <v>-0.27324193633721766</v>
      </c>
      <c r="J24" s="111">
        <f t="shared" si="0"/>
        <v>5.7199044245187222E-2</v>
      </c>
    </row>
    <row r="25" spans="1:10" s="1" customFormat="1" x14ac:dyDescent="0.2">
      <c r="A25" s="110" t="s">
        <v>80</v>
      </c>
      <c r="B25" s="74"/>
      <c r="C25" s="35"/>
      <c r="D25" s="35">
        <f>SUM(D16:D20)</f>
        <v>2107.5700000000002</v>
      </c>
      <c r="E25" s="74"/>
      <c r="F25" s="35"/>
      <c r="G25" s="35">
        <f>G21+G24</f>
        <v>4457.71</v>
      </c>
      <c r="H25" s="35">
        <f t="shared" si="2"/>
        <v>2350.14</v>
      </c>
      <c r="I25" s="36">
        <f t="shared" si="3"/>
        <v>1.1150946350536399</v>
      </c>
      <c r="J25" s="111">
        <f t="shared" si="0"/>
        <v>0.15184418265972699</v>
      </c>
    </row>
    <row r="26" spans="1:10" x14ac:dyDescent="0.2">
      <c r="A26" s="107" t="s">
        <v>42</v>
      </c>
      <c r="B26" s="120">
        <f>$C$9</f>
        <v>186462.49999999997</v>
      </c>
      <c r="C26" s="34">
        <v>3.5999999999999999E-3</v>
      </c>
      <c r="D26" s="22">
        <f>B26*C26</f>
        <v>671.26499999999987</v>
      </c>
      <c r="E26" s="120">
        <f>$B$9</f>
        <v>184852.5</v>
      </c>
      <c r="F26" s="34">
        <v>3.5999999999999999E-3</v>
      </c>
      <c r="G26" s="22">
        <f>E26*F26</f>
        <v>665.46899999999994</v>
      </c>
      <c r="H26" s="22">
        <f t="shared" si="2"/>
        <v>-5.7959999999999354</v>
      </c>
      <c r="I26" s="23">
        <f t="shared" si="3"/>
        <v>-8.634443923040731E-3</v>
      </c>
      <c r="J26" s="125">
        <f t="shared" si="0"/>
        <v>2.2668050723440029E-2</v>
      </c>
    </row>
    <row r="27" spans="1:10" x14ac:dyDescent="0.2">
      <c r="A27" s="107" t="s">
        <v>43</v>
      </c>
      <c r="B27" s="120">
        <f>$C$9</f>
        <v>186462.49999999997</v>
      </c>
      <c r="C27" s="34">
        <v>2.0999999999999999E-3</v>
      </c>
      <c r="D27" s="22">
        <f>B27*C27</f>
        <v>391.57124999999991</v>
      </c>
      <c r="E27" s="120">
        <f t="shared" ref="E27:E28" si="11">$B$9</f>
        <v>184852.5</v>
      </c>
      <c r="F27" s="34">
        <v>2.0999999999999999E-3</v>
      </c>
      <c r="G27" s="22">
        <f>E27*F27</f>
        <v>388.19024999999999</v>
      </c>
      <c r="H27" s="22">
        <f>G27-D27</f>
        <v>-3.380999999999915</v>
      </c>
      <c r="I27" s="23">
        <f t="shared" si="3"/>
        <v>-8.6344439230406113E-3</v>
      </c>
      <c r="J27" s="125">
        <f t="shared" si="0"/>
        <v>1.322302958867335E-2</v>
      </c>
    </row>
    <row r="28" spans="1:10" x14ac:dyDescent="0.2">
      <c r="A28" s="107" t="s">
        <v>100</v>
      </c>
      <c r="B28" s="120">
        <f>$C$9</f>
        <v>186462.49999999997</v>
      </c>
      <c r="C28" s="34">
        <v>1.1000000000000001E-3</v>
      </c>
      <c r="D28" s="22">
        <f>B28*C28</f>
        <v>205.10874999999999</v>
      </c>
      <c r="E28" s="120">
        <f t="shared" si="11"/>
        <v>184852.5</v>
      </c>
      <c r="F28" s="34">
        <v>1.1000000000000001E-3</v>
      </c>
      <c r="G28" s="22">
        <f>E28*F28</f>
        <v>203.33775</v>
      </c>
      <c r="H28" s="22">
        <f>G28-D28</f>
        <v>-1.7709999999999866</v>
      </c>
      <c r="I28" s="23">
        <f t="shared" si="3"/>
        <v>-8.6344439230407605E-3</v>
      </c>
      <c r="J28" s="125">
        <f t="shared" si="0"/>
        <v>6.9263488321622321E-3</v>
      </c>
    </row>
    <row r="29" spans="1:10" x14ac:dyDescent="0.2">
      <c r="A29" s="107" t="s">
        <v>44</v>
      </c>
      <c r="B29" s="73">
        <v>1</v>
      </c>
      <c r="C29" s="22">
        <v>0.25</v>
      </c>
      <c r="D29" s="22">
        <f>B29*C29</f>
        <v>0.25</v>
      </c>
      <c r="E29" s="73">
        <f t="shared" si="4"/>
        <v>1</v>
      </c>
      <c r="F29" s="22">
        <f>C29</f>
        <v>0.25</v>
      </c>
      <c r="G29" s="22">
        <f>E29*F29</f>
        <v>0.25</v>
      </c>
      <c r="H29" s="22">
        <f t="shared" si="2"/>
        <v>0</v>
      </c>
      <c r="I29" s="23">
        <f t="shared" si="3"/>
        <v>0</v>
      </c>
      <c r="J29" s="125">
        <f t="shared" si="0"/>
        <v>8.515817687766083E-6</v>
      </c>
    </row>
    <row r="30" spans="1:10" x14ac:dyDescent="0.2">
      <c r="A30" s="110" t="s">
        <v>45</v>
      </c>
      <c r="B30" s="74"/>
      <c r="C30" s="35"/>
      <c r="D30" s="35">
        <f>SUM(D26:D29)</f>
        <v>1268.1949999999997</v>
      </c>
      <c r="E30" s="73"/>
      <c r="F30" s="35"/>
      <c r="G30" s="35">
        <f>SUM(G26:G29)</f>
        <v>1257.2469999999998</v>
      </c>
      <c r="H30" s="35">
        <f t="shared" si="2"/>
        <v>-10.947999999999865</v>
      </c>
      <c r="I30" s="36">
        <f t="shared" si="3"/>
        <v>-8.632741810210471E-3</v>
      </c>
      <c r="J30" s="111">
        <f t="shared" si="0"/>
        <v>4.2825944961963375E-2</v>
      </c>
    </row>
    <row r="31" spans="1:10" ht="13.5" thickBot="1" x14ac:dyDescent="0.25">
      <c r="A31" s="112" t="s">
        <v>46</v>
      </c>
      <c r="B31" s="113">
        <f>C4</f>
        <v>175000</v>
      </c>
      <c r="C31" s="114">
        <v>7.0000000000000001E-3</v>
      </c>
      <c r="D31" s="115">
        <f>B31*C31</f>
        <v>1225</v>
      </c>
      <c r="E31" s="116">
        <f>B4</f>
        <v>175000</v>
      </c>
      <c r="F31" s="114">
        <f>C31</f>
        <v>7.0000000000000001E-3</v>
      </c>
      <c r="G31" s="115">
        <f>E31*F31</f>
        <v>1225</v>
      </c>
      <c r="H31" s="115">
        <f t="shared" si="2"/>
        <v>0</v>
      </c>
      <c r="I31" s="117">
        <f t="shared" si="3"/>
        <v>0</v>
      </c>
      <c r="J31" s="118">
        <f t="shared" si="0"/>
        <v>4.1727506670053809E-2</v>
      </c>
    </row>
    <row r="32" spans="1:10" x14ac:dyDescent="0.2">
      <c r="A32" s="37" t="s">
        <v>146</v>
      </c>
      <c r="B32" s="38"/>
      <c r="C32" s="39"/>
      <c r="D32" s="39">
        <f>SUM(D15,D21,D24,D30,D31)</f>
        <v>26116.93757894637</v>
      </c>
      <c r="E32" s="38"/>
      <c r="F32" s="39"/>
      <c r="G32" s="39">
        <f>SUM(G15,G21,G24,G30,G31)</f>
        <v>25979.764499999997</v>
      </c>
      <c r="H32" s="39">
        <f t="shared" si="2"/>
        <v>-137.1730789463727</v>
      </c>
      <c r="I32" s="40">
        <f>IF(ISERROR(H32/D32),0,(H32/D32))</f>
        <v>-5.2522650686637907E-3</v>
      </c>
      <c r="J32" s="41">
        <f t="shared" si="0"/>
        <v>0.88495575221238942</v>
      </c>
    </row>
    <row r="33" spans="1:10" x14ac:dyDescent="0.2">
      <c r="A33" s="46" t="s">
        <v>138</v>
      </c>
      <c r="B33" s="43"/>
      <c r="C33" s="26">
        <v>0.13</v>
      </c>
      <c r="D33" s="26">
        <f>D32*C33</f>
        <v>3395.2018852630281</v>
      </c>
      <c r="E33" s="26"/>
      <c r="F33" s="26">
        <f>C33</f>
        <v>0.13</v>
      </c>
      <c r="G33" s="26">
        <f>G32*F33</f>
        <v>3377.369385</v>
      </c>
      <c r="H33" s="26">
        <f t="shared" si="2"/>
        <v>-17.832500263028123</v>
      </c>
      <c r="I33" s="44">
        <f t="shared" ref="I33:I36" si="12">IF(ISERROR(H33/D33),0,(H33/D33))</f>
        <v>-5.2522650686636944E-3</v>
      </c>
      <c r="J33" s="45">
        <f t="shared" si="0"/>
        <v>0.11504424778761063</v>
      </c>
    </row>
    <row r="34" spans="1:10" x14ac:dyDescent="0.2">
      <c r="A34" s="46" t="s">
        <v>139</v>
      </c>
      <c r="B34" s="24"/>
      <c r="C34" s="25"/>
      <c r="D34" s="25">
        <f>SUM(D32:D33)</f>
        <v>29512.139464209398</v>
      </c>
      <c r="E34" s="25"/>
      <c r="F34" s="25"/>
      <c r="G34" s="25">
        <f>SUM(G32:G33)</f>
        <v>29357.133884999996</v>
      </c>
      <c r="H34" s="25">
        <f t="shared" si="2"/>
        <v>-155.00557920940264</v>
      </c>
      <c r="I34" s="27">
        <f t="shared" si="12"/>
        <v>-5.2522650686638419E-3</v>
      </c>
      <c r="J34" s="47">
        <f t="shared" si="0"/>
        <v>1</v>
      </c>
    </row>
    <row r="35" spans="1:10" x14ac:dyDescent="0.2">
      <c r="A35" s="46" t="s">
        <v>140</v>
      </c>
      <c r="B35" s="43"/>
      <c r="C35" s="26">
        <v>0</v>
      </c>
      <c r="D35" s="26">
        <f>D32*C35</f>
        <v>0</v>
      </c>
      <c r="E35" s="26"/>
      <c r="F35" s="26">
        <f>C35</f>
        <v>0</v>
      </c>
      <c r="G35" s="26">
        <f>G32*F35</f>
        <v>0</v>
      </c>
      <c r="H35" s="26">
        <f t="shared" si="2"/>
        <v>0</v>
      </c>
      <c r="I35" s="44">
        <f t="shared" si="12"/>
        <v>0</v>
      </c>
      <c r="J35" s="45">
        <f t="shared" si="0"/>
        <v>0</v>
      </c>
    </row>
    <row r="36" spans="1:10" ht="13.5" thickBot="1" x14ac:dyDescent="0.25">
      <c r="A36" s="46" t="s">
        <v>141</v>
      </c>
      <c r="B36" s="49"/>
      <c r="C36" s="50"/>
      <c r="D36" s="50">
        <f>SUM(D34:D35)</f>
        <v>29512.139464209398</v>
      </c>
      <c r="E36" s="50"/>
      <c r="F36" s="50"/>
      <c r="G36" s="50">
        <f>SUM(G34:G35)</f>
        <v>29357.133884999996</v>
      </c>
      <c r="H36" s="50">
        <f t="shared" si="2"/>
        <v>-155.00557920940264</v>
      </c>
      <c r="I36" s="51">
        <f t="shared" si="12"/>
        <v>-5.2522650686638419E-3</v>
      </c>
      <c r="J36" s="52">
        <f t="shared" si="0"/>
        <v>1</v>
      </c>
    </row>
    <row r="37" spans="1:10" x14ac:dyDescent="0.2">
      <c r="F37" s="69"/>
    </row>
    <row r="38" spans="1:10" x14ac:dyDescent="0.2">
      <c r="F38" s="69"/>
    </row>
  </sheetData>
  <mergeCells count="1">
    <mergeCell ref="A1:J1"/>
  </mergeCells>
  <dataValidations count="1">
    <dataValidation type="list" allowBlank="1" showInputMessage="1" showErrorMessage="1" sqref="WVI983030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6 IW65526 SS65526 ACO65526 AMK65526 AWG65526 BGC65526 BPY65526 BZU65526 CJQ65526 CTM65526 DDI65526 DNE65526 DXA65526 EGW65526 EQS65526 FAO65526 FKK65526 FUG65526 GEC65526 GNY65526 GXU65526 HHQ65526 HRM65526 IBI65526 ILE65526 IVA65526 JEW65526 JOS65526 JYO65526 KIK65526 KSG65526 LCC65526 LLY65526 LVU65526 MFQ65526 MPM65526 MZI65526 NJE65526 NTA65526 OCW65526 OMS65526 OWO65526 PGK65526 PQG65526 QAC65526 QJY65526 QTU65526 RDQ65526 RNM65526 RXI65526 SHE65526 SRA65526 TAW65526 TKS65526 TUO65526 UEK65526 UOG65526 UYC65526 VHY65526 VRU65526 WBQ65526 WLM65526 WVI65526 B131062 IW131062 SS131062 ACO131062 AMK131062 AWG131062 BGC131062 BPY131062 BZU131062 CJQ131062 CTM131062 DDI131062 DNE131062 DXA131062 EGW131062 EQS131062 FAO131062 FKK131062 FUG131062 GEC131062 GNY131062 GXU131062 HHQ131062 HRM131062 IBI131062 ILE131062 IVA131062 JEW131062 JOS131062 JYO131062 KIK131062 KSG131062 LCC131062 LLY131062 LVU131062 MFQ131062 MPM131062 MZI131062 NJE131062 NTA131062 OCW131062 OMS131062 OWO131062 PGK131062 PQG131062 QAC131062 QJY131062 QTU131062 RDQ131062 RNM131062 RXI131062 SHE131062 SRA131062 TAW131062 TKS131062 TUO131062 UEK131062 UOG131062 UYC131062 VHY131062 VRU131062 WBQ131062 WLM131062 WVI131062 B196598 IW196598 SS196598 ACO196598 AMK196598 AWG196598 BGC196598 BPY196598 BZU196598 CJQ196598 CTM196598 DDI196598 DNE196598 DXA196598 EGW196598 EQS196598 FAO196598 FKK196598 FUG196598 GEC196598 GNY196598 GXU196598 HHQ196598 HRM196598 IBI196598 ILE196598 IVA196598 JEW196598 JOS196598 JYO196598 KIK196598 KSG196598 LCC196598 LLY196598 LVU196598 MFQ196598 MPM196598 MZI196598 NJE196598 NTA196598 OCW196598 OMS196598 OWO196598 PGK196598 PQG196598 QAC196598 QJY196598 QTU196598 RDQ196598 RNM196598 RXI196598 SHE196598 SRA196598 TAW196598 TKS196598 TUO196598 UEK196598 UOG196598 UYC196598 VHY196598 VRU196598 WBQ196598 WLM196598 WVI196598 B262134 IW262134 SS262134 ACO262134 AMK262134 AWG262134 BGC262134 BPY262134 BZU262134 CJQ262134 CTM262134 DDI262134 DNE262134 DXA262134 EGW262134 EQS262134 FAO262134 FKK262134 FUG262134 GEC262134 GNY262134 GXU262134 HHQ262134 HRM262134 IBI262134 ILE262134 IVA262134 JEW262134 JOS262134 JYO262134 KIK262134 KSG262134 LCC262134 LLY262134 LVU262134 MFQ262134 MPM262134 MZI262134 NJE262134 NTA262134 OCW262134 OMS262134 OWO262134 PGK262134 PQG262134 QAC262134 QJY262134 QTU262134 RDQ262134 RNM262134 RXI262134 SHE262134 SRA262134 TAW262134 TKS262134 TUO262134 UEK262134 UOG262134 UYC262134 VHY262134 VRU262134 WBQ262134 WLM262134 WVI262134 B327670 IW327670 SS327670 ACO327670 AMK327670 AWG327670 BGC327670 BPY327670 BZU327670 CJQ327670 CTM327670 DDI327670 DNE327670 DXA327670 EGW327670 EQS327670 FAO327670 FKK327670 FUG327670 GEC327670 GNY327670 GXU327670 HHQ327670 HRM327670 IBI327670 ILE327670 IVA327670 JEW327670 JOS327670 JYO327670 KIK327670 KSG327670 LCC327670 LLY327670 LVU327670 MFQ327670 MPM327670 MZI327670 NJE327670 NTA327670 OCW327670 OMS327670 OWO327670 PGK327670 PQG327670 QAC327670 QJY327670 QTU327670 RDQ327670 RNM327670 RXI327670 SHE327670 SRA327670 TAW327670 TKS327670 TUO327670 UEK327670 UOG327670 UYC327670 VHY327670 VRU327670 WBQ327670 WLM327670 WVI327670 B393206 IW393206 SS393206 ACO393206 AMK393206 AWG393206 BGC393206 BPY393206 BZU393206 CJQ393206 CTM393206 DDI393206 DNE393206 DXA393206 EGW393206 EQS393206 FAO393206 FKK393206 FUG393206 GEC393206 GNY393206 GXU393206 HHQ393206 HRM393206 IBI393206 ILE393206 IVA393206 JEW393206 JOS393206 JYO393206 KIK393206 KSG393206 LCC393206 LLY393206 LVU393206 MFQ393206 MPM393206 MZI393206 NJE393206 NTA393206 OCW393206 OMS393206 OWO393206 PGK393206 PQG393206 QAC393206 QJY393206 QTU393206 RDQ393206 RNM393206 RXI393206 SHE393206 SRA393206 TAW393206 TKS393206 TUO393206 UEK393206 UOG393206 UYC393206 VHY393206 VRU393206 WBQ393206 WLM393206 WVI393206 B458742 IW458742 SS458742 ACO458742 AMK458742 AWG458742 BGC458742 BPY458742 BZU458742 CJQ458742 CTM458742 DDI458742 DNE458742 DXA458742 EGW458742 EQS458742 FAO458742 FKK458742 FUG458742 GEC458742 GNY458742 GXU458742 HHQ458742 HRM458742 IBI458742 ILE458742 IVA458742 JEW458742 JOS458742 JYO458742 KIK458742 KSG458742 LCC458742 LLY458742 LVU458742 MFQ458742 MPM458742 MZI458742 NJE458742 NTA458742 OCW458742 OMS458742 OWO458742 PGK458742 PQG458742 QAC458742 QJY458742 QTU458742 RDQ458742 RNM458742 RXI458742 SHE458742 SRA458742 TAW458742 TKS458742 TUO458742 UEK458742 UOG458742 UYC458742 VHY458742 VRU458742 WBQ458742 WLM458742 WVI458742 B524278 IW524278 SS524278 ACO524278 AMK524278 AWG524278 BGC524278 BPY524278 BZU524278 CJQ524278 CTM524278 DDI524278 DNE524278 DXA524278 EGW524278 EQS524278 FAO524278 FKK524278 FUG524278 GEC524278 GNY524278 GXU524278 HHQ524278 HRM524278 IBI524278 ILE524278 IVA524278 JEW524278 JOS524278 JYO524278 KIK524278 KSG524278 LCC524278 LLY524278 LVU524278 MFQ524278 MPM524278 MZI524278 NJE524278 NTA524278 OCW524278 OMS524278 OWO524278 PGK524278 PQG524278 QAC524278 QJY524278 QTU524278 RDQ524278 RNM524278 RXI524278 SHE524278 SRA524278 TAW524278 TKS524278 TUO524278 UEK524278 UOG524278 UYC524278 VHY524278 VRU524278 WBQ524278 WLM524278 WVI524278 B589814 IW589814 SS589814 ACO589814 AMK589814 AWG589814 BGC589814 BPY589814 BZU589814 CJQ589814 CTM589814 DDI589814 DNE589814 DXA589814 EGW589814 EQS589814 FAO589814 FKK589814 FUG589814 GEC589814 GNY589814 GXU589814 HHQ589814 HRM589814 IBI589814 ILE589814 IVA589814 JEW589814 JOS589814 JYO589814 KIK589814 KSG589814 LCC589814 LLY589814 LVU589814 MFQ589814 MPM589814 MZI589814 NJE589814 NTA589814 OCW589814 OMS589814 OWO589814 PGK589814 PQG589814 QAC589814 QJY589814 QTU589814 RDQ589814 RNM589814 RXI589814 SHE589814 SRA589814 TAW589814 TKS589814 TUO589814 UEK589814 UOG589814 UYC589814 VHY589814 VRU589814 WBQ589814 WLM589814 WVI589814 B655350 IW655350 SS655350 ACO655350 AMK655350 AWG655350 BGC655350 BPY655350 BZU655350 CJQ655350 CTM655350 DDI655350 DNE655350 DXA655350 EGW655350 EQS655350 FAO655350 FKK655350 FUG655350 GEC655350 GNY655350 GXU655350 HHQ655350 HRM655350 IBI655350 ILE655350 IVA655350 JEW655350 JOS655350 JYO655350 KIK655350 KSG655350 LCC655350 LLY655350 LVU655350 MFQ655350 MPM655350 MZI655350 NJE655350 NTA655350 OCW655350 OMS655350 OWO655350 PGK655350 PQG655350 QAC655350 QJY655350 QTU655350 RDQ655350 RNM655350 RXI655350 SHE655350 SRA655350 TAW655350 TKS655350 TUO655350 UEK655350 UOG655350 UYC655350 VHY655350 VRU655350 WBQ655350 WLM655350 WVI655350 B720886 IW720886 SS720886 ACO720886 AMK720886 AWG720886 BGC720886 BPY720886 BZU720886 CJQ720886 CTM720886 DDI720886 DNE720886 DXA720886 EGW720886 EQS720886 FAO720886 FKK720886 FUG720886 GEC720886 GNY720886 GXU720886 HHQ720886 HRM720886 IBI720886 ILE720886 IVA720886 JEW720886 JOS720886 JYO720886 KIK720886 KSG720886 LCC720886 LLY720886 LVU720886 MFQ720886 MPM720886 MZI720886 NJE720886 NTA720886 OCW720886 OMS720886 OWO720886 PGK720886 PQG720886 QAC720886 QJY720886 QTU720886 RDQ720886 RNM720886 RXI720886 SHE720886 SRA720886 TAW720886 TKS720886 TUO720886 UEK720886 UOG720886 UYC720886 VHY720886 VRU720886 WBQ720886 WLM720886 WVI720886 B786422 IW786422 SS786422 ACO786422 AMK786422 AWG786422 BGC786422 BPY786422 BZU786422 CJQ786422 CTM786422 DDI786422 DNE786422 DXA786422 EGW786422 EQS786422 FAO786422 FKK786422 FUG786422 GEC786422 GNY786422 GXU786422 HHQ786422 HRM786422 IBI786422 ILE786422 IVA786422 JEW786422 JOS786422 JYO786422 KIK786422 KSG786422 LCC786422 LLY786422 LVU786422 MFQ786422 MPM786422 MZI786422 NJE786422 NTA786422 OCW786422 OMS786422 OWO786422 PGK786422 PQG786422 QAC786422 QJY786422 QTU786422 RDQ786422 RNM786422 RXI786422 SHE786422 SRA786422 TAW786422 TKS786422 TUO786422 UEK786422 UOG786422 UYC786422 VHY786422 VRU786422 WBQ786422 WLM786422 WVI786422 B851958 IW851958 SS851958 ACO851958 AMK851958 AWG851958 BGC851958 BPY851958 BZU851958 CJQ851958 CTM851958 DDI851958 DNE851958 DXA851958 EGW851958 EQS851958 FAO851958 FKK851958 FUG851958 GEC851958 GNY851958 GXU851958 HHQ851958 HRM851958 IBI851958 ILE851958 IVA851958 JEW851958 JOS851958 JYO851958 KIK851958 KSG851958 LCC851958 LLY851958 LVU851958 MFQ851958 MPM851958 MZI851958 NJE851958 NTA851958 OCW851958 OMS851958 OWO851958 PGK851958 PQG851958 QAC851958 QJY851958 QTU851958 RDQ851958 RNM851958 RXI851958 SHE851958 SRA851958 TAW851958 TKS851958 TUO851958 UEK851958 UOG851958 UYC851958 VHY851958 VRU851958 WBQ851958 WLM851958 WVI851958 B917494 IW917494 SS917494 ACO917494 AMK917494 AWG917494 BGC917494 BPY917494 BZU917494 CJQ917494 CTM917494 DDI917494 DNE917494 DXA917494 EGW917494 EQS917494 FAO917494 FKK917494 FUG917494 GEC917494 GNY917494 GXU917494 HHQ917494 HRM917494 IBI917494 ILE917494 IVA917494 JEW917494 JOS917494 JYO917494 KIK917494 KSG917494 LCC917494 LLY917494 LVU917494 MFQ917494 MPM917494 MZI917494 NJE917494 NTA917494 OCW917494 OMS917494 OWO917494 PGK917494 PQG917494 QAC917494 QJY917494 QTU917494 RDQ917494 RNM917494 RXI917494 SHE917494 SRA917494 TAW917494 TKS917494 TUO917494 UEK917494 UOG917494 UYC917494 VHY917494 VRU917494 WBQ917494 WLM917494 WVI917494 B983030 IW983030 SS983030 ACO983030 AMK983030 AWG983030 BGC983030 BPY983030 BZU983030 CJQ983030 CTM983030 DDI983030 DNE983030 DXA983030 EGW983030 EQS983030 FAO983030 FKK983030 FUG983030 GEC983030 GNY983030 GXU983030 HHQ983030 HRM983030 IBI983030 ILE983030 IVA983030 JEW983030 JOS983030 JYO983030 KIK983030 KSG983030 LCC983030 LLY983030 LVU983030 MFQ983030 MPM983030 MZI983030 NJE983030 NTA983030 OCW983030 OMS983030 OWO983030 PGK983030 PQG983030 QAC983030 QJY983030 QTU983030 RDQ983030 RNM983030 RXI983030 SHE983030 SRA983030 TAW983030 TKS983030 TUO983030 UEK983030 UOG983030 UYC983030 VHY983030 VRU983030 WBQ983030 WLM983030">
      <formula1>Demand</formula1>
    </dataValidation>
  </dataValidation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Impacts'!$A$12:$A$21</xm:f>
          </x14:formula1>
          <xm:sqref>B3</xm:sqref>
        </x14:dataValidation>
      </x14:dataValidations>
    </ext>
  </extLst>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0">
    <pageSetUpPr fitToPage="1"/>
  </sheetPr>
  <dimension ref="A1:J49"/>
  <sheetViews>
    <sheetView topLeftCell="A10" workbookViewId="0">
      <selection activeCell="C19" sqref="C19"/>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48" t="s">
        <v>112</v>
      </c>
      <c r="B1" s="349"/>
      <c r="C1" s="349"/>
      <c r="D1" s="349"/>
      <c r="E1" s="349"/>
      <c r="F1" s="349"/>
      <c r="G1" s="349"/>
      <c r="H1" s="349"/>
      <c r="I1" s="349"/>
      <c r="J1" s="350"/>
    </row>
    <row r="3" spans="1:10" x14ac:dyDescent="0.2">
      <c r="A3" s="13" t="s">
        <v>13</v>
      </c>
      <c r="B3" s="191" t="s">
        <v>12</v>
      </c>
      <c r="C3" s="191" t="s">
        <v>117</v>
      </c>
    </row>
    <row r="4" spans="1:10" x14ac:dyDescent="0.2">
      <c r="A4" s="190" t="s">
        <v>62</v>
      </c>
      <c r="B4" s="79">
        <f>'Data for Bill Impacts_HONI Avg '!B60</f>
        <v>1544.8923697916664</v>
      </c>
      <c r="C4" s="79">
        <f>B4</f>
        <v>1544.8923697916664</v>
      </c>
    </row>
    <row r="5" spans="1:10" x14ac:dyDescent="0.2">
      <c r="A5" s="190" t="s">
        <v>16</v>
      </c>
      <c r="B5" s="79">
        <f>VLOOKUP($B$3,'Data for Bill Impacts'!$A$3:$Y$39,5,0)</f>
        <v>0</v>
      </c>
      <c r="C5" s="79">
        <f>B5</f>
        <v>0</v>
      </c>
    </row>
    <row r="6" spans="1:10" x14ac:dyDescent="0.2">
      <c r="A6" s="190" t="s">
        <v>20</v>
      </c>
      <c r="B6" s="80">
        <f>VLOOKUP($B$3,'Data for Bill Impacts'!$A$3:$Y$39,2,0)</f>
        <v>1.0920000000000001</v>
      </c>
      <c r="C6" s="80">
        <f>'Data for Bill Impacts'!B26</f>
        <v>1.0430999999999999</v>
      </c>
    </row>
    <row r="7" spans="1:10" x14ac:dyDescent="0.2">
      <c r="A7" s="190" t="s">
        <v>15</v>
      </c>
      <c r="B7" s="79">
        <f>VLOOKUP($B$3,'Data for Bill Impacts'!$A$3:$Y$39,4,0)</f>
        <v>750</v>
      </c>
      <c r="C7" s="79">
        <f>B7</f>
        <v>750</v>
      </c>
    </row>
    <row r="8" spans="1:10" x14ac:dyDescent="0.2">
      <c r="A8" s="190" t="s">
        <v>82</v>
      </c>
      <c r="B8" s="79">
        <f>B4*B6</f>
        <v>1687.0224678124998</v>
      </c>
      <c r="C8" s="79">
        <f>B4*C6</f>
        <v>1611.477230929687</v>
      </c>
    </row>
    <row r="9" spans="1:10" x14ac:dyDescent="0.2">
      <c r="A9" s="190" t="s">
        <v>21</v>
      </c>
      <c r="B9" s="192" t="str">
        <f>VLOOKUP($B$3,'Data for Bill Impacts'!$A$3:$Y$39,6,0)</f>
        <v>kWh</v>
      </c>
      <c r="C9" s="192" t="str">
        <f>B9</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3" t="s">
        <v>29</v>
      </c>
    </row>
    <row r="12" spans="1:10" x14ac:dyDescent="0.2">
      <c r="A12" s="101" t="s">
        <v>31</v>
      </c>
      <c r="B12" s="102">
        <f>IF(B4&gt;B7,B7,B4)</f>
        <v>750</v>
      </c>
      <c r="C12" s="103">
        <v>0.10299999999999999</v>
      </c>
      <c r="D12" s="104">
        <f>B12*C12</f>
        <v>77.25</v>
      </c>
      <c r="E12" s="102">
        <f>B12</f>
        <v>750</v>
      </c>
      <c r="F12" s="103">
        <f>C12</f>
        <v>0.10299999999999999</v>
      </c>
      <c r="G12" s="104">
        <f>E12*F12</f>
        <v>77.25</v>
      </c>
      <c r="H12" s="104">
        <f>G12-D12</f>
        <v>0</v>
      </c>
      <c r="I12" s="105">
        <f>IF(ISERROR(H12/D12),0,(H12/D12))</f>
        <v>0</v>
      </c>
      <c r="J12" s="124">
        <f>G12/$G$38</f>
        <v>0.23583599263859517</v>
      </c>
    </row>
    <row r="13" spans="1:10" x14ac:dyDescent="0.2">
      <c r="A13" s="107" t="s">
        <v>32</v>
      </c>
      <c r="B13" s="73">
        <f>IF(B4&gt;B7,(B4)-B7,0)</f>
        <v>794.8923697916664</v>
      </c>
      <c r="C13" s="21">
        <v>0.121</v>
      </c>
      <c r="D13" s="22">
        <f>B13*C13</f>
        <v>96.181976744791626</v>
      </c>
      <c r="E13" s="73">
        <f t="shared" ref="E13" si="0">B13</f>
        <v>794.8923697916664</v>
      </c>
      <c r="F13" s="21">
        <f>C13</f>
        <v>0.121</v>
      </c>
      <c r="G13" s="22">
        <f>E13*F13</f>
        <v>96.181976744791626</v>
      </c>
      <c r="H13" s="22">
        <f t="shared" ref="H13:H38" si="1">G13-D13</f>
        <v>0</v>
      </c>
      <c r="I13" s="23">
        <f t="shared" ref="I13:I38" si="2">IF(ISERROR(H13/D13),0,(H13/D13))</f>
        <v>0</v>
      </c>
      <c r="J13" s="125">
        <f>G13/$G$38</f>
        <v>0.29363329397476001</v>
      </c>
    </row>
    <row r="14" spans="1:10" s="1" customFormat="1" x14ac:dyDescent="0.2">
      <c r="A14" s="46" t="s">
        <v>33</v>
      </c>
      <c r="B14" s="24"/>
      <c r="C14" s="25"/>
      <c r="D14" s="25">
        <f>SUM(D12:D13)</f>
        <v>173.43197674479163</v>
      </c>
      <c r="E14" s="76"/>
      <c r="F14" s="25"/>
      <c r="G14" s="25">
        <f>SUM(G12:G13)</f>
        <v>173.43197674479163</v>
      </c>
      <c r="H14" s="25">
        <f t="shared" si="1"/>
        <v>0</v>
      </c>
      <c r="I14" s="27">
        <f t="shared" si="2"/>
        <v>0</v>
      </c>
      <c r="J14" s="47">
        <f>G14/$G$38</f>
        <v>0.52946928661335513</v>
      </c>
    </row>
    <row r="15" spans="1:10" x14ac:dyDescent="0.2">
      <c r="A15" s="107" t="s">
        <v>38</v>
      </c>
      <c r="B15" s="73">
        <v>1</v>
      </c>
      <c r="C15" s="122">
        <f>VLOOKUP($C$3,'Data for Bill Impacts'!$A$3:$Y$39,7,0)</f>
        <v>10.53</v>
      </c>
      <c r="D15" s="22">
        <f>B15*C15</f>
        <v>10.53</v>
      </c>
      <c r="E15" s="73">
        <f t="shared" ref="E15:E33" si="3">B15</f>
        <v>1</v>
      </c>
      <c r="F15" s="122">
        <f>VLOOKUP($B$3,'Data for Bill Impacts'!$A$3:$Y$39,17,0)</f>
        <v>37.5</v>
      </c>
      <c r="G15" s="22">
        <f>E15*F15</f>
        <v>37.5</v>
      </c>
      <c r="H15" s="22">
        <f t="shared" si="1"/>
        <v>26.97</v>
      </c>
      <c r="I15" s="23">
        <f t="shared" si="2"/>
        <v>2.5612535612535612</v>
      </c>
      <c r="J15" s="125">
        <f>G15/$G$38</f>
        <v>0.11448349157213358</v>
      </c>
    </row>
    <row r="16" spans="1:10" x14ac:dyDescent="0.2">
      <c r="A16" s="107" t="s">
        <v>188</v>
      </c>
      <c r="B16" s="73">
        <v>1</v>
      </c>
      <c r="C16" s="122">
        <f>'Data for Bill Impacts'!K26</f>
        <v>-0.11</v>
      </c>
      <c r="D16" s="22">
        <f t="shared" ref="D16:D17" si="4">B16*C16</f>
        <v>-0.11</v>
      </c>
      <c r="E16" s="73">
        <f t="shared" si="3"/>
        <v>1</v>
      </c>
      <c r="F16" s="122">
        <v>0</v>
      </c>
      <c r="G16" s="22">
        <f t="shared" ref="G16:G20" si="5">E16*F16</f>
        <v>0</v>
      </c>
      <c r="H16" s="22">
        <f t="shared" si="1"/>
        <v>0.11</v>
      </c>
      <c r="I16" s="23">
        <f t="shared" si="2"/>
        <v>-1</v>
      </c>
      <c r="J16" s="125">
        <f>G16/$G$38</f>
        <v>0</v>
      </c>
    </row>
    <row r="17" spans="1:10" x14ac:dyDescent="0.2">
      <c r="A17" s="107" t="s">
        <v>85</v>
      </c>
      <c r="B17" s="73">
        <v>1</v>
      </c>
      <c r="C17" s="122">
        <v>0</v>
      </c>
      <c r="D17" s="22">
        <f t="shared" si="4"/>
        <v>0</v>
      </c>
      <c r="E17" s="73">
        <v>1</v>
      </c>
      <c r="F17" s="122">
        <f>VLOOKUP($B$3,'Data for Bill Impacts'!$A$3:$Y$39,22,0)</f>
        <v>-0.01</v>
      </c>
      <c r="G17" s="22">
        <f t="shared" si="5"/>
        <v>-0.01</v>
      </c>
      <c r="H17" s="22">
        <f t="shared" ref="H17:H20" si="6">G17-D17</f>
        <v>-0.01</v>
      </c>
      <c r="I17" s="23">
        <f t="shared" ref="I17:I20" si="7">IF(ISERROR(H17/D17),0,(H17/D17))</f>
        <v>0</v>
      </c>
      <c r="J17" s="125">
        <f t="shared" ref="J17:J20" si="8">G17/$G$38</f>
        <v>-3.052893108590229E-5</v>
      </c>
    </row>
    <row r="18" spans="1:10" x14ac:dyDescent="0.2">
      <c r="A18" s="107" t="s">
        <v>39</v>
      </c>
      <c r="B18" s="73">
        <f>IF($C$9="kWh",$C$4,$C$5)</f>
        <v>1544.8923697916664</v>
      </c>
      <c r="C18" s="126">
        <f>VLOOKUP($C$3,'Data for Bill Impacts'!$A$3:$Y$39,10,0)</f>
        <v>1.2200000000000001E-2</v>
      </c>
      <c r="D18" s="22">
        <f>B18*C18</f>
        <v>18.847686911458332</v>
      </c>
      <c r="E18" s="73">
        <f>B4</f>
        <v>1544.8923697916664</v>
      </c>
      <c r="F18" s="78">
        <f>VLOOKUP($B$3,'Data for Bill Impacts'!$A$3:$Y$39,19,0)</f>
        <v>3.04E-2</v>
      </c>
      <c r="G18" s="22">
        <f t="shared" si="5"/>
        <v>46.96472804166666</v>
      </c>
      <c r="H18" s="22">
        <f t="shared" si="6"/>
        <v>28.117041130208328</v>
      </c>
      <c r="I18" s="23">
        <f t="shared" si="7"/>
        <v>1.4918032786885245</v>
      </c>
      <c r="J18" s="125">
        <f t="shared" si="8"/>
        <v>0.14337829458521842</v>
      </c>
    </row>
    <row r="19" spans="1:10" x14ac:dyDescent="0.2">
      <c r="A19" s="107" t="s">
        <v>190</v>
      </c>
      <c r="B19" s="73">
        <f>IF($C$9="kWh",$B$4,$B$5)</f>
        <v>1544.8923697916664</v>
      </c>
      <c r="C19" s="78">
        <f>'Data for Bill Impacts'!L26</f>
        <v>-1E-4</v>
      </c>
      <c r="D19" s="22">
        <f>B19*C19</f>
        <v>-0.15448923697916664</v>
      </c>
      <c r="E19" s="73">
        <f>B19</f>
        <v>1544.8923697916664</v>
      </c>
      <c r="F19" s="126">
        <v>0</v>
      </c>
      <c r="G19" s="22">
        <f t="shared" si="5"/>
        <v>0</v>
      </c>
      <c r="H19" s="22">
        <f t="shared" si="6"/>
        <v>0.15448923697916664</v>
      </c>
      <c r="I19" s="23">
        <f t="shared" si="7"/>
        <v>-1</v>
      </c>
      <c r="J19" s="125">
        <f t="shared" si="8"/>
        <v>0</v>
      </c>
    </row>
    <row r="20" spans="1:10" x14ac:dyDescent="0.2">
      <c r="A20" s="107" t="s">
        <v>194</v>
      </c>
      <c r="B20" s="73">
        <f>IF($C$9="kWh",$B$4,$B$5)</f>
        <v>1544.8923697916664</v>
      </c>
      <c r="C20" s="126">
        <v>0</v>
      </c>
      <c r="D20" s="22">
        <f>B20*C20</f>
        <v>0</v>
      </c>
      <c r="E20" s="73"/>
      <c r="F20" s="126">
        <f>VLOOKUP($B$3,'Data for Bill Impacts'!$A$3:$Y$39,23,0)</f>
        <v>2.0000000000000001E-4</v>
      </c>
      <c r="G20" s="22">
        <f t="shared" si="5"/>
        <v>0</v>
      </c>
      <c r="H20" s="22">
        <f t="shared" si="6"/>
        <v>0</v>
      </c>
      <c r="I20" s="23">
        <f t="shared" si="7"/>
        <v>0</v>
      </c>
      <c r="J20" s="125">
        <f t="shared" si="8"/>
        <v>0</v>
      </c>
    </row>
    <row r="21" spans="1:10" x14ac:dyDescent="0.2">
      <c r="A21" s="110" t="s">
        <v>72</v>
      </c>
      <c r="B21" s="74"/>
      <c r="C21" s="35"/>
      <c r="D21" s="35">
        <f>SUM(D15:D20)</f>
        <v>29.113197674479167</v>
      </c>
      <c r="E21" s="73"/>
      <c r="F21" s="35"/>
      <c r="G21" s="35">
        <f>SUM(G15:G20)</f>
        <v>84.454728041666669</v>
      </c>
      <c r="H21" s="35">
        <f t="shared" si="1"/>
        <v>55.341530367187502</v>
      </c>
      <c r="I21" s="36">
        <f t="shared" si="2"/>
        <v>1.9009086870488388</v>
      </c>
      <c r="J21" s="111">
        <f t="shared" ref="J21:J38" si="9">G21/$G$38</f>
        <v>0.2578312572262661</v>
      </c>
    </row>
    <row r="22" spans="1:10" s="1" customFormat="1" x14ac:dyDescent="0.2">
      <c r="A22" s="119" t="s">
        <v>81</v>
      </c>
      <c r="B22" s="120">
        <f>C8-C4</f>
        <v>66.584861138020642</v>
      </c>
      <c r="C22" s="225">
        <f>IF(C4&gt;C7,C13,C12)</f>
        <v>0.121</v>
      </c>
      <c r="D22" s="22">
        <f>B22*C22</f>
        <v>8.0567681977004977</v>
      </c>
      <c r="E22" s="73">
        <f>B8-B4</f>
        <v>142.13009802083343</v>
      </c>
      <c r="F22" s="225">
        <f>C22</f>
        <v>0.121</v>
      </c>
      <c r="G22" s="22">
        <f>E22*F22</f>
        <v>17.197741860520843</v>
      </c>
      <c r="H22" s="22">
        <f t="shared" si="1"/>
        <v>9.1409736628203451</v>
      </c>
      <c r="I22" s="23">
        <f>IF(ISERROR(H22/D22),0,(H22/D22))</f>
        <v>1.1345707656612602</v>
      </c>
      <c r="J22" s="125">
        <f t="shared" si="9"/>
        <v>5.2502867609297781E-2</v>
      </c>
    </row>
    <row r="23" spans="1:10" x14ac:dyDescent="0.2">
      <c r="A23" s="110" t="s">
        <v>79</v>
      </c>
      <c r="B23" s="74"/>
      <c r="C23" s="35"/>
      <c r="D23" s="35">
        <f>SUM(D21,D22:D22)</f>
        <v>37.169965872179667</v>
      </c>
      <c r="E23" s="73"/>
      <c r="F23" s="35"/>
      <c r="G23" s="35">
        <f>SUM(G21,G22:G22)</f>
        <v>101.65246990218751</v>
      </c>
      <c r="H23" s="35">
        <f t="shared" si="1"/>
        <v>64.482504030007846</v>
      </c>
      <c r="I23" s="36">
        <f>IF(ISERROR(H23/D23),0,(H23/D23))</f>
        <v>1.7348012707827261</v>
      </c>
      <c r="J23" s="111">
        <f t="shared" si="9"/>
        <v>0.31033412483556388</v>
      </c>
    </row>
    <row r="24" spans="1:10" x14ac:dyDescent="0.2">
      <c r="A24" s="107" t="s">
        <v>40</v>
      </c>
      <c r="B24" s="73">
        <f>C8</f>
        <v>1611.477230929687</v>
      </c>
      <c r="C24" s="126">
        <f>VLOOKUP($C$3,'Data for Bill Impacts'!$A$3:$Y$39,15,0)</f>
        <v>6.4999999999999997E-3</v>
      </c>
      <c r="D24" s="22">
        <f>B24*C24</f>
        <v>10.474602001042966</v>
      </c>
      <c r="E24" s="73">
        <f>B8</f>
        <v>1687.0224678124998</v>
      </c>
      <c r="F24" s="78">
        <f>VLOOKUP($B$3,'Data for Bill Impacts'!$A$3:$Y$39,24,0)</f>
        <v>4.7000000000000002E-3</v>
      </c>
      <c r="G24" s="22">
        <f>E24*F24</f>
        <v>7.9290055987187493</v>
      </c>
      <c r="H24" s="22">
        <f t="shared" si="1"/>
        <v>-2.5455964023242164</v>
      </c>
      <c r="I24" s="23">
        <f t="shared" si="2"/>
        <v>-0.24302559677883218</v>
      </c>
      <c r="J24" s="125">
        <f t="shared" si="9"/>
        <v>2.4206406550301811E-2</v>
      </c>
    </row>
    <row r="25" spans="1:10" s="1" customFormat="1" x14ac:dyDescent="0.2">
      <c r="A25" s="107" t="s">
        <v>41</v>
      </c>
      <c r="B25" s="73">
        <f>C8</f>
        <v>1611.477230929687</v>
      </c>
      <c r="C25" s="126">
        <f>VLOOKUP($C$3,'Data for Bill Impacts'!$A$3:$Y$39,16,0)</f>
        <v>5.2595002611578161E-3</v>
      </c>
      <c r="D25" s="22">
        <f>B25*C25</f>
        <v>8.4755649169245633</v>
      </c>
      <c r="E25" s="73">
        <f>B8</f>
        <v>1687.0224678124998</v>
      </c>
      <c r="F25" s="78">
        <f>VLOOKUP($B$3,'Data for Bill Impacts'!$A$3:$Y$39,25,0)</f>
        <v>3.8E-3</v>
      </c>
      <c r="G25" s="22">
        <f>E25*F25</f>
        <v>6.410685377687499</v>
      </c>
      <c r="H25" s="22">
        <f t="shared" si="1"/>
        <v>-2.0648795392370642</v>
      </c>
      <c r="I25" s="23">
        <f t="shared" si="2"/>
        <v>-0.24362736401366916</v>
      </c>
      <c r="J25" s="125">
        <f t="shared" si="9"/>
        <v>1.9571137210882314E-2</v>
      </c>
    </row>
    <row r="26" spans="1:10" s="1" customFormat="1" x14ac:dyDescent="0.2">
      <c r="A26" s="110" t="s">
        <v>76</v>
      </c>
      <c r="B26" s="74"/>
      <c r="C26" s="35"/>
      <c r="D26" s="35">
        <f>SUM(D24:D25)</f>
        <v>18.950166917967529</v>
      </c>
      <c r="E26" s="73"/>
      <c r="F26" s="35"/>
      <c r="G26" s="35">
        <f>SUM(G24:G25)</f>
        <v>14.339690976406249</v>
      </c>
      <c r="H26" s="35">
        <f t="shared" si="1"/>
        <v>-4.6104759415612797</v>
      </c>
      <c r="I26" s="36">
        <f t="shared" si="2"/>
        <v>-0.24329474043787311</v>
      </c>
      <c r="J26" s="111">
        <f t="shared" si="9"/>
        <v>4.3777543761184125E-2</v>
      </c>
    </row>
    <row r="27" spans="1:10" s="1" customFormat="1" x14ac:dyDescent="0.2">
      <c r="A27" s="110" t="s">
        <v>80</v>
      </c>
      <c r="B27" s="74"/>
      <c r="C27" s="35"/>
      <c r="D27" s="35">
        <f>D23+D26</f>
        <v>56.120132790147196</v>
      </c>
      <c r="E27" s="73"/>
      <c r="F27" s="35"/>
      <c r="G27" s="35">
        <f>G23+G26</f>
        <v>115.99216087859375</v>
      </c>
      <c r="H27" s="35">
        <f t="shared" si="1"/>
        <v>59.872028088446555</v>
      </c>
      <c r="I27" s="36">
        <f t="shared" si="2"/>
        <v>1.0668547117008615</v>
      </c>
      <c r="J27" s="111">
        <f t="shared" si="9"/>
        <v>0.35411166859674797</v>
      </c>
    </row>
    <row r="28" spans="1:10" x14ac:dyDescent="0.2">
      <c r="A28" s="107" t="s">
        <v>42</v>
      </c>
      <c r="B28" s="73">
        <f>C8</f>
        <v>1611.477230929687</v>
      </c>
      <c r="C28" s="34">
        <v>3.5999999999999999E-3</v>
      </c>
      <c r="D28" s="22">
        <f>B28*C28</f>
        <v>5.8013180313468728</v>
      </c>
      <c r="E28" s="73">
        <f>B8</f>
        <v>1687.0224678124998</v>
      </c>
      <c r="F28" s="34">
        <v>3.5999999999999999E-3</v>
      </c>
      <c r="G28" s="22">
        <f>E28*F28</f>
        <v>6.0732808841249994</v>
      </c>
      <c r="H28" s="22">
        <f t="shared" si="1"/>
        <v>0.2719628527781266</v>
      </c>
      <c r="I28" s="23">
        <f t="shared" si="2"/>
        <v>4.6879493816508779E-2</v>
      </c>
      <c r="J28" s="125">
        <f t="shared" si="9"/>
        <v>1.8541077357677984E-2</v>
      </c>
    </row>
    <row r="29" spans="1:10" s="1" customFormat="1" x14ac:dyDescent="0.2">
      <c r="A29" s="107" t="s">
        <v>43</v>
      </c>
      <c r="B29" s="73">
        <f>C8</f>
        <v>1611.477230929687</v>
      </c>
      <c r="C29" s="34">
        <v>2.0999999999999999E-3</v>
      </c>
      <c r="D29" s="22">
        <f>B29*C29</f>
        <v>3.3841021849523427</v>
      </c>
      <c r="E29" s="73">
        <f>B8</f>
        <v>1687.0224678124998</v>
      </c>
      <c r="F29" s="34">
        <v>2.0999999999999999E-3</v>
      </c>
      <c r="G29" s="22">
        <f>E29*F29</f>
        <v>3.5427471824062495</v>
      </c>
      <c r="H29" s="22">
        <f>G29-D29</f>
        <v>0.15864499745390681</v>
      </c>
      <c r="I29" s="23">
        <f t="shared" si="2"/>
        <v>4.6879493816508667E-2</v>
      </c>
      <c r="J29" s="125">
        <f t="shared" si="9"/>
        <v>1.0815628458645489E-2</v>
      </c>
    </row>
    <row r="30" spans="1:10" s="1" customFormat="1" x14ac:dyDescent="0.2">
      <c r="A30" s="107" t="s">
        <v>100</v>
      </c>
      <c r="B30" s="73">
        <f>C8</f>
        <v>1611.477230929687</v>
      </c>
      <c r="C30" s="34">
        <v>1.1000000000000001E-3</v>
      </c>
      <c r="D30" s="22">
        <f>B30*C30</f>
        <v>1.7726249540226557</v>
      </c>
      <c r="E30" s="73">
        <f>B8</f>
        <v>1687.0224678124998</v>
      </c>
      <c r="F30" s="34">
        <v>1.1000000000000001E-3</v>
      </c>
      <c r="G30" s="22">
        <f>E30*F30</f>
        <v>1.8557247145937499</v>
      </c>
      <c r="H30" s="22">
        <f>G30-D30</f>
        <v>8.3099760571094139E-2</v>
      </c>
      <c r="I30" s="23">
        <f t="shared" si="2"/>
        <v>4.6879493816508716E-2</v>
      </c>
      <c r="J30" s="125">
        <f t="shared" si="9"/>
        <v>5.6653291926238285E-3</v>
      </c>
    </row>
    <row r="31" spans="1:10" x14ac:dyDescent="0.2">
      <c r="A31" s="107" t="s">
        <v>44</v>
      </c>
      <c r="B31" s="73">
        <v>1</v>
      </c>
      <c r="C31" s="22">
        <v>0.25</v>
      </c>
      <c r="D31" s="22">
        <f>B31*C31</f>
        <v>0.25</v>
      </c>
      <c r="E31" s="73">
        <f t="shared" si="3"/>
        <v>1</v>
      </c>
      <c r="F31" s="22">
        <f>C31</f>
        <v>0.25</v>
      </c>
      <c r="G31" s="22">
        <f>E31*F31</f>
        <v>0.25</v>
      </c>
      <c r="H31" s="22">
        <f t="shared" si="1"/>
        <v>0</v>
      </c>
      <c r="I31" s="23">
        <f t="shared" si="2"/>
        <v>0</v>
      </c>
      <c r="J31" s="125">
        <f t="shared" si="9"/>
        <v>7.6322327714755723E-4</v>
      </c>
    </row>
    <row r="32" spans="1:10" s="1" customFormat="1" x14ac:dyDescent="0.2">
      <c r="A32" s="110" t="s">
        <v>45</v>
      </c>
      <c r="B32" s="74"/>
      <c r="C32" s="35"/>
      <c r="D32" s="35">
        <f>SUM(D28:D31)</f>
        <v>11.208045170321871</v>
      </c>
      <c r="E32" s="73"/>
      <c r="F32" s="35"/>
      <c r="G32" s="35">
        <f>SUM(G28:G31)</f>
        <v>11.721752781125</v>
      </c>
      <c r="H32" s="35">
        <f t="shared" si="1"/>
        <v>0.5137076108031291</v>
      </c>
      <c r="I32" s="36">
        <f t="shared" si="2"/>
        <v>4.5833827665451542E-2</v>
      </c>
      <c r="J32" s="111">
        <f t="shared" si="9"/>
        <v>3.5785258286094863E-2</v>
      </c>
    </row>
    <row r="33" spans="1:10" ht="13.5" thickBot="1" x14ac:dyDescent="0.25">
      <c r="A33" s="112" t="s">
        <v>46</v>
      </c>
      <c r="B33" s="113">
        <f>C4</f>
        <v>1544.8923697916664</v>
      </c>
      <c r="C33" s="114">
        <v>7.0000000000000001E-3</v>
      </c>
      <c r="D33" s="115">
        <f>B33*C33</f>
        <v>10.814246588541666</v>
      </c>
      <c r="E33" s="116">
        <f t="shared" si="3"/>
        <v>1544.8923697916664</v>
      </c>
      <c r="F33" s="114">
        <f>C33</f>
        <v>7.0000000000000001E-3</v>
      </c>
      <c r="G33" s="115">
        <f>E33*F33</f>
        <v>10.814246588541666</v>
      </c>
      <c r="H33" s="115">
        <f t="shared" si="1"/>
        <v>0</v>
      </c>
      <c r="I33" s="117">
        <f t="shared" si="2"/>
        <v>0</v>
      </c>
      <c r="J33" s="118">
        <f t="shared" si="9"/>
        <v>3.3014738884754244E-2</v>
      </c>
    </row>
    <row r="34" spans="1:10" x14ac:dyDescent="0.2">
      <c r="A34" s="37" t="s">
        <v>146</v>
      </c>
      <c r="B34" s="38"/>
      <c r="C34" s="39"/>
      <c r="D34" s="39">
        <f>SUM(D14,D23,D26,D32,D33)</f>
        <v>251.57440129380234</v>
      </c>
      <c r="E34" s="38"/>
      <c r="F34" s="39"/>
      <c r="G34" s="39">
        <f>SUM(G14,G23,G26,G32,G33)</f>
        <v>311.96013699305206</v>
      </c>
      <c r="H34" s="39">
        <f t="shared" si="1"/>
        <v>60.385735699249722</v>
      </c>
      <c r="I34" s="40">
        <f>IF(ISERROR(H34/D34),0,(H34/D34))</f>
        <v>0.24003132031198976</v>
      </c>
      <c r="J34" s="41">
        <f t="shared" si="9"/>
        <v>0.95238095238095233</v>
      </c>
    </row>
    <row r="35" spans="1:10" x14ac:dyDescent="0.2">
      <c r="A35" s="46" t="s">
        <v>138</v>
      </c>
      <c r="B35" s="43"/>
      <c r="C35" s="26">
        <v>0.13</v>
      </c>
      <c r="D35" s="26">
        <f>D34*C35</f>
        <v>32.704672168194307</v>
      </c>
      <c r="E35" s="26"/>
      <c r="F35" s="26">
        <f>C35</f>
        <v>0.13</v>
      </c>
      <c r="G35" s="26">
        <f>G34*F35</f>
        <v>40.554817809096768</v>
      </c>
      <c r="H35" s="26">
        <f t="shared" si="1"/>
        <v>7.8501456409024613</v>
      </c>
      <c r="I35" s="44">
        <f t="shared" si="2"/>
        <v>0.24003132031198968</v>
      </c>
      <c r="J35" s="45">
        <f t="shared" si="9"/>
        <v>0.1238095238095238</v>
      </c>
    </row>
    <row r="36" spans="1:10" x14ac:dyDescent="0.2">
      <c r="A36" s="46" t="s">
        <v>139</v>
      </c>
      <c r="B36" s="24"/>
      <c r="C36" s="25"/>
      <c r="D36" s="25">
        <f>SUM(D34:D35)</f>
        <v>284.27907346199663</v>
      </c>
      <c r="E36" s="25"/>
      <c r="F36" s="25"/>
      <c r="G36" s="25">
        <f>SUM(G34:G35)</f>
        <v>352.51495480214885</v>
      </c>
      <c r="H36" s="25">
        <f t="shared" si="1"/>
        <v>68.235881340152218</v>
      </c>
      <c r="I36" s="27">
        <f t="shared" si="2"/>
        <v>0.2400313203119899</v>
      </c>
      <c r="J36" s="47">
        <f t="shared" si="9"/>
        <v>1.0761904761904761</v>
      </c>
    </row>
    <row r="37" spans="1:10" x14ac:dyDescent="0.2">
      <c r="A37" s="46" t="s">
        <v>140</v>
      </c>
      <c r="B37" s="43"/>
      <c r="C37" s="26">
        <v>-0.08</v>
      </c>
      <c r="D37" s="26">
        <f>D34*C37</f>
        <v>-20.125952103504186</v>
      </c>
      <c r="E37" s="26"/>
      <c r="F37" s="26">
        <f>C37</f>
        <v>-0.08</v>
      </c>
      <c r="G37" s="26">
        <f>G34*F37</f>
        <v>-24.956810959444166</v>
      </c>
      <c r="H37" s="26">
        <f t="shared" si="1"/>
        <v>-4.8308588559399794</v>
      </c>
      <c r="I37" s="44">
        <f t="shared" si="2"/>
        <v>0.24003132031198987</v>
      </c>
      <c r="J37" s="45">
        <f t="shared" si="9"/>
        <v>-7.6190476190476183E-2</v>
      </c>
    </row>
    <row r="38" spans="1:10" ht="13.5" thickBot="1" x14ac:dyDescent="0.25">
      <c r="A38" s="46" t="s">
        <v>141</v>
      </c>
      <c r="B38" s="49"/>
      <c r="C38" s="50"/>
      <c r="D38" s="50">
        <f>SUM(D36:D37)</f>
        <v>264.15312135849246</v>
      </c>
      <c r="E38" s="50"/>
      <c r="F38" s="50"/>
      <c r="G38" s="50">
        <f>SUM(G36:G37)</f>
        <v>327.55814384270468</v>
      </c>
      <c r="H38" s="50">
        <f t="shared" si="1"/>
        <v>63.405022484212225</v>
      </c>
      <c r="I38" s="51">
        <f t="shared" si="2"/>
        <v>0.24003132031198984</v>
      </c>
      <c r="J38" s="52">
        <f t="shared" si="9"/>
        <v>1</v>
      </c>
    </row>
    <row r="39" spans="1:10" x14ac:dyDescent="0.2">
      <c r="D39" s="72"/>
      <c r="F39" s="69"/>
    </row>
    <row r="40" spans="1:10" x14ac:dyDescent="0.2">
      <c r="F40" s="69"/>
    </row>
    <row r="41" spans="1:10" x14ac:dyDescent="0.2">
      <c r="A41" s="70"/>
      <c r="B41" s="71"/>
      <c r="F41" s="69"/>
    </row>
    <row r="42" spans="1:10" x14ac:dyDescent="0.2">
      <c r="B42" s="72"/>
      <c r="D42" s="72"/>
      <c r="F42" s="69"/>
    </row>
    <row r="43" spans="1:10" x14ac:dyDescent="0.2">
      <c r="F43" s="69"/>
    </row>
    <row r="44" spans="1:10" x14ac:dyDescent="0.2">
      <c r="F44" s="69"/>
    </row>
    <row r="45" spans="1:10" x14ac:dyDescent="0.2">
      <c r="F45" s="69"/>
    </row>
    <row r="46" spans="1:10" x14ac:dyDescent="0.2">
      <c r="F46" s="69"/>
    </row>
    <row r="47" spans="1:10" x14ac:dyDescent="0.2">
      <c r="F47" s="69"/>
    </row>
    <row r="48" spans="1:10" x14ac:dyDescent="0.2">
      <c r="F48" s="69"/>
    </row>
    <row r="49" spans="6:6" x14ac:dyDescent="0.2">
      <c r="F49" s="69"/>
    </row>
  </sheetData>
  <mergeCells count="1">
    <mergeCell ref="A1:J1"/>
  </mergeCell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3">
    <pageSetUpPr fitToPage="1"/>
  </sheetPr>
  <dimension ref="A1:J50"/>
  <sheetViews>
    <sheetView topLeftCell="A13" workbookViewId="0">
      <selection activeCell="C19" sqref="C19"/>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48" t="s">
        <v>112</v>
      </c>
      <c r="B1" s="349"/>
      <c r="C1" s="349"/>
      <c r="D1" s="349"/>
      <c r="E1" s="349"/>
      <c r="F1" s="349"/>
      <c r="G1" s="349"/>
      <c r="H1" s="349"/>
      <c r="I1" s="349"/>
      <c r="J1" s="350"/>
    </row>
    <row r="3" spans="1:10" x14ac:dyDescent="0.2">
      <c r="A3" s="13" t="s">
        <v>13</v>
      </c>
      <c r="B3" s="13" t="s">
        <v>12</v>
      </c>
      <c r="C3" s="13" t="s">
        <v>129</v>
      </c>
    </row>
    <row r="4" spans="1:10" x14ac:dyDescent="0.2">
      <c r="A4" s="15" t="s">
        <v>62</v>
      </c>
      <c r="B4" s="79">
        <f>'Data for Bill Impacts_HONI Avg '!B58</f>
        <v>945.37196740482466</v>
      </c>
      <c r="C4" s="193">
        <f>B4</f>
        <v>945.37196740482466</v>
      </c>
    </row>
    <row r="5" spans="1:10" x14ac:dyDescent="0.2">
      <c r="A5" s="15" t="s">
        <v>16</v>
      </c>
      <c r="B5" s="15">
        <f>VLOOKUP($B$3,'Data for Bill Impacts'!$A$3:$Y$39,5,0)</f>
        <v>0</v>
      </c>
      <c r="C5" s="15">
        <f>B5</f>
        <v>0</v>
      </c>
    </row>
    <row r="6" spans="1:10" x14ac:dyDescent="0.2">
      <c r="A6" s="15" t="s">
        <v>20</v>
      </c>
      <c r="B6" s="15">
        <f>VLOOKUP($B$3,'Data for Bill Impacts'!$A$3:$Y$39,2,0)</f>
        <v>1.0920000000000001</v>
      </c>
      <c r="C6" s="15">
        <f>'Data for Bill Impacts'!B37</f>
        <v>1.0564</v>
      </c>
    </row>
    <row r="7" spans="1:10" x14ac:dyDescent="0.2">
      <c r="A7" s="15" t="s">
        <v>15</v>
      </c>
      <c r="B7" s="15">
        <f>VLOOKUP($B$3,'Data for Bill Impacts'!$A$3:$Y$39,4,0)</f>
        <v>750</v>
      </c>
      <c r="C7" s="15">
        <f>B7</f>
        <v>750</v>
      </c>
    </row>
    <row r="8" spans="1:10" x14ac:dyDescent="0.2">
      <c r="A8" s="15" t="s">
        <v>82</v>
      </c>
      <c r="B8" s="193">
        <f>B4*B6</f>
        <v>1032.3461884060687</v>
      </c>
      <c r="C8" s="193">
        <f>C4*C6</f>
        <v>998.69094636645673</v>
      </c>
    </row>
    <row r="9" spans="1:10" x14ac:dyDescent="0.2">
      <c r="A9" s="15" t="s">
        <v>21</v>
      </c>
      <c r="B9" s="16" t="str">
        <f>VLOOKUP($B$3,'Data for Bill Impacts'!$A$3:$Y$39,6,0)</f>
        <v>kWh</v>
      </c>
      <c r="C9" s="16" t="str">
        <f>B9</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3" t="s">
        <v>29</v>
      </c>
    </row>
    <row r="12" spans="1:10" x14ac:dyDescent="0.2">
      <c r="A12" s="101" t="s">
        <v>31</v>
      </c>
      <c r="B12" s="102">
        <f>IF(B4&gt;B7,B7,B4)</f>
        <v>750</v>
      </c>
      <c r="C12" s="103">
        <v>0.10299999999999999</v>
      </c>
      <c r="D12" s="104">
        <f>B12*C12</f>
        <v>77.25</v>
      </c>
      <c r="E12" s="102">
        <f>B12</f>
        <v>750</v>
      </c>
      <c r="F12" s="103">
        <f>C12</f>
        <v>0.10299999999999999</v>
      </c>
      <c r="G12" s="104">
        <f>E12*F12</f>
        <v>77.25</v>
      </c>
      <c r="H12" s="104">
        <f>G12-D12</f>
        <v>0</v>
      </c>
      <c r="I12" s="105">
        <f>IF(ISERROR(H12/D12),0,(H12/D12))</f>
        <v>0</v>
      </c>
      <c r="J12" s="124">
        <f t="shared" ref="J12:J39" si="0">G12/$G$39</f>
        <v>0.36694936250866961</v>
      </c>
    </row>
    <row r="13" spans="1:10" x14ac:dyDescent="0.2">
      <c r="A13" s="107" t="s">
        <v>32</v>
      </c>
      <c r="B13" s="73">
        <f>IF(B4&gt;B7,(B4)-B7,0)</f>
        <v>195.37196740482466</v>
      </c>
      <c r="C13" s="21">
        <v>0.121</v>
      </c>
      <c r="D13" s="22">
        <f>B13*C13</f>
        <v>23.640008055983785</v>
      </c>
      <c r="E13" s="73">
        <f t="shared" ref="E13" si="1">B13</f>
        <v>195.37196740482466</v>
      </c>
      <c r="F13" s="21">
        <f>C13</f>
        <v>0.121</v>
      </c>
      <c r="G13" s="22">
        <f>E13*F13</f>
        <v>23.640008055983785</v>
      </c>
      <c r="H13" s="22">
        <f t="shared" ref="H13:H39" si="2">G13-D13</f>
        <v>0</v>
      </c>
      <c r="I13" s="23">
        <f t="shared" ref="I13:I39" si="3">IF(ISERROR(H13/D13),0,(H13/D13))</f>
        <v>0</v>
      </c>
      <c r="J13" s="125">
        <f t="shared" si="0"/>
        <v>0.11229366842515293</v>
      </c>
    </row>
    <row r="14" spans="1:10" s="1" customFormat="1" x14ac:dyDescent="0.2">
      <c r="A14" s="46" t="s">
        <v>33</v>
      </c>
      <c r="B14" s="24"/>
      <c r="C14" s="25"/>
      <c r="D14" s="25">
        <f>SUM(D12:D13)</f>
        <v>100.89000805598378</v>
      </c>
      <c r="E14" s="76"/>
      <c r="F14" s="25"/>
      <c r="G14" s="25">
        <f>SUM(G12:G13)</f>
        <v>100.89000805598378</v>
      </c>
      <c r="H14" s="25">
        <f t="shared" si="2"/>
        <v>0</v>
      </c>
      <c r="I14" s="27">
        <f t="shared" si="3"/>
        <v>0</v>
      </c>
      <c r="J14" s="47">
        <f t="shared" si="0"/>
        <v>0.47924303093382253</v>
      </c>
    </row>
    <row r="15" spans="1:10" x14ac:dyDescent="0.2">
      <c r="A15" s="107" t="s">
        <v>38</v>
      </c>
      <c r="B15" s="73">
        <v>1</v>
      </c>
      <c r="C15" s="122">
        <f>VLOOKUP($C$3,'Data for Bill Impacts'!$A$3:$Y$39,7,0)</f>
        <v>15.49</v>
      </c>
      <c r="D15" s="22">
        <f>B15*C15</f>
        <v>15.49</v>
      </c>
      <c r="E15" s="73">
        <f t="shared" ref="E15:E34" si="4">B15</f>
        <v>1</v>
      </c>
      <c r="F15" s="122">
        <f>VLOOKUP($B$3,'Data for Bill Impacts'!$A$3:$Y$39,17,0)</f>
        <v>37.5</v>
      </c>
      <c r="G15" s="22">
        <f>E15*F15</f>
        <v>37.5</v>
      </c>
      <c r="H15" s="22">
        <f t="shared" si="2"/>
        <v>22.009999999999998</v>
      </c>
      <c r="I15" s="23">
        <f t="shared" si="3"/>
        <v>1.4209167204648159</v>
      </c>
      <c r="J15" s="125">
        <f t="shared" si="0"/>
        <v>0.17813075849935417</v>
      </c>
    </row>
    <row r="16" spans="1:10" x14ac:dyDescent="0.2">
      <c r="A16" s="107" t="s">
        <v>188</v>
      </c>
      <c r="B16" s="73">
        <v>1</v>
      </c>
      <c r="C16" s="122">
        <f>'Data for Bill Impacts'!K37</f>
        <v>-0.22</v>
      </c>
      <c r="D16" s="22">
        <f t="shared" ref="D16:D20" si="5">B16*C16</f>
        <v>-0.22</v>
      </c>
      <c r="E16" s="73">
        <v>1</v>
      </c>
      <c r="F16" s="122">
        <v>0</v>
      </c>
      <c r="G16" s="22">
        <f t="shared" ref="G16:G20" si="6">E16*F16</f>
        <v>0</v>
      </c>
      <c r="H16" s="22">
        <f t="shared" ref="H16:H20" si="7">G16-D16</f>
        <v>0.22</v>
      </c>
      <c r="I16" s="23">
        <f t="shared" ref="I16:I20" si="8">IF(ISERROR(H16/D16),0,(H16/D16))</f>
        <v>-1</v>
      </c>
      <c r="J16" s="125">
        <f t="shared" ref="J16:J20" si="9">G16/$G$39</f>
        <v>0</v>
      </c>
    </row>
    <row r="17" spans="1:10" x14ac:dyDescent="0.2">
      <c r="A17" s="107" t="s">
        <v>85</v>
      </c>
      <c r="B17" s="73">
        <v>1</v>
      </c>
      <c r="C17" s="122">
        <f>VLOOKUP($C$3,'Data for Bill Impacts'!$A$3:$Y$39,13,0)</f>
        <v>0</v>
      </c>
      <c r="D17" s="22">
        <f t="shared" si="5"/>
        <v>0</v>
      </c>
      <c r="E17" s="73">
        <f t="shared" si="4"/>
        <v>1</v>
      </c>
      <c r="F17" s="78">
        <f>VLOOKUP($B$3,'Data for Bill Impacts'!$A$3:$Y$39,22,0)</f>
        <v>-0.01</v>
      </c>
      <c r="G17" s="22">
        <f t="shared" si="6"/>
        <v>-0.01</v>
      </c>
      <c r="H17" s="22">
        <f t="shared" si="7"/>
        <v>-0.01</v>
      </c>
      <c r="I17" s="23">
        <f t="shared" si="8"/>
        <v>0</v>
      </c>
      <c r="J17" s="125">
        <f t="shared" si="9"/>
        <v>-4.7501535599827779E-5</v>
      </c>
    </row>
    <row r="18" spans="1:10" x14ac:dyDescent="0.2">
      <c r="A18" s="107" t="s">
        <v>39</v>
      </c>
      <c r="B18" s="73">
        <f>IF($B$9="kWh",$B$4,$B$5)</f>
        <v>945.37196740482466</v>
      </c>
      <c r="C18" s="126">
        <f>VLOOKUP($C$3,'Data for Bill Impacts'!$A$3:$Y$39,10,0)</f>
        <v>8.6999999999999994E-3</v>
      </c>
      <c r="D18" s="22">
        <f t="shared" si="5"/>
        <v>8.2247361164219743</v>
      </c>
      <c r="E18" s="73">
        <f t="shared" si="4"/>
        <v>945.37196740482466</v>
      </c>
      <c r="F18" s="78">
        <f>VLOOKUP($B$3,'Data for Bill Impacts'!$A$3:$Y$39,19,0)</f>
        <v>3.04E-2</v>
      </c>
      <c r="G18" s="22">
        <f t="shared" si="6"/>
        <v>28.73930780910667</v>
      </c>
      <c r="H18" s="22">
        <f t="shared" si="7"/>
        <v>20.514571692684697</v>
      </c>
      <c r="I18" s="23">
        <f t="shared" si="8"/>
        <v>2.4942528735632186</v>
      </c>
      <c r="J18" s="125">
        <f t="shared" si="9"/>
        <v>0.1365161253008689</v>
      </c>
    </row>
    <row r="19" spans="1:10" x14ac:dyDescent="0.2">
      <c r="A19" s="107" t="s">
        <v>189</v>
      </c>
      <c r="B19" s="73">
        <f>IF($C$9="kWh",$B$4,$B$5)</f>
        <v>945.37196740482466</v>
      </c>
      <c r="C19" s="78">
        <f>'Data for Bill Impacts'!H37</f>
        <v>8.0000000000000004E-4</v>
      </c>
      <c r="D19" s="22">
        <f t="shared" si="5"/>
        <v>0.75629757392385977</v>
      </c>
      <c r="E19" s="73">
        <f t="shared" si="4"/>
        <v>945.37196740482466</v>
      </c>
      <c r="F19" s="126">
        <v>0</v>
      </c>
      <c r="G19" s="22">
        <f t="shared" si="6"/>
        <v>0</v>
      </c>
      <c r="H19" s="22">
        <f t="shared" si="7"/>
        <v>-0.75629757392385977</v>
      </c>
      <c r="I19" s="23">
        <f t="shared" si="8"/>
        <v>-1</v>
      </c>
      <c r="J19" s="125">
        <f t="shared" si="9"/>
        <v>0</v>
      </c>
    </row>
    <row r="20" spans="1:10" x14ac:dyDescent="0.2">
      <c r="A20" s="107" t="s">
        <v>190</v>
      </c>
      <c r="B20" s="73">
        <f>IF($C$9="kWh",$B$4,$B$5)</f>
        <v>945.37196740482466</v>
      </c>
      <c r="C20" s="78">
        <f>'Data for Bill Impacts'!L37</f>
        <v>-1E-4</v>
      </c>
      <c r="D20" s="22">
        <f t="shared" si="5"/>
        <v>-9.4537196740482471E-2</v>
      </c>
      <c r="E20" s="73">
        <f>B19</f>
        <v>945.37196740482466</v>
      </c>
      <c r="F20" s="126">
        <v>0</v>
      </c>
      <c r="G20" s="22">
        <f t="shared" si="6"/>
        <v>0</v>
      </c>
      <c r="H20" s="22">
        <f t="shared" si="7"/>
        <v>9.4537196740482471E-2</v>
      </c>
      <c r="I20" s="23">
        <f t="shared" si="8"/>
        <v>-1</v>
      </c>
      <c r="J20" s="125">
        <f t="shared" si="9"/>
        <v>0</v>
      </c>
    </row>
    <row r="21" spans="1:10" s="1" customFormat="1" x14ac:dyDescent="0.2">
      <c r="A21" s="107" t="s">
        <v>194</v>
      </c>
      <c r="B21" s="73">
        <f>IF($B$9="kWh",$B$4,$B$5)</f>
        <v>945.37196740482466</v>
      </c>
      <c r="C21" s="126">
        <f>VLOOKUP($C$3,'Data for Bill Impacts'!$A$3:$Y$39,14,0)</f>
        <v>0</v>
      </c>
      <c r="D21" s="22">
        <f>B21*C21</f>
        <v>0</v>
      </c>
      <c r="E21" s="73">
        <f t="shared" si="4"/>
        <v>945.37196740482466</v>
      </c>
      <c r="F21" s="126">
        <f>VLOOKUP($B$3,'Data for Bill Impacts'!$A$3:$Y$39,23,0)</f>
        <v>2.0000000000000001E-4</v>
      </c>
      <c r="G21" s="22">
        <f>E21*F21</f>
        <v>0.18907439348096494</v>
      </c>
      <c r="H21" s="22">
        <f t="shared" si="2"/>
        <v>0.18907439348096494</v>
      </c>
      <c r="I21" s="23">
        <f>IF(ISERROR(H21/D21),0,(H21/D21))</f>
        <v>0</v>
      </c>
      <c r="J21" s="125">
        <f t="shared" si="0"/>
        <v>8.9813240329519016E-4</v>
      </c>
    </row>
    <row r="22" spans="1:10" x14ac:dyDescent="0.2">
      <c r="A22" s="110" t="s">
        <v>72</v>
      </c>
      <c r="B22" s="74"/>
      <c r="C22" s="35"/>
      <c r="D22" s="35">
        <f>SUM(D15:D21)</f>
        <v>24.156496493605353</v>
      </c>
      <c r="E22" s="73"/>
      <c r="F22" s="35"/>
      <c r="G22" s="35">
        <f>SUM(G15:G21)</f>
        <v>66.418382202587637</v>
      </c>
      <c r="H22" s="35">
        <f>G22-D22</f>
        <v>42.261885708982284</v>
      </c>
      <c r="I22" s="36">
        <f t="shared" si="3"/>
        <v>1.7495039365567662</v>
      </c>
      <c r="J22" s="111">
        <f t="shared" si="0"/>
        <v>0.31549751466791848</v>
      </c>
    </row>
    <row r="23" spans="1:10" s="1" customFormat="1" x14ac:dyDescent="0.2">
      <c r="A23" s="119" t="s">
        <v>81</v>
      </c>
      <c r="B23" s="120">
        <f>C8-C4</f>
        <v>53.31897896163207</v>
      </c>
      <c r="C23" s="225">
        <f>IF(C4&gt;C7,C13,C12)</f>
        <v>0.121</v>
      </c>
      <c r="D23" s="22">
        <f>B23*C23</f>
        <v>6.45159645435748</v>
      </c>
      <c r="E23" s="73">
        <f>B8-B4</f>
        <v>86.974221001244018</v>
      </c>
      <c r="F23" s="225">
        <f>C23</f>
        <v>0.121</v>
      </c>
      <c r="G23" s="22">
        <f>E23*F23</f>
        <v>10.523880741150526</v>
      </c>
      <c r="H23" s="22">
        <f t="shared" si="2"/>
        <v>4.072284286793046</v>
      </c>
      <c r="I23" s="23">
        <f>IF(ISERROR(H23/D23),0,(H23/D23))</f>
        <v>0.63120567375886938</v>
      </c>
      <c r="J23" s="125">
        <f t="shared" si="0"/>
        <v>4.999004956741037E-2</v>
      </c>
    </row>
    <row r="24" spans="1:10" x14ac:dyDescent="0.2">
      <c r="A24" s="110" t="s">
        <v>79</v>
      </c>
      <c r="B24" s="74"/>
      <c r="C24" s="35"/>
      <c r="D24" s="35">
        <f>SUM(D22,D23:D23)</f>
        <v>30.608092947962831</v>
      </c>
      <c r="E24" s="73"/>
      <c r="F24" s="35"/>
      <c r="G24" s="35">
        <f>SUM(G22,G23:G23)</f>
        <v>76.942262943738157</v>
      </c>
      <c r="H24" s="35">
        <f t="shared" si="2"/>
        <v>46.334169995775326</v>
      </c>
      <c r="I24" s="36">
        <f>IF(ISERROR(H24/D24),0,(H24/D24))</f>
        <v>1.5137882021773974</v>
      </c>
      <c r="J24" s="111">
        <f t="shared" si="0"/>
        <v>0.3654875642353288</v>
      </c>
    </row>
    <row r="25" spans="1:10" x14ac:dyDescent="0.2">
      <c r="A25" s="107" t="s">
        <v>40</v>
      </c>
      <c r="B25" s="73">
        <f>C8</f>
        <v>998.69094636645673</v>
      </c>
      <c r="C25" s="126">
        <f>VLOOKUP($C$3,'Data for Bill Impacts'!$A$3:$Y$39,15,0)</f>
        <v>6.3E-3</v>
      </c>
      <c r="D25" s="22">
        <f>B25*C25</f>
        <v>6.2917529621086778</v>
      </c>
      <c r="E25" s="73">
        <f>B8</f>
        <v>1032.3461884060687</v>
      </c>
      <c r="F25" s="78">
        <f>VLOOKUP($B$3,'Data for Bill Impacts'!$A$3:$Y$39,24,0)</f>
        <v>4.7000000000000002E-3</v>
      </c>
      <c r="G25" s="22">
        <f>E25*F25</f>
        <v>4.8520270855085226</v>
      </c>
      <c r="H25" s="22">
        <f t="shared" si="2"/>
        <v>-1.4397258766001553</v>
      </c>
      <c r="I25" s="23">
        <f t="shared" si="3"/>
        <v>-0.22882746434431397</v>
      </c>
      <c r="J25" s="125">
        <f t="shared" si="0"/>
        <v>2.304787373336117E-2</v>
      </c>
    </row>
    <row r="26" spans="1:10" s="1" customFormat="1" x14ac:dyDescent="0.2">
      <c r="A26" s="107" t="s">
        <v>41</v>
      </c>
      <c r="B26" s="73">
        <f>C8</f>
        <v>998.69094636645673</v>
      </c>
      <c r="C26" s="126">
        <f>VLOOKUP($C$3,'Data for Bill Impacts'!$A$3:$Y$39,16,0)</f>
        <v>3.0999999999999999E-3</v>
      </c>
      <c r="D26" s="22">
        <f>B26*C26</f>
        <v>3.0959419337360159</v>
      </c>
      <c r="E26" s="73">
        <f>B8</f>
        <v>1032.3461884060687</v>
      </c>
      <c r="F26" s="78">
        <f>VLOOKUP($B$3,'Data for Bill Impacts'!$A$3:$Y$39,25,0)</f>
        <v>3.8E-3</v>
      </c>
      <c r="G26" s="22">
        <f>E26*F26</f>
        <v>3.9229155159430609</v>
      </c>
      <c r="H26" s="22">
        <f t="shared" si="2"/>
        <v>0.82697358220704498</v>
      </c>
      <c r="I26" s="23">
        <f t="shared" si="3"/>
        <v>0.26711533998607584</v>
      </c>
      <c r="J26" s="125">
        <f t="shared" si="0"/>
        <v>1.8634451103568608E-2</v>
      </c>
    </row>
    <row r="27" spans="1:10" s="1" customFormat="1" x14ac:dyDescent="0.2">
      <c r="A27" s="110" t="s">
        <v>76</v>
      </c>
      <c r="B27" s="74"/>
      <c r="C27" s="35"/>
      <c r="D27" s="35">
        <f>SUM(D25:D26)</f>
        <v>9.3876948958446942</v>
      </c>
      <c r="E27" s="73"/>
      <c r="F27" s="35"/>
      <c r="G27" s="35">
        <f>SUM(G25:G26)</f>
        <v>8.774942601451583</v>
      </c>
      <c r="H27" s="35">
        <f t="shared" si="2"/>
        <v>-0.61275229439311119</v>
      </c>
      <c r="I27" s="36">
        <f t="shared" si="3"/>
        <v>-6.5271858660887638E-2</v>
      </c>
      <c r="J27" s="111">
        <f t="shared" si="0"/>
        <v>4.1682324836929775E-2</v>
      </c>
    </row>
    <row r="28" spans="1:10" s="1" customFormat="1" x14ac:dyDescent="0.2">
      <c r="A28" s="110" t="s">
        <v>80</v>
      </c>
      <c r="B28" s="74"/>
      <c r="C28" s="35"/>
      <c r="D28" s="35">
        <f>D24+D27</f>
        <v>39.995787843807527</v>
      </c>
      <c r="E28" s="73"/>
      <c r="F28" s="35"/>
      <c r="G28" s="35">
        <f>G24+G27</f>
        <v>85.717205545189742</v>
      </c>
      <c r="H28" s="35">
        <f t="shared" si="2"/>
        <v>45.721417701382215</v>
      </c>
      <c r="I28" s="36">
        <f t="shared" si="3"/>
        <v>1.1431558213063473</v>
      </c>
      <c r="J28" s="111">
        <f t="shared" si="0"/>
        <v>0.4071698890722586</v>
      </c>
    </row>
    <row r="29" spans="1:10" x14ac:dyDescent="0.2">
      <c r="A29" s="107" t="s">
        <v>42</v>
      </c>
      <c r="B29" s="73">
        <f>C8</f>
        <v>998.69094636645673</v>
      </c>
      <c r="C29" s="34">
        <v>3.5999999999999999E-3</v>
      </c>
      <c r="D29" s="22">
        <f>B29*C29</f>
        <v>3.595287406919244</v>
      </c>
      <c r="E29" s="73">
        <f>B8</f>
        <v>1032.3461884060687</v>
      </c>
      <c r="F29" s="34">
        <v>3.5999999999999999E-3</v>
      </c>
      <c r="G29" s="22">
        <f>E29*F29</f>
        <v>3.7164462782618473</v>
      </c>
      <c r="H29" s="22">
        <f t="shared" si="2"/>
        <v>0.12115887134260328</v>
      </c>
      <c r="I29" s="23">
        <f t="shared" si="3"/>
        <v>3.3699356304430411E-2</v>
      </c>
      <c r="J29" s="125">
        <f t="shared" si="0"/>
        <v>1.7653690519170259E-2</v>
      </c>
    </row>
    <row r="30" spans="1:10" s="1" customFormat="1" x14ac:dyDescent="0.2">
      <c r="A30" s="107" t="s">
        <v>43</v>
      </c>
      <c r="B30" s="73">
        <f>C8</f>
        <v>998.69094636645673</v>
      </c>
      <c r="C30" s="34">
        <v>2.0999999999999999E-3</v>
      </c>
      <c r="D30" s="22">
        <f>B30*C30</f>
        <v>2.0972509873695588</v>
      </c>
      <c r="E30" s="73">
        <f>B8</f>
        <v>1032.3461884060687</v>
      </c>
      <c r="F30" s="34">
        <v>2.0999999999999999E-3</v>
      </c>
      <c r="G30" s="22">
        <f>E30*F30</f>
        <v>2.1679269956527443</v>
      </c>
      <c r="H30" s="22">
        <f>G30-D30</f>
        <v>7.0676008283185432E-2</v>
      </c>
      <c r="I30" s="23">
        <f t="shared" si="3"/>
        <v>3.3699356304430501E-2</v>
      </c>
      <c r="J30" s="125">
        <f t="shared" si="0"/>
        <v>1.0297986136182652E-2</v>
      </c>
    </row>
    <row r="31" spans="1:10" s="1" customFormat="1" x14ac:dyDescent="0.2">
      <c r="A31" s="107" t="s">
        <v>100</v>
      </c>
      <c r="B31" s="73">
        <f>C8</f>
        <v>998.69094636645673</v>
      </c>
      <c r="C31" s="34">
        <v>1.1000000000000001E-3</v>
      </c>
      <c r="D31" s="22">
        <f>B31*C31</f>
        <v>1.0985600410031024</v>
      </c>
      <c r="E31" s="73">
        <f>B8</f>
        <v>1032.3461884060687</v>
      </c>
      <c r="F31" s="34">
        <v>1.1000000000000001E-3</v>
      </c>
      <c r="G31" s="22">
        <f>E31*F31</f>
        <v>1.1355808072466755</v>
      </c>
      <c r="H31" s="22">
        <f>G31-D31</f>
        <v>3.7020766243573089E-2</v>
      </c>
      <c r="I31" s="23">
        <f t="shared" si="3"/>
        <v>3.3699356304430279E-2</v>
      </c>
      <c r="J31" s="125">
        <f t="shared" si="0"/>
        <v>5.3941832141909127E-3</v>
      </c>
    </row>
    <row r="32" spans="1:10" x14ac:dyDescent="0.2">
      <c r="A32" s="107" t="s">
        <v>44</v>
      </c>
      <c r="B32" s="73">
        <v>1</v>
      </c>
      <c r="C32" s="22">
        <v>0.25</v>
      </c>
      <c r="D32" s="22">
        <f>B32*C32</f>
        <v>0.25</v>
      </c>
      <c r="E32" s="73">
        <f t="shared" si="4"/>
        <v>1</v>
      </c>
      <c r="F32" s="22">
        <f>C32</f>
        <v>0.25</v>
      </c>
      <c r="G32" s="22">
        <f>E32*F32</f>
        <v>0.25</v>
      </c>
      <c r="H32" s="22">
        <f t="shared" si="2"/>
        <v>0</v>
      </c>
      <c r="I32" s="23">
        <f t="shared" si="3"/>
        <v>0</v>
      </c>
      <c r="J32" s="125">
        <f t="shared" si="0"/>
        <v>1.1875383899956945E-3</v>
      </c>
    </row>
    <row r="33" spans="1:10" s="1" customFormat="1" x14ac:dyDescent="0.2">
      <c r="A33" s="110" t="s">
        <v>45</v>
      </c>
      <c r="B33" s="74"/>
      <c r="C33" s="35"/>
      <c r="D33" s="35">
        <f>SUM(D29:D32)</f>
        <v>7.0410984352919055</v>
      </c>
      <c r="E33" s="73"/>
      <c r="F33" s="35"/>
      <c r="G33" s="35">
        <f>SUM(G29:G32)</f>
        <v>7.2699540811612673</v>
      </c>
      <c r="H33" s="35">
        <f t="shared" si="2"/>
        <v>0.2288556458693618</v>
      </c>
      <c r="I33" s="36">
        <f t="shared" si="3"/>
        <v>3.2502832899235563E-2</v>
      </c>
      <c r="J33" s="111">
        <f t="shared" si="0"/>
        <v>3.4533398259539522E-2</v>
      </c>
    </row>
    <row r="34" spans="1:10" ht="13.5" thickBot="1" x14ac:dyDescent="0.25">
      <c r="A34" s="112" t="s">
        <v>46</v>
      </c>
      <c r="B34" s="113">
        <f>C4</f>
        <v>945.37196740482466</v>
      </c>
      <c r="C34" s="114">
        <v>7.0000000000000001E-3</v>
      </c>
      <c r="D34" s="115">
        <f>B34*C34</f>
        <v>6.6176037718337728</v>
      </c>
      <c r="E34" s="116">
        <f t="shared" si="4"/>
        <v>945.37196740482466</v>
      </c>
      <c r="F34" s="114">
        <f>C34</f>
        <v>7.0000000000000001E-3</v>
      </c>
      <c r="G34" s="115">
        <f>E34*F34</f>
        <v>6.6176037718337728</v>
      </c>
      <c r="H34" s="115">
        <f t="shared" si="2"/>
        <v>0</v>
      </c>
      <c r="I34" s="117">
        <f t="shared" si="3"/>
        <v>0</v>
      </c>
      <c r="J34" s="118">
        <f t="shared" si="0"/>
        <v>3.1434634115331657E-2</v>
      </c>
    </row>
    <row r="35" spans="1:10" x14ac:dyDescent="0.2">
      <c r="A35" s="37" t="s">
        <v>146</v>
      </c>
      <c r="B35" s="38"/>
      <c r="C35" s="39"/>
      <c r="D35" s="39">
        <f>SUM(D14,D24,D27,D33,D34)</f>
        <v>154.54449810691699</v>
      </c>
      <c r="E35" s="38"/>
      <c r="F35" s="39"/>
      <c r="G35" s="39">
        <f>SUM(G14,G24,G27,G33,G34)</f>
        <v>200.49477145416859</v>
      </c>
      <c r="H35" s="39">
        <f t="shared" si="2"/>
        <v>45.950273347251596</v>
      </c>
      <c r="I35" s="40">
        <f>IF(ISERROR(H35/D35),0,(H35/D35))</f>
        <v>0.29732713820366657</v>
      </c>
      <c r="J35" s="41">
        <f t="shared" si="0"/>
        <v>0.95238095238095233</v>
      </c>
    </row>
    <row r="36" spans="1:10" x14ac:dyDescent="0.2">
      <c r="A36" s="46" t="s">
        <v>138</v>
      </c>
      <c r="B36" s="43"/>
      <c r="C36" s="26">
        <v>0.13</v>
      </c>
      <c r="D36" s="26">
        <f>D35*C36</f>
        <v>20.090784753899211</v>
      </c>
      <c r="E36" s="26"/>
      <c r="F36" s="26">
        <f>C36</f>
        <v>0.13</v>
      </c>
      <c r="G36" s="26">
        <f>G35*F36</f>
        <v>26.064320289041916</v>
      </c>
      <c r="H36" s="26">
        <f t="shared" si="2"/>
        <v>5.9735355351427053</v>
      </c>
      <c r="I36" s="44">
        <f t="shared" si="3"/>
        <v>0.29732713820366646</v>
      </c>
      <c r="J36" s="45">
        <f t="shared" si="0"/>
        <v>0.12380952380952381</v>
      </c>
    </row>
    <row r="37" spans="1:10" x14ac:dyDescent="0.2">
      <c r="A37" s="46" t="s">
        <v>139</v>
      </c>
      <c r="B37" s="24"/>
      <c r="C37" s="25"/>
      <c r="D37" s="25">
        <f>SUM(D35:D36)</f>
        <v>174.6352828608162</v>
      </c>
      <c r="E37" s="25"/>
      <c r="F37" s="25"/>
      <c r="G37" s="25">
        <f>SUM(G35:G36)</f>
        <v>226.5590917432105</v>
      </c>
      <c r="H37" s="25">
        <f t="shared" si="2"/>
        <v>51.923808882394297</v>
      </c>
      <c r="I37" s="27">
        <f t="shared" si="3"/>
        <v>0.29732713820366652</v>
      </c>
      <c r="J37" s="47">
        <f t="shared" si="0"/>
        <v>1.0761904761904761</v>
      </c>
    </row>
    <row r="38" spans="1:10" x14ac:dyDescent="0.2">
      <c r="A38" s="46" t="s">
        <v>140</v>
      </c>
      <c r="B38" s="43"/>
      <c r="C38" s="26">
        <v>-0.08</v>
      </c>
      <c r="D38" s="26">
        <f>D35*C38</f>
        <v>-12.36355984855336</v>
      </c>
      <c r="E38" s="26"/>
      <c r="F38" s="26">
        <f>C38</f>
        <v>-0.08</v>
      </c>
      <c r="G38" s="26">
        <f>G35*F38</f>
        <v>-16.039581716333487</v>
      </c>
      <c r="H38" s="26">
        <f t="shared" si="2"/>
        <v>-3.6760218677801273</v>
      </c>
      <c r="I38" s="44">
        <f t="shared" si="3"/>
        <v>0.29732713820366652</v>
      </c>
      <c r="J38" s="45">
        <f t="shared" si="0"/>
        <v>-7.6190476190476197E-2</v>
      </c>
    </row>
    <row r="39" spans="1:10" ht="13.5" thickBot="1" x14ac:dyDescent="0.25">
      <c r="A39" s="46" t="s">
        <v>141</v>
      </c>
      <c r="B39" s="49"/>
      <c r="C39" s="50"/>
      <c r="D39" s="50">
        <f>SUM(D37:D38)</f>
        <v>162.27172301226284</v>
      </c>
      <c r="E39" s="50"/>
      <c r="F39" s="50"/>
      <c r="G39" s="50">
        <f>SUM(G37:G38)</f>
        <v>210.51951002687701</v>
      </c>
      <c r="H39" s="50">
        <f t="shared" si="2"/>
        <v>48.247787014614175</v>
      </c>
      <c r="I39" s="51">
        <f t="shared" si="3"/>
        <v>0.29732713820366657</v>
      </c>
      <c r="J39" s="52">
        <f t="shared" si="0"/>
        <v>1</v>
      </c>
    </row>
    <row r="40" spans="1:10" x14ac:dyDescent="0.2">
      <c r="D40" s="72"/>
      <c r="F40" s="69"/>
    </row>
    <row r="41" spans="1:10" x14ac:dyDescent="0.2">
      <c r="F41" s="69"/>
    </row>
    <row r="42" spans="1:10" x14ac:dyDescent="0.2">
      <c r="A42" s="70"/>
      <c r="B42" s="71"/>
      <c r="F42" s="69"/>
    </row>
    <row r="43" spans="1:10" x14ac:dyDescent="0.2">
      <c r="B43" s="72"/>
      <c r="D43" s="72"/>
      <c r="F43" s="69"/>
    </row>
    <row r="44" spans="1:10" x14ac:dyDescent="0.2">
      <c r="F44" s="69"/>
    </row>
    <row r="45" spans="1:10" x14ac:dyDescent="0.2">
      <c r="F45" s="69"/>
    </row>
    <row r="46" spans="1:10" x14ac:dyDescent="0.2">
      <c r="F46" s="69"/>
    </row>
    <row r="47" spans="1:10" x14ac:dyDescent="0.2">
      <c r="F47" s="69"/>
    </row>
    <row r="48" spans="1:10" x14ac:dyDescent="0.2">
      <c r="F48" s="69"/>
    </row>
    <row r="49" spans="6:6" x14ac:dyDescent="0.2">
      <c r="F49" s="69"/>
    </row>
    <row r="50" spans="6:6" x14ac:dyDescent="0.2">
      <c r="F50" s="69"/>
    </row>
  </sheetData>
  <mergeCells count="1">
    <mergeCell ref="A1:J1"/>
  </mergeCell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6">
    <pageSetUpPr fitToPage="1"/>
  </sheetPr>
  <dimension ref="A1:J50"/>
  <sheetViews>
    <sheetView topLeftCell="A10" workbookViewId="0">
      <selection activeCell="C19" sqref="C19"/>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48" t="s">
        <v>112</v>
      </c>
      <c r="B1" s="349"/>
      <c r="C1" s="349"/>
      <c r="D1" s="349"/>
      <c r="E1" s="349"/>
      <c r="F1" s="349"/>
      <c r="G1" s="349"/>
      <c r="H1" s="349"/>
      <c r="I1" s="349"/>
      <c r="J1" s="350"/>
    </row>
    <row r="3" spans="1:10" x14ac:dyDescent="0.2">
      <c r="A3" s="13" t="s">
        <v>13</v>
      </c>
      <c r="B3" s="13" t="s">
        <v>12</v>
      </c>
      <c r="C3" s="13" t="s">
        <v>123</v>
      </c>
    </row>
    <row r="4" spans="1:10" x14ac:dyDescent="0.2">
      <c r="A4" s="15" t="s">
        <v>62</v>
      </c>
      <c r="B4" s="79">
        <f>'Data for Bill Impacts_HONI Avg '!B59</f>
        <v>550.73927083333308</v>
      </c>
      <c r="C4" s="79">
        <f>B4</f>
        <v>550.73927083333308</v>
      </c>
    </row>
    <row r="5" spans="1:10" x14ac:dyDescent="0.2">
      <c r="A5" s="15" t="s">
        <v>16</v>
      </c>
      <c r="B5" s="15">
        <f>VLOOKUP($B$3,'Data for Bill Impacts'!$A$3:$Y$39,5,0)</f>
        <v>0</v>
      </c>
      <c r="C5" s="79">
        <f t="shared" ref="C5:C9" si="0">B5</f>
        <v>0</v>
      </c>
    </row>
    <row r="6" spans="1:10" x14ac:dyDescent="0.2">
      <c r="A6" s="15" t="s">
        <v>20</v>
      </c>
      <c r="B6" s="15">
        <f>VLOOKUP($B$3,'Data for Bill Impacts'!$A$3:$Y$39,2,0)</f>
        <v>1.0920000000000001</v>
      </c>
      <c r="C6" s="80">
        <f>'Data for Bill Impacts'!B31</f>
        <v>1.0654999999999999</v>
      </c>
    </row>
    <row r="7" spans="1:10" x14ac:dyDescent="0.2">
      <c r="A7" s="15" t="s">
        <v>15</v>
      </c>
      <c r="B7" s="15">
        <f>VLOOKUP($B$3,'Data for Bill Impacts'!$A$3:$Y$39,4,0)</f>
        <v>750</v>
      </c>
      <c r="C7" s="79">
        <f t="shared" si="0"/>
        <v>750</v>
      </c>
    </row>
    <row r="8" spans="1:10" x14ac:dyDescent="0.2">
      <c r="A8" s="15" t="s">
        <v>82</v>
      </c>
      <c r="B8" s="193">
        <f>B4*B6</f>
        <v>601.40728374999981</v>
      </c>
      <c r="C8" s="79">
        <f>C4*C6</f>
        <v>586.81269307291632</v>
      </c>
    </row>
    <row r="9" spans="1:10" x14ac:dyDescent="0.2">
      <c r="A9" s="15" t="s">
        <v>21</v>
      </c>
      <c r="B9" s="16" t="str">
        <f>VLOOKUP($B$3,'Data for Bill Impacts'!$A$3:$Y$39,6,0)</f>
        <v>kWh</v>
      </c>
      <c r="C9" s="194" t="str">
        <f t="shared" si="0"/>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3" t="s">
        <v>29</v>
      </c>
    </row>
    <row r="12" spans="1:10" x14ac:dyDescent="0.2">
      <c r="A12" s="101" t="s">
        <v>31</v>
      </c>
      <c r="B12" s="102">
        <f>IF(B4&gt;B7,B7,B4)</f>
        <v>550.73927083333308</v>
      </c>
      <c r="C12" s="103">
        <v>0.10299999999999999</v>
      </c>
      <c r="D12" s="104">
        <f>B12*C12</f>
        <v>56.726144895833308</v>
      </c>
      <c r="E12" s="102">
        <f>B12</f>
        <v>550.73927083333308</v>
      </c>
      <c r="F12" s="103">
        <f>C12</f>
        <v>0.10299999999999999</v>
      </c>
      <c r="G12" s="104">
        <f>E12*F12</f>
        <v>56.726144895833308</v>
      </c>
      <c r="H12" s="104">
        <f>G12-D12</f>
        <v>0</v>
      </c>
      <c r="I12" s="105">
        <f>IF(ISERROR(H12/D12),0,(H12/D12))</f>
        <v>0</v>
      </c>
      <c r="J12" s="124">
        <f t="shared" ref="J12:J39" si="1">G12/$G$39</f>
        <v>0.41687720036663056</v>
      </c>
    </row>
    <row r="13" spans="1:10" x14ac:dyDescent="0.2">
      <c r="A13" s="107" t="s">
        <v>32</v>
      </c>
      <c r="B13" s="73">
        <f>IF(B4&gt;B7,(B4)-B7,0)</f>
        <v>0</v>
      </c>
      <c r="C13" s="21">
        <v>0.121</v>
      </c>
      <c r="D13" s="22">
        <f>B13*C13</f>
        <v>0</v>
      </c>
      <c r="E13" s="73">
        <f t="shared" ref="E13" si="2">B13</f>
        <v>0</v>
      </c>
      <c r="F13" s="21">
        <f>C13</f>
        <v>0.121</v>
      </c>
      <c r="G13" s="22">
        <f>E13*F13</f>
        <v>0</v>
      </c>
      <c r="H13" s="22">
        <f t="shared" ref="H13:H39" si="3">G13-D13</f>
        <v>0</v>
      </c>
      <c r="I13" s="23">
        <f t="shared" ref="I13:I39" si="4">IF(ISERROR(H13/D13),0,(H13/D13))</f>
        <v>0</v>
      </c>
      <c r="J13" s="125">
        <f t="shared" si="1"/>
        <v>0</v>
      </c>
    </row>
    <row r="14" spans="1:10" s="1" customFormat="1" x14ac:dyDescent="0.2">
      <c r="A14" s="46" t="s">
        <v>33</v>
      </c>
      <c r="B14" s="24"/>
      <c r="C14" s="25"/>
      <c r="D14" s="25">
        <f>SUM(D12:D13)</f>
        <v>56.726144895833308</v>
      </c>
      <c r="E14" s="76"/>
      <c r="F14" s="25"/>
      <c r="G14" s="25">
        <f>SUM(G12:G13)</f>
        <v>56.726144895833308</v>
      </c>
      <c r="H14" s="25">
        <f t="shared" si="3"/>
        <v>0</v>
      </c>
      <c r="I14" s="27">
        <f t="shared" si="4"/>
        <v>0</v>
      </c>
      <c r="J14" s="47">
        <f t="shared" si="1"/>
        <v>0.41687720036663056</v>
      </c>
    </row>
    <row r="15" spans="1:10" x14ac:dyDescent="0.2">
      <c r="A15" s="107" t="s">
        <v>38</v>
      </c>
      <c r="B15" s="73">
        <v>1</v>
      </c>
      <c r="C15" s="122">
        <f>VLOOKUP($C$3,'Data for Bill Impacts'!$A$3:$Y$39,7,0)</f>
        <v>19.510000000000002</v>
      </c>
      <c r="D15" s="22">
        <f>B15*C15</f>
        <v>19.510000000000002</v>
      </c>
      <c r="E15" s="73">
        <f t="shared" ref="E15:E34" si="5">B15</f>
        <v>1</v>
      </c>
      <c r="F15" s="122">
        <f>VLOOKUP($B$3,'Data for Bill Impacts'!$A$3:$Y$39,17,0)</f>
        <v>37.5</v>
      </c>
      <c r="G15" s="22">
        <f>E15*F15</f>
        <v>37.5</v>
      </c>
      <c r="H15" s="22">
        <f t="shared" si="3"/>
        <v>17.989999999999998</v>
      </c>
      <c r="I15" s="23">
        <f t="shared" si="4"/>
        <v>0.92209123526396708</v>
      </c>
      <c r="J15" s="125">
        <f t="shared" si="1"/>
        <v>0.27558535914004845</v>
      </c>
    </row>
    <row r="16" spans="1:10" x14ac:dyDescent="0.2">
      <c r="A16" s="107" t="s">
        <v>188</v>
      </c>
      <c r="B16" s="73">
        <v>1</v>
      </c>
      <c r="C16" s="122">
        <f>'Data for Bill Impacts'!K31</f>
        <v>-0.2</v>
      </c>
      <c r="D16" s="22">
        <f t="shared" ref="D16:D20" si="6">B16*C16</f>
        <v>-0.2</v>
      </c>
      <c r="E16" s="73">
        <v>1</v>
      </c>
      <c r="F16" s="122">
        <v>0</v>
      </c>
      <c r="G16" s="22">
        <f t="shared" ref="G16:G17" si="7">E16*F16</f>
        <v>0</v>
      </c>
      <c r="H16" s="22">
        <f t="shared" ref="H16:H19" si="8">G16-D16</f>
        <v>0.2</v>
      </c>
      <c r="I16" s="23">
        <f t="shared" ref="I16:I19" si="9">IF(ISERROR(H16/D16),0,(H16/D16))</f>
        <v>-1</v>
      </c>
      <c r="J16" s="125">
        <f t="shared" ref="J16:J19" si="10">G16/$G$39</f>
        <v>0</v>
      </c>
    </row>
    <row r="17" spans="1:10" x14ac:dyDescent="0.2">
      <c r="A17" s="107" t="s">
        <v>85</v>
      </c>
      <c r="B17" s="73">
        <v>1</v>
      </c>
      <c r="C17" s="122">
        <f>VLOOKUP($C$3,'Data for Bill Impacts'!$A$3:$Y$39,13,0)</f>
        <v>0</v>
      </c>
      <c r="D17" s="22">
        <f t="shared" si="6"/>
        <v>0</v>
      </c>
      <c r="E17" s="73">
        <f t="shared" si="5"/>
        <v>1</v>
      </c>
      <c r="F17" s="78">
        <f>VLOOKUP($B$3,'Data for Bill Impacts'!$A$3:$Y$39,22,0)</f>
        <v>-0.01</v>
      </c>
      <c r="G17" s="22">
        <f t="shared" si="7"/>
        <v>-0.01</v>
      </c>
      <c r="H17" s="22">
        <f t="shared" si="8"/>
        <v>-0.01</v>
      </c>
      <c r="I17" s="23">
        <f t="shared" si="9"/>
        <v>0</v>
      </c>
      <c r="J17" s="125">
        <f t="shared" si="10"/>
        <v>-7.3489429104012916E-5</v>
      </c>
    </row>
    <row r="18" spans="1:10" x14ac:dyDescent="0.2">
      <c r="A18" s="107" t="s">
        <v>39</v>
      </c>
      <c r="B18" s="73">
        <f>IF($C$9="kWh",$C$4,$C$5)</f>
        <v>550.73927083333308</v>
      </c>
      <c r="C18" s="126">
        <f>VLOOKUP($C$3,'Data for Bill Impacts'!$A$3:$Y$39,10,0)</f>
        <v>2.5000000000000001E-3</v>
      </c>
      <c r="D18" s="22">
        <f t="shared" si="6"/>
        <v>1.3768481770833327</v>
      </c>
      <c r="E18" s="73">
        <f>B4</f>
        <v>550.73927083333308</v>
      </c>
      <c r="F18" s="78">
        <f>VLOOKUP($B$3,'Data for Bill Impacts'!$A$3:$Y$39,19,0)</f>
        <v>3.04E-2</v>
      </c>
      <c r="G18" s="22">
        <f>E18*F18</f>
        <v>16.742473833333325</v>
      </c>
      <c r="H18" s="22">
        <f t="shared" si="8"/>
        <v>15.365625656249993</v>
      </c>
      <c r="I18" s="23">
        <f t="shared" si="9"/>
        <v>11.16</v>
      </c>
      <c r="J18" s="125">
        <f t="shared" si="10"/>
        <v>0.12303948438005406</v>
      </c>
    </row>
    <row r="19" spans="1:10" x14ac:dyDescent="0.2">
      <c r="A19" t="s">
        <v>189</v>
      </c>
      <c r="B19" s="73">
        <f>IF($C$9="kWh",$C$4,$C$5)</f>
        <v>550.73927083333308</v>
      </c>
      <c r="C19" s="126">
        <f>'Data for Bill Impacts'!H31</f>
        <v>4.0000000000000002E-4</v>
      </c>
      <c r="D19" s="22">
        <f t="shared" si="6"/>
        <v>0.22029570833333323</v>
      </c>
      <c r="E19" s="73">
        <f>B4</f>
        <v>550.73927083333308</v>
      </c>
      <c r="F19" s="126">
        <v>0</v>
      </c>
      <c r="G19" s="22">
        <f>E19*F19</f>
        <v>0</v>
      </c>
      <c r="H19" s="22">
        <f t="shared" si="8"/>
        <v>-0.22029570833333323</v>
      </c>
      <c r="I19" s="23">
        <f t="shared" si="9"/>
        <v>-1</v>
      </c>
      <c r="J19" s="125">
        <f t="shared" si="10"/>
        <v>0</v>
      </c>
    </row>
    <row r="20" spans="1:10" ht="12.75" hidden="1" customHeight="1" x14ac:dyDescent="0.2">
      <c r="A20" s="107" t="s">
        <v>190</v>
      </c>
      <c r="B20" s="73">
        <f>IF($C$9="kWh",$B$4,$B$5)</f>
        <v>550.73927083333308</v>
      </c>
      <c r="C20" s="78">
        <f>'Data for Bill Impacts'!L31</f>
        <v>-3.0000000000000001E-5</v>
      </c>
      <c r="D20" s="22">
        <f t="shared" si="6"/>
        <v>-1.6522178124999991E-2</v>
      </c>
      <c r="E20" s="73">
        <f t="shared" si="5"/>
        <v>550.73927083333308</v>
      </c>
      <c r="F20" s="126">
        <v>0</v>
      </c>
      <c r="G20" s="22">
        <f>E20*F20</f>
        <v>0</v>
      </c>
      <c r="H20" s="22">
        <f t="shared" si="3"/>
        <v>1.6522178124999991E-2</v>
      </c>
      <c r="I20" s="23">
        <f>IF(ISERROR(H20/D20),0,(H20/D20))</f>
        <v>-1</v>
      </c>
      <c r="J20" s="125">
        <f t="shared" si="1"/>
        <v>0</v>
      </c>
    </row>
    <row r="21" spans="1:10" s="1" customFormat="1" x14ac:dyDescent="0.2">
      <c r="A21" s="107" t="s">
        <v>194</v>
      </c>
      <c r="B21" s="73">
        <f>IF($C$9="kWh",$C$4,$C$5)</f>
        <v>550.73927083333308</v>
      </c>
      <c r="C21" s="126">
        <f>VLOOKUP($C$3,'Data for Bill Impacts'!$A$3:$Y$39,14,0)</f>
        <v>0</v>
      </c>
      <c r="D21" s="22">
        <f>B21*C21</f>
        <v>0</v>
      </c>
      <c r="E21" s="73">
        <f>B4</f>
        <v>550.73927083333308</v>
      </c>
      <c r="F21" s="126">
        <f>VLOOKUP($B$3,'Data for Bill Impacts'!$A$3:$Y$39,23,0)</f>
        <v>2.0000000000000001E-4</v>
      </c>
      <c r="G21" s="22">
        <f>E21*F21</f>
        <v>0.11014785416666661</v>
      </c>
      <c r="H21" s="22">
        <f t="shared" si="3"/>
        <v>0.11014785416666661</v>
      </c>
      <c r="I21" s="23">
        <f>IF(ISERROR(H21/D21),0,(H21/D21))</f>
        <v>0</v>
      </c>
      <c r="J21" s="125">
        <f t="shared" si="1"/>
        <v>8.0947029197403996E-4</v>
      </c>
    </row>
    <row r="22" spans="1:10" x14ac:dyDescent="0.2">
      <c r="A22" s="110" t="s">
        <v>72</v>
      </c>
      <c r="B22" s="74"/>
      <c r="C22" s="35"/>
      <c r="D22" s="35">
        <f>SUM(D15:D21)</f>
        <v>20.890621707291665</v>
      </c>
      <c r="E22" s="73"/>
      <c r="F22" s="35"/>
      <c r="G22" s="35">
        <f>SUM(G15:G21)</f>
        <v>54.342621687499999</v>
      </c>
      <c r="H22" s="35">
        <f t="shared" si="3"/>
        <v>33.451999980208335</v>
      </c>
      <c r="I22" s="36">
        <f t="shared" si="4"/>
        <v>1.6012926972169643</v>
      </c>
      <c r="J22" s="111">
        <f t="shared" si="1"/>
        <v>0.3993608243829726</v>
      </c>
    </row>
    <row r="23" spans="1:10" s="1" customFormat="1" x14ac:dyDescent="0.2">
      <c r="A23" s="119" t="s">
        <v>81</v>
      </c>
      <c r="B23" s="120">
        <f>C8-C4</f>
        <v>36.073422239583238</v>
      </c>
      <c r="C23" s="225">
        <f>IF(C4&gt;C7,C13,C12)</f>
        <v>0.10299999999999999</v>
      </c>
      <c r="D23" s="22">
        <f>B23*C23</f>
        <v>3.7155624906770734</v>
      </c>
      <c r="E23" s="73">
        <f>B8-B4</f>
        <v>50.668012916666726</v>
      </c>
      <c r="F23" s="225">
        <f>C23</f>
        <v>0.10299999999999999</v>
      </c>
      <c r="G23" s="22">
        <f>E23*F23</f>
        <v>5.2188053304166724</v>
      </c>
      <c r="H23" s="22">
        <f t="shared" si="3"/>
        <v>1.5032428397395989</v>
      </c>
      <c r="I23" s="23">
        <f>IF(ISERROR(H23/D23),0,(H23/D23))</f>
        <v>0.40458015267176101</v>
      </c>
      <c r="J23" s="125">
        <f t="shared" si="1"/>
        <v>3.8352702433730075E-2</v>
      </c>
    </row>
    <row r="24" spans="1:10" x14ac:dyDescent="0.2">
      <c r="A24" s="110" t="s">
        <v>79</v>
      </c>
      <c r="B24" s="74"/>
      <c r="C24" s="35"/>
      <c r="D24" s="35">
        <f>SUM(D22,D23:D23)</f>
        <v>24.606184197968737</v>
      </c>
      <c r="E24" s="73"/>
      <c r="F24" s="35"/>
      <c r="G24" s="35">
        <f>SUM(G22,G23:G23)</f>
        <v>59.561427017916671</v>
      </c>
      <c r="H24" s="35">
        <f t="shared" si="3"/>
        <v>34.955242819947934</v>
      </c>
      <c r="I24" s="36">
        <f>IF(ISERROR(H24/D24),0,(H24/D24))</f>
        <v>1.4205877083060088</v>
      </c>
      <c r="J24" s="111">
        <f t="shared" si="1"/>
        <v>0.43771352681670267</v>
      </c>
    </row>
    <row r="25" spans="1:10" x14ac:dyDescent="0.2">
      <c r="A25" s="107" t="s">
        <v>40</v>
      </c>
      <c r="B25" s="73">
        <f>C8</f>
        <v>586.81269307291632</v>
      </c>
      <c r="C25" s="126">
        <f>VLOOKUP($C$3,'Data for Bill Impacts'!$A$3:$Y$39,15,0)</f>
        <v>5.8707754984320933E-3</v>
      </c>
      <c r="D25" s="22">
        <f>B25*C25</f>
        <v>3.4450455806614291</v>
      </c>
      <c r="E25" s="73">
        <f>B8</f>
        <v>601.40728374999981</v>
      </c>
      <c r="F25" s="78">
        <f>VLOOKUP($B$3,'Data for Bill Impacts'!$A$3:$Y$39,24,0)</f>
        <v>4.7000000000000002E-3</v>
      </c>
      <c r="G25" s="22">
        <f>E25*F25</f>
        <v>2.8266142336249991</v>
      </c>
      <c r="H25" s="22">
        <f t="shared" si="3"/>
        <v>-0.61843134703642999</v>
      </c>
      <c r="I25" s="23">
        <f t="shared" si="4"/>
        <v>-0.17951325535660828</v>
      </c>
      <c r="J25" s="125">
        <f t="shared" si="1"/>
        <v>2.0772626632637816E-2</v>
      </c>
    </row>
    <row r="26" spans="1:10" s="1" customFormat="1" x14ac:dyDescent="0.2">
      <c r="A26" s="107" t="s">
        <v>41</v>
      </c>
      <c r="B26" s="73">
        <f>C8</f>
        <v>586.81269307291632</v>
      </c>
      <c r="C26" s="126">
        <f>VLOOKUP($C$3,'Data for Bill Impacts'!$A$3:$Y$39,16,0)</f>
        <v>4.9991360917706956E-3</v>
      </c>
      <c r="D26" s="22">
        <f>B26*C26</f>
        <v>2.9335565130499757</v>
      </c>
      <c r="E26" s="73">
        <f>B8</f>
        <v>601.40728374999981</v>
      </c>
      <c r="F26" s="78">
        <f>VLOOKUP($B$3,'Data for Bill Impacts'!$A$3:$Y$39,25,0)</f>
        <v>3.8E-3</v>
      </c>
      <c r="G26" s="22">
        <f>E26*F26</f>
        <v>2.2853476782499991</v>
      </c>
      <c r="H26" s="22">
        <f t="shared" si="3"/>
        <v>-0.6482088347999766</v>
      </c>
      <c r="I26" s="23">
        <f t="shared" si="4"/>
        <v>-0.22096347280729334</v>
      </c>
      <c r="J26" s="125">
        <f t="shared" si="1"/>
        <v>1.6794889617877382E-2</v>
      </c>
    </row>
    <row r="27" spans="1:10" s="1" customFormat="1" x14ac:dyDescent="0.2">
      <c r="A27" s="110" t="s">
        <v>76</v>
      </c>
      <c r="B27" s="74"/>
      <c r="C27" s="35"/>
      <c r="D27" s="35">
        <f>SUM(D25:D26)</f>
        <v>6.3786020937114047</v>
      </c>
      <c r="E27" s="73"/>
      <c r="F27" s="35"/>
      <c r="G27" s="35">
        <f>SUM(G25:G26)</f>
        <v>5.1119619118749977</v>
      </c>
      <c r="H27" s="35">
        <f t="shared" si="3"/>
        <v>-1.266640181836407</v>
      </c>
      <c r="I27" s="36">
        <f t="shared" si="4"/>
        <v>-0.19857645346543468</v>
      </c>
      <c r="J27" s="111">
        <f t="shared" si="1"/>
        <v>3.7567516250515194E-2</v>
      </c>
    </row>
    <row r="28" spans="1:10" s="1" customFormat="1" x14ac:dyDescent="0.2">
      <c r="A28" s="110" t="s">
        <v>80</v>
      </c>
      <c r="B28" s="74"/>
      <c r="C28" s="35"/>
      <c r="D28" s="35">
        <f>D24+D27</f>
        <v>30.984786291680141</v>
      </c>
      <c r="E28" s="73"/>
      <c r="F28" s="35"/>
      <c r="G28" s="35">
        <f>G24+G27</f>
        <v>64.67338892979167</v>
      </c>
      <c r="H28" s="35">
        <f t="shared" si="3"/>
        <v>33.688602638111533</v>
      </c>
      <c r="I28" s="36">
        <f t="shared" si="4"/>
        <v>1.0872627076068426</v>
      </c>
      <c r="J28" s="111">
        <f t="shared" si="1"/>
        <v>0.47528104306721786</v>
      </c>
    </row>
    <row r="29" spans="1:10" x14ac:dyDescent="0.2">
      <c r="A29" s="107" t="s">
        <v>42</v>
      </c>
      <c r="B29" s="73">
        <f>C8</f>
        <v>586.81269307291632</v>
      </c>
      <c r="C29" s="34">
        <v>3.5999999999999999E-3</v>
      </c>
      <c r="D29" s="22">
        <f>B29*C29</f>
        <v>2.1125256950624989</v>
      </c>
      <c r="E29" s="73">
        <f>B8</f>
        <v>601.40728374999981</v>
      </c>
      <c r="F29" s="34">
        <v>3.5999999999999999E-3</v>
      </c>
      <c r="G29" s="22">
        <f>E29*F29</f>
        <v>2.1650662214999992</v>
      </c>
      <c r="H29" s="22">
        <f t="shared" si="3"/>
        <v>5.254052643750029E-2</v>
      </c>
      <c r="I29" s="23">
        <f t="shared" si="4"/>
        <v>2.4870952604411224E-2</v>
      </c>
      <c r="J29" s="125">
        <f t="shared" si="1"/>
        <v>1.5910948059041731E-2</v>
      </c>
    </row>
    <row r="30" spans="1:10" s="1" customFormat="1" x14ac:dyDescent="0.2">
      <c r="A30" s="107" t="s">
        <v>43</v>
      </c>
      <c r="B30" s="73">
        <f>C8</f>
        <v>586.81269307291632</v>
      </c>
      <c r="C30" s="34">
        <v>2.0999999999999999E-3</v>
      </c>
      <c r="D30" s="22">
        <f>B30*C30</f>
        <v>1.2323066554531241</v>
      </c>
      <c r="E30" s="73">
        <f>B8</f>
        <v>601.40728374999981</v>
      </c>
      <c r="F30" s="34">
        <v>2.0999999999999999E-3</v>
      </c>
      <c r="G30" s="22">
        <f>E30*F30</f>
        <v>1.2629552958749994</v>
      </c>
      <c r="H30" s="22">
        <f>G30-D30</f>
        <v>3.0648640421875317E-2</v>
      </c>
      <c r="I30" s="23">
        <f t="shared" si="4"/>
        <v>2.4870952604411349E-2</v>
      </c>
      <c r="J30" s="125">
        <f t="shared" si="1"/>
        <v>9.2813863677743431E-3</v>
      </c>
    </row>
    <row r="31" spans="1:10" s="1" customFormat="1" x14ac:dyDescent="0.2">
      <c r="A31" s="107" t="s">
        <v>100</v>
      </c>
      <c r="B31" s="73">
        <f>C8</f>
        <v>586.81269307291632</v>
      </c>
      <c r="C31" s="34">
        <v>1.1000000000000001E-3</v>
      </c>
      <c r="D31" s="22">
        <f>B31*C31</f>
        <v>0.64549396238020795</v>
      </c>
      <c r="E31" s="73">
        <f>B8</f>
        <v>601.40728374999981</v>
      </c>
      <c r="F31" s="34">
        <v>1.1000000000000001E-3</v>
      </c>
      <c r="G31" s="22">
        <f>E31*F31</f>
        <v>0.66154801212499981</v>
      </c>
      <c r="H31" s="22">
        <f>G31-D31</f>
        <v>1.6054049744791854E-2</v>
      </c>
      <c r="I31" s="23">
        <f t="shared" si="4"/>
        <v>2.487095260441138E-2</v>
      </c>
      <c r="J31" s="125">
        <f t="shared" si="1"/>
        <v>4.861678573596085E-3</v>
      </c>
    </row>
    <row r="32" spans="1:10" x14ac:dyDescent="0.2">
      <c r="A32" s="107" t="s">
        <v>44</v>
      </c>
      <c r="B32" s="73">
        <v>1</v>
      </c>
      <c r="C32" s="22">
        <v>0.25</v>
      </c>
      <c r="D32" s="22">
        <f>B32*C32</f>
        <v>0.25</v>
      </c>
      <c r="E32" s="73">
        <f t="shared" si="5"/>
        <v>1</v>
      </c>
      <c r="F32" s="22">
        <f>C32</f>
        <v>0.25</v>
      </c>
      <c r="G32" s="22">
        <f>E32*F32</f>
        <v>0.25</v>
      </c>
      <c r="H32" s="22">
        <f t="shared" si="3"/>
        <v>0</v>
      </c>
      <c r="I32" s="23">
        <f t="shared" si="4"/>
        <v>0</v>
      </c>
      <c r="J32" s="125">
        <f t="shared" si="1"/>
        <v>1.8372357276003229E-3</v>
      </c>
    </row>
    <row r="33" spans="1:10" s="1" customFormat="1" x14ac:dyDescent="0.2">
      <c r="A33" s="110" t="s">
        <v>45</v>
      </c>
      <c r="B33" s="74"/>
      <c r="C33" s="35"/>
      <c r="D33" s="35">
        <f>SUM(D29:D32)</f>
        <v>4.2403263128958315</v>
      </c>
      <c r="E33" s="73"/>
      <c r="F33" s="35"/>
      <c r="G33" s="35">
        <f>SUM(G29:G32)</f>
        <v>4.3395695294999985</v>
      </c>
      <c r="H33" s="35">
        <f t="shared" si="3"/>
        <v>9.9243216604167017E-2</v>
      </c>
      <c r="I33" s="36">
        <f t="shared" si="4"/>
        <v>2.3404617777255728E-2</v>
      </c>
      <c r="J33" s="111">
        <f t="shared" si="1"/>
        <v>3.1891248728012481E-2</v>
      </c>
    </row>
    <row r="34" spans="1:10" ht="13.5" thickBot="1" x14ac:dyDescent="0.25">
      <c r="A34" s="112" t="s">
        <v>46</v>
      </c>
      <c r="B34" s="113">
        <f>C4</f>
        <v>550.73927083333308</v>
      </c>
      <c r="C34" s="114">
        <v>7.0000000000000001E-3</v>
      </c>
      <c r="D34" s="115">
        <f>B34*C34</f>
        <v>3.8551748958333318</v>
      </c>
      <c r="E34" s="116">
        <f t="shared" si="5"/>
        <v>550.73927083333308</v>
      </c>
      <c r="F34" s="114">
        <f>C34</f>
        <v>7.0000000000000001E-3</v>
      </c>
      <c r="G34" s="115">
        <f>E34*F34</f>
        <v>3.8551748958333318</v>
      </c>
      <c r="H34" s="115">
        <f t="shared" si="3"/>
        <v>0</v>
      </c>
      <c r="I34" s="117">
        <f t="shared" si="4"/>
        <v>0</v>
      </c>
      <c r="J34" s="118">
        <f t="shared" si="1"/>
        <v>2.8331460219091401E-2</v>
      </c>
    </row>
    <row r="35" spans="1:10" x14ac:dyDescent="0.2">
      <c r="A35" s="37" t="s">
        <v>146</v>
      </c>
      <c r="B35" s="38"/>
      <c r="C35" s="39"/>
      <c r="D35" s="39">
        <f>SUM(D14,D24,D27,D33,D34)</f>
        <v>95.806432396242613</v>
      </c>
      <c r="E35" s="38"/>
      <c r="F35" s="39"/>
      <c r="G35" s="39">
        <f>SUM(G14,G24,G27,G33,G34)</f>
        <v>129.59427825095833</v>
      </c>
      <c r="H35" s="39">
        <f t="shared" si="3"/>
        <v>33.787845854715712</v>
      </c>
      <c r="I35" s="40">
        <f>IF(ISERROR(H35/D35),0,(H35/D35))</f>
        <v>0.35266782208290248</v>
      </c>
      <c r="J35" s="41">
        <f t="shared" si="1"/>
        <v>0.95238095238095244</v>
      </c>
    </row>
    <row r="36" spans="1:10" x14ac:dyDescent="0.2">
      <c r="A36" s="46" t="s">
        <v>138</v>
      </c>
      <c r="B36" s="43"/>
      <c r="C36" s="26">
        <v>0.13</v>
      </c>
      <c r="D36" s="26">
        <f>D35*C36</f>
        <v>12.454836211511541</v>
      </c>
      <c r="E36" s="26"/>
      <c r="F36" s="26">
        <f>C36</f>
        <v>0.13</v>
      </c>
      <c r="G36" s="26">
        <f>G35*F36</f>
        <v>16.847256172624583</v>
      </c>
      <c r="H36" s="26">
        <f t="shared" si="3"/>
        <v>4.3924199611130419</v>
      </c>
      <c r="I36" s="44">
        <f t="shared" si="4"/>
        <v>0.35266782208290237</v>
      </c>
      <c r="J36" s="45">
        <f t="shared" si="1"/>
        <v>0.12380952380952383</v>
      </c>
    </row>
    <row r="37" spans="1:10" x14ac:dyDescent="0.2">
      <c r="A37" s="46" t="s">
        <v>139</v>
      </c>
      <c r="B37" s="24"/>
      <c r="C37" s="25"/>
      <c r="D37" s="25">
        <f>SUM(D35:D36)</f>
        <v>108.26126860775415</v>
      </c>
      <c r="E37" s="25"/>
      <c r="F37" s="25"/>
      <c r="G37" s="25">
        <f>SUM(G35:G36)</f>
        <v>146.44153442358291</v>
      </c>
      <c r="H37" s="25">
        <f t="shared" si="3"/>
        <v>38.180265815828761</v>
      </c>
      <c r="I37" s="27">
        <f t="shared" si="4"/>
        <v>0.35266782208290254</v>
      </c>
      <c r="J37" s="47">
        <f t="shared" si="1"/>
        <v>1.0761904761904764</v>
      </c>
    </row>
    <row r="38" spans="1:10" x14ac:dyDescent="0.2">
      <c r="A38" s="46" t="s">
        <v>140</v>
      </c>
      <c r="B38" s="43"/>
      <c r="C38" s="26">
        <v>-0.08</v>
      </c>
      <c r="D38" s="26">
        <f>D35*C38</f>
        <v>-7.6645145916994091</v>
      </c>
      <c r="E38" s="26"/>
      <c r="F38" s="26">
        <f>C38</f>
        <v>-0.08</v>
      </c>
      <c r="G38" s="26">
        <f>G35*F38</f>
        <v>-10.367542260076666</v>
      </c>
      <c r="H38" s="26">
        <f t="shared" si="3"/>
        <v>-2.7030276683772572</v>
      </c>
      <c r="I38" s="44">
        <f t="shared" si="4"/>
        <v>0.35266782208290248</v>
      </c>
      <c r="J38" s="45">
        <f t="shared" si="1"/>
        <v>-7.6190476190476197E-2</v>
      </c>
    </row>
    <row r="39" spans="1:10" ht="13.5" thickBot="1" x14ac:dyDescent="0.25">
      <c r="A39" s="46" t="s">
        <v>141</v>
      </c>
      <c r="B39" s="49"/>
      <c r="C39" s="50"/>
      <c r="D39" s="50">
        <f>SUM(D37:D38)</f>
        <v>100.59675401605473</v>
      </c>
      <c r="E39" s="50"/>
      <c r="F39" s="50"/>
      <c r="G39" s="50">
        <f>SUM(G37:G38)</f>
        <v>136.07399216350623</v>
      </c>
      <c r="H39" s="50">
        <f t="shared" si="3"/>
        <v>35.477238147451502</v>
      </c>
      <c r="I39" s="51">
        <f t="shared" si="4"/>
        <v>0.35266782208290254</v>
      </c>
      <c r="J39" s="52">
        <f t="shared" si="1"/>
        <v>1</v>
      </c>
    </row>
    <row r="40" spans="1:10" x14ac:dyDescent="0.2">
      <c r="D40" s="72"/>
      <c r="F40" s="69"/>
    </row>
    <row r="41" spans="1:10" x14ac:dyDescent="0.2">
      <c r="F41" s="69"/>
    </row>
    <row r="42" spans="1:10" x14ac:dyDescent="0.2">
      <c r="A42" s="70"/>
      <c r="B42" s="71"/>
      <c r="F42" s="69"/>
    </row>
    <row r="43" spans="1:10" x14ac:dyDescent="0.2">
      <c r="B43" s="72"/>
      <c r="D43" s="72"/>
      <c r="F43" s="69"/>
    </row>
    <row r="44" spans="1:10" x14ac:dyDescent="0.2">
      <c r="F44" s="69"/>
    </row>
    <row r="45" spans="1:10" x14ac:dyDescent="0.2">
      <c r="F45" s="69"/>
    </row>
    <row r="46" spans="1:10" x14ac:dyDescent="0.2">
      <c r="F46" s="69"/>
    </row>
    <row r="47" spans="1:10" x14ac:dyDescent="0.2">
      <c r="F47" s="69"/>
    </row>
    <row r="48" spans="1:10" x14ac:dyDescent="0.2">
      <c r="F48" s="69"/>
    </row>
    <row r="49" spans="6:6" x14ac:dyDescent="0.2">
      <c r="F49" s="69"/>
    </row>
    <row r="50" spans="6:6" x14ac:dyDescent="0.2">
      <c r="F50" s="69"/>
    </row>
  </sheetData>
  <mergeCells count="1">
    <mergeCell ref="A1:J1"/>
  </mergeCell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9">
    <pageSetUpPr fitToPage="1"/>
  </sheetPr>
  <dimension ref="A1:K49"/>
  <sheetViews>
    <sheetView topLeftCell="A10" workbookViewId="0">
      <selection activeCell="C19" sqref="C19"/>
    </sheetView>
  </sheetViews>
  <sheetFormatPr defaultRowHeight="12.75" x14ac:dyDescent="0.2"/>
  <cols>
    <col min="1" max="1" width="64.7109375" bestFit="1" customWidth="1"/>
    <col min="2" max="2" width="15.5703125" bestFit="1" customWidth="1"/>
    <col min="3" max="3" width="16.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1" ht="16.5" thickBot="1" x14ac:dyDescent="0.3">
      <c r="A1" s="348" t="s">
        <v>112</v>
      </c>
      <c r="B1" s="349"/>
      <c r="C1" s="349"/>
      <c r="D1" s="349"/>
      <c r="E1" s="349"/>
      <c r="F1" s="349"/>
      <c r="G1" s="349"/>
      <c r="H1" s="349"/>
      <c r="I1" s="349"/>
      <c r="J1" s="350"/>
      <c r="K1" s="129"/>
    </row>
    <row r="3" spans="1:11" x14ac:dyDescent="0.2">
      <c r="A3" s="13" t="s">
        <v>13</v>
      </c>
      <c r="B3" s="13" t="s">
        <v>8</v>
      </c>
      <c r="C3" s="13" t="s">
        <v>116</v>
      </c>
    </row>
    <row r="4" spans="1:11" x14ac:dyDescent="0.2">
      <c r="A4" s="15" t="s">
        <v>62</v>
      </c>
      <c r="B4" s="79">
        <f>C4</f>
        <v>76826.384713261112</v>
      </c>
      <c r="C4" s="79">
        <f>'Data for Bill Impacts_HONI Avg '!C49</f>
        <v>76826.384713261112</v>
      </c>
    </row>
    <row r="5" spans="1:11" x14ac:dyDescent="0.2">
      <c r="A5" s="15" t="s">
        <v>16</v>
      </c>
      <c r="B5" s="15"/>
      <c r="C5" s="193">
        <f>'Data for Bill Impacts_HONI Avg '!B49</f>
        <v>210.7703131136349</v>
      </c>
    </row>
    <row r="6" spans="1:11" x14ac:dyDescent="0.2">
      <c r="A6" s="15" t="s">
        <v>20</v>
      </c>
      <c r="B6" s="15">
        <f>VLOOKUP($B$3,'Data for Bill Impacts'!$A$3:$Y$39,2,0)</f>
        <v>1.0920000000000001</v>
      </c>
      <c r="C6" s="15">
        <f>'Data for Bill Impacts'!B27</f>
        <v>1.0430999999999999</v>
      </c>
    </row>
    <row r="7" spans="1:11" x14ac:dyDescent="0.2">
      <c r="A7" s="15" t="s">
        <v>15</v>
      </c>
      <c r="B7" s="15">
        <f>VLOOKUP($B$3,'Data for Bill Impacts'!$A$3:$Y$39,4,0)</f>
        <v>750</v>
      </c>
      <c r="C7" s="15">
        <f>VLOOKUP($C$3,'Data for Bill Impacts'!$A$3:$Y$39,4,0)</f>
        <v>750</v>
      </c>
    </row>
    <row r="8" spans="1:11" x14ac:dyDescent="0.2">
      <c r="A8" s="15" t="s">
        <v>82</v>
      </c>
      <c r="B8" s="193">
        <f>B4*B6</f>
        <v>83894.412106881136</v>
      </c>
      <c r="C8" s="193">
        <f>C4*C6</f>
        <v>80137.601894402658</v>
      </c>
    </row>
    <row r="9" spans="1:11" x14ac:dyDescent="0.2">
      <c r="A9" s="15" t="s">
        <v>21</v>
      </c>
      <c r="B9" s="16" t="str">
        <f>VLOOKUP($B$3,'Data for Bill Impacts'!$A$3:$Y$39,6,0)</f>
        <v>kWh</v>
      </c>
      <c r="C9" s="16" t="str">
        <f>'Data for Bill Impacts'!F27</f>
        <v>kW</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23" t="s">
        <v>29</v>
      </c>
    </row>
    <row r="12" spans="1:11" x14ac:dyDescent="0.2">
      <c r="A12" s="101" t="s">
        <v>31</v>
      </c>
      <c r="B12" s="102">
        <f>IF(C4&gt;C7,C7,C4)</f>
        <v>750</v>
      </c>
      <c r="C12" s="103">
        <v>0.10299999999999999</v>
      </c>
      <c r="D12" s="104">
        <f>B12*C12</f>
        <v>77.25</v>
      </c>
      <c r="E12" s="102">
        <f>IF(B4&gt;B7,B7,B4)</f>
        <v>750</v>
      </c>
      <c r="F12" s="103">
        <f>C12</f>
        <v>0.10299999999999999</v>
      </c>
      <c r="G12" s="104">
        <f>E12*F12</f>
        <v>77.25</v>
      </c>
      <c r="H12" s="104">
        <f>G12-D12</f>
        <v>0</v>
      </c>
      <c r="I12" s="105">
        <f>IF(ISERROR(H12/D12),0,(H12/D12))</f>
        <v>0</v>
      </c>
      <c r="J12" s="124">
        <f t="shared" ref="J12:J38" si="0">G12/$G$38</f>
        <v>3.6579676849227073E-3</v>
      </c>
    </row>
    <row r="13" spans="1:11" x14ac:dyDescent="0.2">
      <c r="A13" s="107" t="s">
        <v>32</v>
      </c>
      <c r="B13" s="73">
        <f>IF(C4&gt;C7,(C4)-C7,0)</f>
        <v>76076.384713261112</v>
      </c>
      <c r="C13" s="21">
        <v>0.121</v>
      </c>
      <c r="D13" s="22">
        <f>B13*C13</f>
        <v>9205.2425503045943</v>
      </c>
      <c r="E13" s="73">
        <f>IF(B4&gt;B7,(B4)-B7,0)</f>
        <v>76076.384713261112</v>
      </c>
      <c r="F13" s="21">
        <f>C13</f>
        <v>0.121</v>
      </c>
      <c r="G13" s="22">
        <f>E13*F13</f>
        <v>9205.2425503045943</v>
      </c>
      <c r="H13" s="22">
        <f t="shared" ref="H13:H38" si="1">G13-D13</f>
        <v>0</v>
      </c>
      <c r="I13" s="23">
        <f t="shared" ref="I13:I38" si="2">IF(ISERROR(H13/D13),0,(H13/D13))</f>
        <v>0</v>
      </c>
      <c r="J13" s="125">
        <f t="shared" si="0"/>
        <v>0.43588970590148474</v>
      </c>
    </row>
    <row r="14" spans="1:11" s="1" customFormat="1" x14ac:dyDescent="0.2">
      <c r="A14" s="46" t="s">
        <v>33</v>
      </c>
      <c r="B14" s="24"/>
      <c r="C14" s="25"/>
      <c r="D14" s="25">
        <f>SUM(D12:D13)</f>
        <v>9282.4925503045943</v>
      </c>
      <c r="E14" s="76"/>
      <c r="F14" s="25"/>
      <c r="G14" s="25">
        <f>SUM(G12:G13)</f>
        <v>9282.4925503045943</v>
      </c>
      <c r="H14" s="25">
        <f t="shared" si="1"/>
        <v>0</v>
      </c>
      <c r="I14" s="27">
        <f t="shared" si="2"/>
        <v>0</v>
      </c>
      <c r="J14" s="47">
        <f t="shared" si="0"/>
        <v>0.43954767358640745</v>
      </c>
    </row>
    <row r="15" spans="1:11" x14ac:dyDescent="0.2">
      <c r="A15" s="107" t="s">
        <v>38</v>
      </c>
      <c r="B15" s="73">
        <f>'Data for Bill Impacts_HONI Avg '!B84</f>
        <v>810</v>
      </c>
      <c r="C15" s="122">
        <f>VLOOKUP($C$3,'Data for Bill Impacts'!$A$3:$Y$39,7,0)</f>
        <v>3.09</v>
      </c>
      <c r="D15" s="22">
        <f>B15*C15</f>
        <v>2502.9</v>
      </c>
      <c r="E15" s="73">
        <v>1</v>
      </c>
      <c r="F15" s="78">
        <f>VLOOKUP($B$3,'Data for Bill Impacts'!$A$3:$Y$39,17,0)</f>
        <v>4.7699999999999996</v>
      </c>
      <c r="G15" s="22">
        <f>E15*F15</f>
        <v>4.7699999999999996</v>
      </c>
      <c r="H15" s="22">
        <f t="shared" si="1"/>
        <v>-2498.13</v>
      </c>
      <c r="I15" s="23">
        <f t="shared" si="2"/>
        <v>-0.99809421071556992</v>
      </c>
      <c r="J15" s="125">
        <f t="shared" si="0"/>
        <v>2.2587062598163513E-4</v>
      </c>
    </row>
    <row r="16" spans="1:11" x14ac:dyDescent="0.2">
      <c r="A16" s="107" t="s">
        <v>188</v>
      </c>
      <c r="B16" s="73">
        <f>B15</f>
        <v>810</v>
      </c>
      <c r="C16" s="122">
        <f>'Data for Bill Impacts'!K27</f>
        <v>-0.03</v>
      </c>
      <c r="D16" s="22">
        <f>B16*C16</f>
        <v>-24.3</v>
      </c>
      <c r="E16" s="73">
        <f>E15</f>
        <v>1</v>
      </c>
      <c r="F16" s="122">
        <v>0</v>
      </c>
      <c r="G16" s="22">
        <f t="shared" ref="G16:G17" si="3">E16*F16</f>
        <v>0</v>
      </c>
      <c r="H16" s="22">
        <f t="shared" si="1"/>
        <v>24.3</v>
      </c>
      <c r="I16" s="23">
        <f t="shared" si="2"/>
        <v>-1</v>
      </c>
      <c r="J16" s="125">
        <f t="shared" si="0"/>
        <v>0</v>
      </c>
    </row>
    <row r="17" spans="1:10" x14ac:dyDescent="0.2">
      <c r="A17" s="107" t="s">
        <v>85</v>
      </c>
      <c r="B17" s="73">
        <f>B15</f>
        <v>810</v>
      </c>
      <c r="C17" s="122">
        <f>VLOOKUP($C$3,'Data for Bill Impacts'!$A$3:$Y$39,13,0)</f>
        <v>0</v>
      </c>
      <c r="D17" s="22">
        <f t="shared" ref="D17" si="4">B17*C17</f>
        <v>0</v>
      </c>
      <c r="E17" s="73">
        <f>E15</f>
        <v>1</v>
      </c>
      <c r="F17" s="122">
        <f>VLOOKUP($B$3,'Data for Bill Impacts'!$A$3:$Y$39,22,0)</f>
        <v>0</v>
      </c>
      <c r="G17" s="22">
        <f t="shared" si="3"/>
        <v>0</v>
      </c>
      <c r="H17" s="22">
        <f t="shared" si="1"/>
        <v>0</v>
      </c>
      <c r="I17" s="23">
        <f t="shared" si="2"/>
        <v>0</v>
      </c>
      <c r="J17" s="125">
        <f t="shared" si="0"/>
        <v>0</v>
      </c>
    </row>
    <row r="18" spans="1:10" x14ac:dyDescent="0.2">
      <c r="A18" s="107" t="s">
        <v>39</v>
      </c>
      <c r="B18" s="73">
        <f>IF($C$9="kWh",$C$4,$C$5)</f>
        <v>210.7703131136349</v>
      </c>
      <c r="C18" s="78">
        <f>VLOOKUP($C$3,'Data for Bill Impacts'!$A$3:$Y$39,10,0)</f>
        <v>12.4552</v>
      </c>
      <c r="D18" s="22">
        <f>B18*C18</f>
        <v>2625.1864038929452</v>
      </c>
      <c r="E18" s="73">
        <f>IF($B$9="kWh",$B$4,$B$5)</f>
        <v>76826.384713261112</v>
      </c>
      <c r="F18" s="78">
        <f>VLOOKUP($B$3,'Data for Bill Impacts'!$A$3:$Y$39,19,0)</f>
        <v>0.107</v>
      </c>
      <c r="G18" s="22">
        <f>E18*F18</f>
        <v>8220.4231643189396</v>
      </c>
      <c r="H18" s="22">
        <f t="shared" si="1"/>
        <v>5595.2367604259944</v>
      </c>
      <c r="I18" s="23">
        <f t="shared" si="2"/>
        <v>2.1313674153304687</v>
      </c>
      <c r="J18" s="125">
        <f t="shared" si="0"/>
        <v>0.38925621089279933</v>
      </c>
    </row>
    <row r="19" spans="1:10" x14ac:dyDescent="0.2">
      <c r="A19" s="107" t="s">
        <v>190</v>
      </c>
      <c r="B19" s="73">
        <f>IF($C$9="kWh",$C$4,$C$5)</f>
        <v>210.7703131136349</v>
      </c>
      <c r="C19" s="78">
        <f>'Data for Bill Impacts'!L27</f>
        <v>-0.1246</v>
      </c>
      <c r="D19" s="22">
        <f>B19*C19</f>
        <v>-26.261981013958909</v>
      </c>
      <c r="E19" s="73">
        <f>IF($B$9="kWh",$B$4,$B$5)</f>
        <v>76826.384713261112</v>
      </c>
      <c r="F19" s="126">
        <v>0</v>
      </c>
      <c r="G19" s="22">
        <f>E19*F19</f>
        <v>0</v>
      </c>
      <c r="H19" s="22">
        <f t="shared" si="1"/>
        <v>26.261981013958909</v>
      </c>
      <c r="I19" s="23">
        <f>IF(ISERROR(H19/D19),0,(H19/D19))</f>
        <v>-1</v>
      </c>
      <c r="J19" s="125">
        <f t="shared" si="0"/>
        <v>0</v>
      </c>
    </row>
    <row r="20" spans="1:10" s="1" customFormat="1" x14ac:dyDescent="0.2">
      <c r="A20" s="107" t="s">
        <v>194</v>
      </c>
      <c r="B20" s="73">
        <f t="shared" ref="B20" si="5">IF($C$9="kWh",$C$4,$C$5)</f>
        <v>210.7703131136349</v>
      </c>
      <c r="C20" s="126">
        <f>VLOOKUP($C$3,'Data for Bill Impacts'!$A$3:$Y$39,14,0)</f>
        <v>0</v>
      </c>
      <c r="D20" s="22">
        <f>B20*C20</f>
        <v>0</v>
      </c>
      <c r="E20" s="73">
        <f>IF($B$9="kWh",$B$4,$B$5)</f>
        <v>76826.384713261112</v>
      </c>
      <c r="F20" s="126">
        <f>VLOOKUP($B$3,'Data for Bill Impacts'!$A$3:$Y$39,23,0)</f>
        <v>2.0000000000000001E-4</v>
      </c>
      <c r="G20" s="22">
        <f>E20*F20</f>
        <v>15.365276942652223</v>
      </c>
      <c r="H20" s="22">
        <f t="shared" si="1"/>
        <v>15.365276942652223</v>
      </c>
      <c r="I20" s="23">
        <f>IF(ISERROR(H20/D20),0,(H20/D20))</f>
        <v>0</v>
      </c>
      <c r="J20" s="125">
        <f t="shared" si="0"/>
        <v>7.2758170260336322E-4</v>
      </c>
    </row>
    <row r="21" spans="1:10" x14ac:dyDescent="0.2">
      <c r="A21" s="110" t="s">
        <v>72</v>
      </c>
      <c r="B21" s="74"/>
      <c r="C21" s="35"/>
      <c r="D21" s="35">
        <f>SUM(D15:D20)</f>
        <v>5077.524422878987</v>
      </c>
      <c r="E21" s="73"/>
      <c r="F21" s="35"/>
      <c r="G21" s="35">
        <f>SUM(G15:G20)</f>
        <v>8240.5584412615917</v>
      </c>
      <c r="H21" s="35">
        <f t="shared" si="1"/>
        <v>3163.0340183826047</v>
      </c>
      <c r="I21" s="36">
        <f t="shared" si="2"/>
        <v>0.62294806581927675</v>
      </c>
      <c r="J21" s="111">
        <f t="shared" si="0"/>
        <v>0.39020966322138434</v>
      </c>
    </row>
    <row r="22" spans="1:10" s="1" customFormat="1" x14ac:dyDescent="0.2">
      <c r="A22" s="119" t="s">
        <v>81</v>
      </c>
      <c r="B22" s="120">
        <f>C8-C4</f>
        <v>3311.2171811415465</v>
      </c>
      <c r="C22" s="225">
        <f>IF(B4&gt;B7,C13,C12)</f>
        <v>0.121</v>
      </c>
      <c r="D22" s="22">
        <f>B22*C22</f>
        <v>400.65727891812713</v>
      </c>
      <c r="E22" s="73">
        <f>B8-B4</f>
        <v>7068.0273936200247</v>
      </c>
      <c r="F22" s="225">
        <f>C22</f>
        <v>0.121</v>
      </c>
      <c r="G22" s="22">
        <f>E22*F22</f>
        <v>855.23131462802291</v>
      </c>
      <c r="H22" s="22">
        <f t="shared" si="1"/>
        <v>454.57403570989578</v>
      </c>
      <c r="I22" s="23">
        <f>IF(ISERROR(H22/D22),0,(H22/D22))</f>
        <v>1.1345707656612583</v>
      </c>
      <c r="J22" s="125">
        <f t="shared" si="0"/>
        <v>4.0497197566903204E-2</v>
      </c>
    </row>
    <row r="23" spans="1:10" x14ac:dyDescent="0.2">
      <c r="A23" s="110" t="s">
        <v>79</v>
      </c>
      <c r="B23" s="74"/>
      <c r="C23" s="35"/>
      <c r="D23" s="35">
        <f>SUM(D21,D22:D22)</f>
        <v>5478.1817017971143</v>
      </c>
      <c r="E23" s="73"/>
      <c r="F23" s="35"/>
      <c r="G23" s="35">
        <f>SUM(G21,G22:G22)</f>
        <v>9095.7897558896148</v>
      </c>
      <c r="H23" s="35">
        <f t="shared" si="1"/>
        <v>3617.6080540925004</v>
      </c>
      <c r="I23" s="36">
        <f>IF(ISERROR(H23/D23),0,(H23/D23))</f>
        <v>0.66036656887553513</v>
      </c>
      <c r="J23" s="111">
        <f t="shared" si="0"/>
        <v>0.43070686078828752</v>
      </c>
    </row>
    <row r="24" spans="1:10" x14ac:dyDescent="0.2">
      <c r="A24" s="107" t="s">
        <v>40</v>
      </c>
      <c r="B24" s="195">
        <f>IF($C$9="kWh",$C$8,$C$5)</f>
        <v>210.7703131136349</v>
      </c>
      <c r="C24" s="126">
        <f>VLOOKUP($C$3,'Data for Bill Impacts'!$A$3:$Y$39,15,0)</f>
        <v>2.0613999999999999</v>
      </c>
      <c r="D24" s="22">
        <f>B24*C24</f>
        <v>434.48192345244695</v>
      </c>
      <c r="E24" s="73">
        <f>$B$8</f>
        <v>83894.412106881136</v>
      </c>
      <c r="F24" s="126">
        <f>VLOOKUP($B$3,'Data for Bill Impacts'!$A$3:$Y$39,24,0)</f>
        <v>3.836E-3</v>
      </c>
      <c r="G24" s="22">
        <f>E24*F24</f>
        <v>321.81896484199603</v>
      </c>
      <c r="H24" s="22">
        <f t="shared" si="1"/>
        <v>-112.66295861045091</v>
      </c>
      <c r="I24" s="23">
        <f t="shared" si="2"/>
        <v>-0.25930413333474761</v>
      </c>
      <c r="J24" s="125">
        <f t="shared" si="0"/>
        <v>1.5238878625078297E-2</v>
      </c>
    </row>
    <row r="25" spans="1:10" s="1" customFormat="1" x14ac:dyDescent="0.2">
      <c r="A25" s="107" t="s">
        <v>41</v>
      </c>
      <c r="B25" s="195">
        <f>IF($C$9="kWh",$C$8,$C$5)</f>
        <v>210.7703131136349</v>
      </c>
      <c r="C25" s="126">
        <f>VLOOKUP($C$3,'Data for Bill Impacts'!$A$3:$Y$39,16,0)</f>
        <v>1.6580852579052419</v>
      </c>
      <c r="D25" s="22">
        <f>B25*C25</f>
        <v>349.4751489777899</v>
      </c>
      <c r="E25" s="73">
        <f>$B$8</f>
        <v>83894.412106881136</v>
      </c>
      <c r="F25" s="126">
        <f>VLOOKUP($B$3,'Data for Bill Impacts'!$A$3:$Y$39,25,0)</f>
        <v>3.6240000000000001E-3</v>
      </c>
      <c r="G25" s="22">
        <f>E25*F25</f>
        <v>304.03334947533722</v>
      </c>
      <c r="H25" s="22">
        <f t="shared" si="1"/>
        <v>-45.441799502452682</v>
      </c>
      <c r="I25" s="23">
        <f t="shared" si="2"/>
        <v>-0.1300287005681787</v>
      </c>
      <c r="J25" s="125">
        <f t="shared" si="0"/>
        <v>1.4396688252680851E-2</v>
      </c>
    </row>
    <row r="26" spans="1:10" s="1" customFormat="1" x14ac:dyDescent="0.2">
      <c r="A26" s="110" t="s">
        <v>76</v>
      </c>
      <c r="B26" s="74"/>
      <c r="C26" s="35"/>
      <c r="D26" s="35">
        <f>SUM(D24:D25)</f>
        <v>783.95707243023685</v>
      </c>
      <c r="E26" s="73"/>
      <c r="F26" s="35"/>
      <c r="G26" s="35">
        <f>SUM(G24:G25)</f>
        <v>625.85231431733325</v>
      </c>
      <c r="H26" s="35">
        <f t="shared" si="1"/>
        <v>-158.1047581129036</v>
      </c>
      <c r="I26" s="36">
        <f t="shared" si="2"/>
        <v>-0.2016752749264509</v>
      </c>
      <c r="J26" s="111">
        <f t="shared" si="0"/>
        <v>2.9635566877759149E-2</v>
      </c>
    </row>
    <row r="27" spans="1:10" s="1" customFormat="1" x14ac:dyDescent="0.2">
      <c r="A27" s="110" t="s">
        <v>80</v>
      </c>
      <c r="B27" s="74"/>
      <c r="C27" s="35"/>
      <c r="D27" s="35">
        <f>D23+D26</f>
        <v>6262.138774227351</v>
      </c>
      <c r="E27" s="73"/>
      <c r="F27" s="35"/>
      <c r="G27" s="35">
        <f>G23+G26</f>
        <v>9721.6420702069481</v>
      </c>
      <c r="H27" s="35">
        <f t="shared" si="1"/>
        <v>3459.5032959795972</v>
      </c>
      <c r="I27" s="36">
        <f t="shared" si="2"/>
        <v>0.55244756156117691</v>
      </c>
      <c r="J27" s="111">
        <f t="shared" si="0"/>
        <v>0.46034242766604672</v>
      </c>
    </row>
    <row r="28" spans="1:10" x14ac:dyDescent="0.2">
      <c r="A28" s="107" t="s">
        <v>42</v>
      </c>
      <c r="B28" s="73">
        <f>$C$8</f>
        <v>80137.601894402658</v>
      </c>
      <c r="C28" s="34">
        <v>3.5999999999999999E-3</v>
      </c>
      <c r="D28" s="22">
        <f>B28*C28</f>
        <v>288.49536681984955</v>
      </c>
      <c r="E28" s="73">
        <f>$B$8</f>
        <v>83894.412106881136</v>
      </c>
      <c r="F28" s="34">
        <v>3.5999999999999999E-3</v>
      </c>
      <c r="G28" s="22">
        <f>E28*F28</f>
        <v>302.01988358477206</v>
      </c>
      <c r="H28" s="22">
        <f t="shared" si="1"/>
        <v>13.52451676492251</v>
      </c>
      <c r="I28" s="23">
        <f t="shared" si="2"/>
        <v>4.687949381650857E-2</v>
      </c>
      <c r="J28" s="125">
        <f t="shared" si="0"/>
        <v>1.4301345946371705E-2</v>
      </c>
    </row>
    <row r="29" spans="1:10" s="1" customFormat="1" x14ac:dyDescent="0.2">
      <c r="A29" s="107" t="s">
        <v>43</v>
      </c>
      <c r="B29" s="73">
        <f>$C$8</f>
        <v>80137.601894402658</v>
      </c>
      <c r="C29" s="34">
        <v>2.0999999999999999E-3</v>
      </c>
      <c r="D29" s="22">
        <f>B29*C29</f>
        <v>168.28896397824556</v>
      </c>
      <c r="E29" s="73">
        <f t="shared" ref="E29:E30" si="6">$B$8</f>
        <v>83894.412106881136</v>
      </c>
      <c r="F29" s="34">
        <v>2.0999999999999999E-3</v>
      </c>
      <c r="G29" s="22">
        <f>E29*F29</f>
        <v>176.17826542445039</v>
      </c>
      <c r="H29" s="22">
        <f>G29-D29</f>
        <v>7.8893014462048257</v>
      </c>
      <c r="I29" s="23">
        <f t="shared" si="2"/>
        <v>4.6879493816508744E-2</v>
      </c>
      <c r="J29" s="125">
        <f t="shared" si="0"/>
        <v>8.3424518020501631E-3</v>
      </c>
    </row>
    <row r="30" spans="1:10" s="1" customFormat="1" x14ac:dyDescent="0.2">
      <c r="A30" s="107" t="s">
        <v>100</v>
      </c>
      <c r="B30" s="73">
        <f>$C$8</f>
        <v>80137.601894402658</v>
      </c>
      <c r="C30" s="34">
        <v>1.1000000000000001E-3</v>
      </c>
      <c r="D30" s="22">
        <f>B30*C30</f>
        <v>88.151362083842926</v>
      </c>
      <c r="E30" s="73">
        <f t="shared" si="6"/>
        <v>83894.412106881136</v>
      </c>
      <c r="F30" s="34">
        <v>1.1000000000000001E-3</v>
      </c>
      <c r="G30" s="22">
        <f>E30*F30</f>
        <v>92.283853317569253</v>
      </c>
      <c r="H30" s="22">
        <f>G30-D30</f>
        <v>4.1324912337263271</v>
      </c>
      <c r="I30" s="23">
        <f t="shared" si="2"/>
        <v>4.6879493816508626E-2</v>
      </c>
      <c r="J30" s="125">
        <f t="shared" si="0"/>
        <v>4.3698557058357993E-3</v>
      </c>
    </row>
    <row r="31" spans="1:10" x14ac:dyDescent="0.2">
      <c r="A31" s="107" t="s">
        <v>44</v>
      </c>
      <c r="B31" s="73">
        <v>1</v>
      </c>
      <c r="C31" s="22">
        <v>0.25</v>
      </c>
      <c r="D31" s="22">
        <f>B31*C31</f>
        <v>0.25</v>
      </c>
      <c r="E31" s="73">
        <f t="shared" ref="E31" si="7">B31</f>
        <v>1</v>
      </c>
      <c r="F31" s="22">
        <f>C31</f>
        <v>0.25</v>
      </c>
      <c r="G31" s="22">
        <f>E31*F31</f>
        <v>0.25</v>
      </c>
      <c r="H31" s="22">
        <f t="shared" si="1"/>
        <v>0</v>
      </c>
      <c r="I31" s="23">
        <f t="shared" si="2"/>
        <v>0</v>
      </c>
      <c r="J31" s="125">
        <f t="shared" si="0"/>
        <v>1.1838083122727208E-5</v>
      </c>
    </row>
    <row r="32" spans="1:10" s="1" customFormat="1" x14ac:dyDescent="0.2">
      <c r="A32" s="110" t="s">
        <v>45</v>
      </c>
      <c r="B32" s="74"/>
      <c r="C32" s="35"/>
      <c r="D32" s="35">
        <f>SUM(D28:D31)</f>
        <v>545.18569288193805</v>
      </c>
      <c r="E32" s="73"/>
      <c r="F32" s="35"/>
      <c r="G32" s="35">
        <f>SUM(G28:G31)</f>
        <v>570.73200232679164</v>
      </c>
      <c r="H32" s="35">
        <f t="shared" si="1"/>
        <v>25.546309444853591</v>
      </c>
      <c r="I32" s="36">
        <f t="shared" si="2"/>
        <v>4.6857996786034035E-2</v>
      </c>
      <c r="J32" s="111">
        <f t="shared" si="0"/>
        <v>2.7025491537380392E-2</v>
      </c>
    </row>
    <row r="33" spans="1:10" ht="13.5" thickBot="1" x14ac:dyDescent="0.25">
      <c r="A33" s="112" t="s">
        <v>46</v>
      </c>
      <c r="B33" s="113">
        <f>C4</f>
        <v>76826.384713261112</v>
      </c>
      <c r="C33" s="114">
        <v>7.0000000000000001E-3</v>
      </c>
      <c r="D33" s="115">
        <f>B33*C33</f>
        <v>537.78469299282779</v>
      </c>
      <c r="E33" s="116">
        <f>B4</f>
        <v>76826.384713261112</v>
      </c>
      <c r="F33" s="114">
        <f>C33</f>
        <v>7.0000000000000001E-3</v>
      </c>
      <c r="G33" s="115">
        <f>E33*F33</f>
        <v>537.78469299282779</v>
      </c>
      <c r="H33" s="115">
        <f t="shared" si="1"/>
        <v>0</v>
      </c>
      <c r="I33" s="117">
        <f t="shared" si="2"/>
        <v>0</v>
      </c>
      <c r="J33" s="118">
        <f t="shared" si="0"/>
        <v>2.546535959111771E-2</v>
      </c>
    </row>
    <row r="34" spans="1:10" x14ac:dyDescent="0.2">
      <c r="A34" s="37" t="s">
        <v>146</v>
      </c>
      <c r="B34" s="38"/>
      <c r="C34" s="39"/>
      <c r="D34" s="39">
        <f>SUM(D14,D23,D26,D32,D33)</f>
        <v>16627.60171040671</v>
      </c>
      <c r="E34" s="38"/>
      <c r="F34" s="39"/>
      <c r="G34" s="39">
        <f>SUM(G14,G23,G26,G32,G33)</f>
        <v>20112.651315831165</v>
      </c>
      <c r="H34" s="39">
        <f t="shared" si="1"/>
        <v>3485.0496054244541</v>
      </c>
      <c r="I34" s="40">
        <f>IF(ISERROR(H34/D34),0,(H34/D34))</f>
        <v>0.20959424372327054</v>
      </c>
      <c r="J34" s="41">
        <f t="shared" si="0"/>
        <v>0.95238095238095233</v>
      </c>
    </row>
    <row r="35" spans="1:10" x14ac:dyDescent="0.2">
      <c r="A35" s="46" t="s">
        <v>138</v>
      </c>
      <c r="B35" s="43"/>
      <c r="C35" s="26">
        <v>0.13</v>
      </c>
      <c r="D35" s="26">
        <f>D34*C35</f>
        <v>2161.5882223528724</v>
      </c>
      <c r="E35" s="26"/>
      <c r="F35" s="26">
        <f>C35</f>
        <v>0.13</v>
      </c>
      <c r="G35" s="26">
        <f>G34*F35</f>
        <v>2614.6446710580517</v>
      </c>
      <c r="H35" s="26">
        <f t="shared" si="1"/>
        <v>453.05644870517926</v>
      </c>
      <c r="I35" s="44">
        <f t="shared" si="2"/>
        <v>0.20959424372327062</v>
      </c>
      <c r="J35" s="45">
        <f t="shared" si="0"/>
        <v>0.12380952380952383</v>
      </c>
    </row>
    <row r="36" spans="1:10" x14ac:dyDescent="0.2">
      <c r="A36" s="46" t="s">
        <v>139</v>
      </c>
      <c r="B36" s="24"/>
      <c r="C36" s="25"/>
      <c r="D36" s="25">
        <f>SUM(D34:D35)</f>
        <v>18789.189932759582</v>
      </c>
      <c r="E36" s="25"/>
      <c r="F36" s="25"/>
      <c r="G36" s="25">
        <f>SUM(G34:G35)</f>
        <v>22727.295986889218</v>
      </c>
      <c r="H36" s="25">
        <f t="shared" si="1"/>
        <v>3938.1060541296356</v>
      </c>
      <c r="I36" s="27">
        <f t="shared" si="2"/>
        <v>0.20959424372327068</v>
      </c>
      <c r="J36" s="47">
        <f t="shared" si="0"/>
        <v>1.0761904761904761</v>
      </c>
    </row>
    <row r="37" spans="1:10" ht="12.75" customHeight="1" x14ac:dyDescent="0.2">
      <c r="A37" s="46" t="s">
        <v>140</v>
      </c>
      <c r="B37" s="43"/>
      <c r="C37" s="26">
        <v>-0.08</v>
      </c>
      <c r="D37" s="26">
        <f>D34*C37</f>
        <v>-1330.2081368325369</v>
      </c>
      <c r="E37" s="26"/>
      <c r="F37" s="26">
        <f>C37</f>
        <v>-0.08</v>
      </c>
      <c r="G37" s="26">
        <f>G34*F37</f>
        <v>-1609.0121052664931</v>
      </c>
      <c r="H37" s="26">
        <f t="shared" si="1"/>
        <v>-278.80396843395624</v>
      </c>
      <c r="I37" s="44">
        <f t="shared" si="2"/>
        <v>0.20959424372327046</v>
      </c>
      <c r="J37" s="45">
        <f t="shared" si="0"/>
        <v>-7.6190476190476183E-2</v>
      </c>
    </row>
    <row r="38" spans="1:10" ht="13.5" customHeight="1" thickBot="1" x14ac:dyDescent="0.25">
      <c r="A38" s="46" t="s">
        <v>141</v>
      </c>
      <c r="B38" s="49"/>
      <c r="C38" s="50"/>
      <c r="D38" s="50">
        <f>SUM(D36:D37)</f>
        <v>17458.981795927044</v>
      </c>
      <c r="E38" s="50"/>
      <c r="F38" s="50"/>
      <c r="G38" s="50">
        <f>SUM(G36:G37)</f>
        <v>21118.283881622723</v>
      </c>
      <c r="H38" s="50">
        <f t="shared" si="1"/>
        <v>3659.3020856956791</v>
      </c>
      <c r="I38" s="51">
        <f t="shared" si="2"/>
        <v>0.20959424372327068</v>
      </c>
      <c r="J38" s="52">
        <f t="shared" si="0"/>
        <v>1</v>
      </c>
    </row>
    <row r="39" spans="1:10" x14ac:dyDescent="0.2">
      <c r="D39" s="72"/>
      <c r="F39" s="69"/>
    </row>
    <row r="40" spans="1:10" x14ac:dyDescent="0.2">
      <c r="F40" s="69"/>
    </row>
    <row r="41" spans="1:10" x14ac:dyDescent="0.2">
      <c r="A41" s="70"/>
      <c r="B41" s="71"/>
      <c r="F41" s="69"/>
    </row>
    <row r="42" spans="1:10" x14ac:dyDescent="0.2">
      <c r="B42" s="72"/>
      <c r="D42" s="72"/>
      <c r="F42" s="69"/>
    </row>
    <row r="43" spans="1:10" x14ac:dyDescent="0.2">
      <c r="F43" s="69"/>
    </row>
    <row r="44" spans="1:10" x14ac:dyDescent="0.2">
      <c r="F44" s="69"/>
    </row>
    <row r="45" spans="1:10" x14ac:dyDescent="0.2">
      <c r="F45" s="69"/>
    </row>
    <row r="46" spans="1:10" x14ac:dyDescent="0.2">
      <c r="F46" s="69"/>
    </row>
    <row r="47" spans="1:10" x14ac:dyDescent="0.2">
      <c r="F47" s="69"/>
    </row>
    <row r="48" spans="1:10" x14ac:dyDescent="0.2">
      <c r="F48" s="69"/>
    </row>
    <row r="49" spans="6:6" x14ac:dyDescent="0.2">
      <c r="F49" s="69"/>
    </row>
  </sheetData>
  <mergeCells count="1">
    <mergeCell ref="A1:J1"/>
  </mergeCell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1" tint="0.499984740745262"/>
    <pageSetUpPr fitToPage="1"/>
  </sheetPr>
  <dimension ref="A1:K68"/>
  <sheetViews>
    <sheetView view="pageBreakPreview" topLeftCell="A19" zoomScaleNormal="100" zoomScaleSheetLayoutView="100" workbookViewId="0">
      <selection activeCell="C19" sqref="C19"/>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348" t="s">
        <v>109</v>
      </c>
      <c r="B1" s="349"/>
      <c r="C1" s="349"/>
      <c r="D1" s="349"/>
      <c r="E1" s="349"/>
      <c r="F1" s="349"/>
      <c r="G1" s="349"/>
      <c r="H1" s="349"/>
      <c r="I1" s="349"/>
      <c r="J1" s="349"/>
      <c r="K1" s="350"/>
    </row>
    <row r="3" spans="1:11" x14ac:dyDescent="0.2">
      <c r="A3" s="13" t="s">
        <v>13</v>
      </c>
      <c r="B3" s="13" t="s">
        <v>1</v>
      </c>
    </row>
    <row r="4" spans="1:11" x14ac:dyDescent="0.2">
      <c r="A4" s="15" t="s">
        <v>62</v>
      </c>
      <c r="B4" s="15">
        <v>400</v>
      </c>
    </row>
    <row r="5" spans="1:11" x14ac:dyDescent="0.2">
      <c r="A5" s="15" t="s">
        <v>16</v>
      </c>
      <c r="B5" s="15">
        <f>VLOOKUP($B$3,'Data for Bill Impacts'!$A$3:$Y$15,5,0)</f>
        <v>0</v>
      </c>
    </row>
    <row r="6" spans="1:11" x14ac:dyDescent="0.2">
      <c r="A6" s="15" t="s">
        <v>20</v>
      </c>
      <c r="B6" s="15">
        <f>VLOOKUP($B$3,'Data for Bill Impacts'!$A$3:$Y$15,2,0)</f>
        <v>1.0760000000000001</v>
      </c>
    </row>
    <row r="7" spans="1:11" x14ac:dyDescent="0.2">
      <c r="A7" s="15" t="s">
        <v>15</v>
      </c>
      <c r="B7" s="15">
        <f>VLOOKUP($B$3,'Data for Bill Impacts'!$A$3:$Y$15,4,0)</f>
        <v>600</v>
      </c>
    </row>
    <row r="8" spans="1:11" x14ac:dyDescent="0.2">
      <c r="A8" s="15" t="s">
        <v>82</v>
      </c>
      <c r="B8" s="193">
        <f>B4*B6</f>
        <v>430.40000000000003</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400</v>
      </c>
      <c r="C12" s="103">
        <v>0.10299999999999999</v>
      </c>
      <c r="D12" s="104">
        <f>B12*C12</f>
        <v>41.199999999999996</v>
      </c>
      <c r="E12" s="102">
        <f>B12</f>
        <v>400</v>
      </c>
      <c r="F12" s="103">
        <f>C12</f>
        <v>0.10299999999999999</v>
      </c>
      <c r="G12" s="104">
        <f>E12*F12</f>
        <v>41.199999999999996</v>
      </c>
      <c r="H12" s="104">
        <f>G12-D12</f>
        <v>0</v>
      </c>
      <c r="I12" s="105">
        <f>IF(ISERROR(H12/D12),0,(H12/D12))</f>
        <v>0</v>
      </c>
      <c r="J12" s="105">
        <f>G12/$G$46</f>
        <v>0.35344489701404941</v>
      </c>
      <c r="K12" s="106"/>
    </row>
    <row r="13" spans="1:11" x14ac:dyDescent="0.2">
      <c r="A13" s="107" t="s">
        <v>32</v>
      </c>
      <c r="B13" s="73">
        <f>IF(B4&gt;B7,(B4)-B7,0)</f>
        <v>0</v>
      </c>
      <c r="C13" s="21">
        <v>0.121</v>
      </c>
      <c r="D13" s="22">
        <f>B13*C13</f>
        <v>0</v>
      </c>
      <c r="E13" s="73">
        <f t="shared" ref="E13" si="0">B13</f>
        <v>0</v>
      </c>
      <c r="F13" s="21">
        <f>C13</f>
        <v>0.121</v>
      </c>
      <c r="G13" s="22">
        <f>E13*F13</f>
        <v>0</v>
      </c>
      <c r="H13" s="22">
        <f t="shared" ref="H13:H46" si="1">G13-D13</f>
        <v>0</v>
      </c>
      <c r="I13" s="23">
        <f t="shared" ref="I13:I46" si="2">IF(ISERROR(H13/D13),0,(H13/D13))</f>
        <v>0</v>
      </c>
      <c r="J13" s="23">
        <f>G13/$G$46</f>
        <v>0</v>
      </c>
      <c r="K13" s="108"/>
    </row>
    <row r="14" spans="1:11" s="1" customFormat="1" x14ac:dyDescent="0.2">
      <c r="A14" s="46" t="s">
        <v>33</v>
      </c>
      <c r="B14" s="24"/>
      <c r="C14" s="25"/>
      <c r="D14" s="25">
        <f>SUM(D12:D13)</f>
        <v>41.199999999999996</v>
      </c>
      <c r="E14" s="76"/>
      <c r="F14" s="25"/>
      <c r="G14" s="25">
        <f>SUM(G12:G13)</f>
        <v>41.199999999999996</v>
      </c>
      <c r="H14" s="25">
        <f t="shared" si="1"/>
        <v>0</v>
      </c>
      <c r="I14" s="27">
        <f t="shared" si="2"/>
        <v>0</v>
      </c>
      <c r="J14" s="27">
        <f>G14/$G$46</f>
        <v>0.35344489701404941</v>
      </c>
      <c r="K14" s="108"/>
    </row>
    <row r="15" spans="1:11" s="1" customFormat="1" x14ac:dyDescent="0.2">
      <c r="A15" s="109" t="s">
        <v>34</v>
      </c>
      <c r="B15" s="75">
        <f>B4*0.65</f>
        <v>260</v>
      </c>
      <c r="C15" s="28">
        <v>8.6999999999999994E-2</v>
      </c>
      <c r="D15" s="22">
        <f>B15*C15</f>
        <v>22.619999999999997</v>
      </c>
      <c r="E15" s="73">
        <f t="shared" ref="E15:F17" si="3">B15</f>
        <v>260</v>
      </c>
      <c r="F15" s="28">
        <f t="shared" si="3"/>
        <v>8.6999999999999994E-2</v>
      </c>
      <c r="G15" s="22">
        <f>E15*F15</f>
        <v>22.619999999999997</v>
      </c>
      <c r="H15" s="22">
        <f t="shared" si="1"/>
        <v>0</v>
      </c>
      <c r="I15" s="23">
        <f t="shared" si="2"/>
        <v>0</v>
      </c>
      <c r="J15" s="23"/>
      <c r="K15" s="108">
        <f t="shared" ref="K15:K26" si="4">G15/$G$51</f>
        <v>0.18793841370846118</v>
      </c>
    </row>
    <row r="16" spans="1:11" s="1" customFormat="1" x14ac:dyDescent="0.2">
      <c r="A16" s="109" t="s">
        <v>35</v>
      </c>
      <c r="B16" s="75">
        <f>B4*0.17</f>
        <v>68</v>
      </c>
      <c r="C16" s="28">
        <v>0.13200000000000001</v>
      </c>
      <c r="D16" s="22">
        <f>B16*C16</f>
        <v>8.9760000000000009</v>
      </c>
      <c r="E16" s="73">
        <f t="shared" si="3"/>
        <v>68</v>
      </c>
      <c r="F16" s="28">
        <f t="shared" si="3"/>
        <v>0.13200000000000001</v>
      </c>
      <c r="G16" s="22">
        <f>E16*F16</f>
        <v>8.9760000000000009</v>
      </c>
      <c r="H16" s="22">
        <f t="shared" si="1"/>
        <v>0</v>
      </c>
      <c r="I16" s="23">
        <f t="shared" si="2"/>
        <v>0</v>
      </c>
      <c r="J16" s="23"/>
      <c r="K16" s="108">
        <f t="shared" si="4"/>
        <v>7.4577153025957021E-2</v>
      </c>
    </row>
    <row r="17" spans="1:11" s="1" customFormat="1" x14ac:dyDescent="0.2">
      <c r="A17" s="109" t="s">
        <v>36</v>
      </c>
      <c r="B17" s="75">
        <f>B4*0.18</f>
        <v>72</v>
      </c>
      <c r="C17" s="28">
        <v>0.18</v>
      </c>
      <c r="D17" s="22">
        <f>B17*C17</f>
        <v>12.959999999999999</v>
      </c>
      <c r="E17" s="73">
        <f t="shared" si="3"/>
        <v>72</v>
      </c>
      <c r="F17" s="28">
        <f t="shared" si="3"/>
        <v>0.18</v>
      </c>
      <c r="G17" s="22">
        <f>E17*F17</f>
        <v>12.959999999999999</v>
      </c>
      <c r="H17" s="22">
        <f t="shared" si="1"/>
        <v>0</v>
      </c>
      <c r="I17" s="23">
        <f t="shared" si="2"/>
        <v>0</v>
      </c>
      <c r="J17" s="23"/>
      <c r="K17" s="108">
        <f t="shared" si="4"/>
        <v>0.10767824233694329</v>
      </c>
    </row>
    <row r="18" spans="1:11" s="1" customFormat="1" x14ac:dyDescent="0.2">
      <c r="A18" s="61" t="s">
        <v>37</v>
      </c>
      <c r="B18" s="29"/>
      <c r="C18" s="30"/>
      <c r="D18" s="30">
        <f>SUM(D15:D17)</f>
        <v>44.555999999999997</v>
      </c>
      <c r="E18" s="77"/>
      <c r="F18" s="30"/>
      <c r="G18" s="30">
        <f>SUM(G15:G17)</f>
        <v>44.555999999999997</v>
      </c>
      <c r="H18" s="31">
        <f t="shared" si="1"/>
        <v>0</v>
      </c>
      <c r="I18" s="32">
        <f t="shared" si="2"/>
        <v>0</v>
      </c>
      <c r="J18" s="33">
        <f t="shared" ref="J18:J23" si="5">G18/$G$46</f>
        <v>0.38223521435334917</v>
      </c>
      <c r="K18" s="62">
        <f t="shared" si="4"/>
        <v>0.37019380907136151</v>
      </c>
    </row>
    <row r="19" spans="1:11" x14ac:dyDescent="0.2">
      <c r="A19" s="107" t="s">
        <v>38</v>
      </c>
      <c r="B19" s="73">
        <v>1</v>
      </c>
      <c r="C19" s="78">
        <f>VLOOKUP($B$3,'Data for Bill Impacts'!$A$3:$Y$15,7,0)</f>
        <v>47.11</v>
      </c>
      <c r="D19" s="22">
        <f>B19*C19</f>
        <v>47.11</v>
      </c>
      <c r="E19" s="73">
        <f t="shared" ref="E19:E41" si="6">B19</f>
        <v>1</v>
      </c>
      <c r="F19" s="78">
        <f>VLOOKUP($B$3,'Data for Bill Impacts'!$A$3:$Y$15,17,0)</f>
        <v>52.36</v>
      </c>
      <c r="G19" s="22">
        <f>E19*F19</f>
        <v>52.36</v>
      </c>
      <c r="H19" s="22">
        <f t="shared" si="1"/>
        <v>5.25</v>
      </c>
      <c r="I19" s="23">
        <f t="shared" si="2"/>
        <v>0.11144130757800892</v>
      </c>
      <c r="J19" s="23">
        <f t="shared" si="5"/>
        <v>0.44918385455474824</v>
      </c>
      <c r="K19" s="108">
        <f t="shared" si="4"/>
        <v>0.43503339265141594</v>
      </c>
    </row>
    <row r="20" spans="1:11" hidden="1" x14ac:dyDescent="0.2">
      <c r="A20" s="107" t="s">
        <v>83</v>
      </c>
      <c r="B20" s="73">
        <v>1</v>
      </c>
      <c r="C20" s="78">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145</v>
      </c>
      <c r="B21" s="73">
        <v>1</v>
      </c>
      <c r="C21" s="78">
        <v>0</v>
      </c>
      <c r="D21" s="22">
        <f t="shared" ref="D21:D22" si="8">B21*C21</f>
        <v>0</v>
      </c>
      <c r="E21" s="73">
        <f t="shared" si="6"/>
        <v>1</v>
      </c>
      <c r="F21" s="122">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v>
      </c>
      <c r="D22" s="22">
        <f t="shared" si="8"/>
        <v>0</v>
      </c>
      <c r="E22" s="73">
        <f t="shared" si="6"/>
        <v>1</v>
      </c>
      <c r="F22" s="122">
        <f>VLOOKUP($B$3,'Data for Bill Impacts'!$A$3:$Y$15,22,0)</f>
        <v>0</v>
      </c>
      <c r="G22" s="22">
        <f t="shared" si="7"/>
        <v>0</v>
      </c>
      <c r="H22" s="22">
        <f t="shared" si="1"/>
        <v>0</v>
      </c>
      <c r="I22" s="23">
        <f t="shared" si="2"/>
        <v>0</v>
      </c>
      <c r="J22" s="23">
        <f t="shared" si="5"/>
        <v>0</v>
      </c>
      <c r="K22" s="108">
        <f t="shared" si="4"/>
        <v>0</v>
      </c>
    </row>
    <row r="23" spans="1:11" x14ac:dyDescent="0.2">
      <c r="A23" s="107" t="s">
        <v>39</v>
      </c>
      <c r="B23" s="73">
        <f>IF($B$9="kWh",$B$4,$B$5)</f>
        <v>400</v>
      </c>
      <c r="C23" s="126">
        <f>VLOOKUP($B$3,'Data for Bill Impacts'!$A$3:$Y$15,10,0)</f>
        <v>1.6E-2</v>
      </c>
      <c r="D23" s="22">
        <f>B23*C23</f>
        <v>6.4</v>
      </c>
      <c r="E23" s="73">
        <f t="shared" si="6"/>
        <v>400</v>
      </c>
      <c r="F23" s="78">
        <f>VLOOKUP($B$3,'Data for Bill Impacts'!$A$3:$Y$15,19,0)</f>
        <v>1.1599999999999999E-2</v>
      </c>
      <c r="G23" s="22">
        <f>E23*F23</f>
        <v>4.6399999999999997</v>
      </c>
      <c r="H23" s="22">
        <f t="shared" si="1"/>
        <v>-1.7600000000000007</v>
      </c>
      <c r="I23" s="23">
        <f t="shared" si="2"/>
        <v>-0.27500000000000008</v>
      </c>
      <c r="J23" s="23">
        <f t="shared" si="5"/>
        <v>3.9805444712261877E-2</v>
      </c>
      <c r="K23" s="108">
        <f t="shared" si="4"/>
        <v>3.8551469478658708E-2</v>
      </c>
    </row>
    <row r="24" spans="1:11" x14ac:dyDescent="0.2">
      <c r="A24" s="107" t="s">
        <v>194</v>
      </c>
      <c r="B24" s="73">
        <f>IF($B$9="kWh",$B$4,$B$5)</f>
        <v>400</v>
      </c>
      <c r="C24" s="126">
        <f>VLOOKUP($B$3,'Data for Bill Impacts'!$A$3:$Y$15,14,0)</f>
        <v>2.0000000000000001E-4</v>
      </c>
      <c r="D24" s="22">
        <f>B24*C24</f>
        <v>0.08</v>
      </c>
      <c r="E24" s="73">
        <f t="shared" si="6"/>
        <v>400</v>
      </c>
      <c r="F24" s="126">
        <f>VLOOKUP($B$3,'Data for Bill Impacts'!$A$3:$Y$15,23,0)</f>
        <v>2.0000000000000001E-4</v>
      </c>
      <c r="G24" s="22">
        <f>E24*F24</f>
        <v>0.08</v>
      </c>
      <c r="H24" s="22">
        <f t="shared" si="1"/>
        <v>0</v>
      </c>
      <c r="I24" s="23">
        <f>IF(ISERROR(H24/D24),0,(H24/D24))</f>
        <v>0</v>
      </c>
      <c r="J24" s="23">
        <f t="shared" ref="J24" si="9">G24/$G$46</f>
        <v>6.8630077090106687E-4</v>
      </c>
      <c r="K24" s="108">
        <f t="shared" si="4"/>
        <v>6.6468050825273641E-4</v>
      </c>
    </row>
    <row r="25" spans="1:11" s="1" customFormat="1" x14ac:dyDescent="0.2">
      <c r="A25" s="110" t="s">
        <v>72</v>
      </c>
      <c r="B25" s="74"/>
      <c r="C25" s="35"/>
      <c r="D25" s="35">
        <f>SUM(D19:D24)</f>
        <v>53.589999999999996</v>
      </c>
      <c r="E25" s="73"/>
      <c r="F25" s="35"/>
      <c r="G25" s="35">
        <f>SUM(G19:G24)</f>
        <v>57.08</v>
      </c>
      <c r="H25" s="35">
        <f t="shared" si="1"/>
        <v>3.490000000000002</v>
      </c>
      <c r="I25" s="36">
        <f t="shared" si="2"/>
        <v>6.5124090315357389E-2</v>
      </c>
      <c r="J25" s="36">
        <f>G25/$G$46</f>
        <v>0.48967560003791116</v>
      </c>
      <c r="K25" s="111">
        <f t="shared" si="4"/>
        <v>0.47424954263832736</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G26/$G$46</f>
        <v>6.7772201126480355E-3</v>
      </c>
      <c r="K26" s="108">
        <f t="shared" si="4"/>
        <v>6.5637200189957723E-3</v>
      </c>
    </row>
    <row r="27" spans="1:11" s="1" customFormat="1" x14ac:dyDescent="0.2">
      <c r="A27" s="119" t="s">
        <v>75</v>
      </c>
      <c r="B27" s="120">
        <f>B8-B4</f>
        <v>30.400000000000034</v>
      </c>
      <c r="C27" s="121">
        <f>IF(B4&gt;B7,C13,C12)</f>
        <v>0.10299999999999999</v>
      </c>
      <c r="D27" s="22">
        <f>B27*C27</f>
        <v>3.1312000000000033</v>
      </c>
      <c r="E27" s="73">
        <f>B27</f>
        <v>30.400000000000034</v>
      </c>
      <c r="F27" s="121">
        <f>C27</f>
        <v>0.10299999999999999</v>
      </c>
      <c r="G27" s="22">
        <f>E27*F27</f>
        <v>3.1312000000000033</v>
      </c>
      <c r="H27" s="22">
        <f t="shared" si="1"/>
        <v>0</v>
      </c>
      <c r="I27" s="23">
        <f>IF(ISERROR(H27/D27),0,(H27/D27))</f>
        <v>0</v>
      </c>
      <c r="J27" s="23">
        <f t="shared" ref="J27:J46" si="10">G27/$G$46</f>
        <v>2.6861812173067785E-2</v>
      </c>
      <c r="K27" s="108">
        <f t="shared" ref="K27:K41" si="11">G27/$G$51</f>
        <v>2.6015595093012128E-2</v>
      </c>
    </row>
    <row r="28" spans="1:11" s="1" customFormat="1" x14ac:dyDescent="0.2">
      <c r="A28" s="119" t="s">
        <v>74</v>
      </c>
      <c r="B28" s="120">
        <f>B8-B4</f>
        <v>30.400000000000034</v>
      </c>
      <c r="C28" s="121">
        <f>0.65*C15+0.17*C16+0.18*C17</f>
        <v>0.11139</v>
      </c>
      <c r="D28" s="22">
        <f>B28*C28</f>
        <v>3.3862560000000039</v>
      </c>
      <c r="E28" s="73">
        <f>B28</f>
        <v>30.400000000000034</v>
      </c>
      <c r="F28" s="121">
        <f>C28</f>
        <v>0.11139</v>
      </c>
      <c r="G28" s="22">
        <f>E28*F28</f>
        <v>3.3862560000000039</v>
      </c>
      <c r="H28" s="22">
        <f t="shared" si="1"/>
        <v>0</v>
      </c>
      <c r="I28" s="23">
        <f>IF(ISERROR(H28/D28),0,(H28/D28))</f>
        <v>0</v>
      </c>
      <c r="J28" s="23">
        <f t="shared" si="10"/>
        <v>2.9049876290854572E-2</v>
      </c>
      <c r="K28" s="108">
        <f t="shared" si="11"/>
        <v>2.8134729489423509E-2</v>
      </c>
    </row>
    <row r="29" spans="1:11" s="1" customFormat="1" x14ac:dyDescent="0.2">
      <c r="A29" s="110" t="s">
        <v>78</v>
      </c>
      <c r="B29" s="74"/>
      <c r="C29" s="35"/>
      <c r="D29" s="35">
        <f>SUM(D25,D26:D27)</f>
        <v>57.511200000000002</v>
      </c>
      <c r="E29" s="73"/>
      <c r="F29" s="35"/>
      <c r="G29" s="35">
        <f>SUM(G25,G26:G27)</f>
        <v>61.001199999999997</v>
      </c>
      <c r="H29" s="35">
        <f t="shared" si="1"/>
        <v>3.4899999999999949</v>
      </c>
      <c r="I29" s="36">
        <f>IF(ISERROR(H29/D29),0,(H29/D29))</f>
        <v>6.0683832018806678E-2</v>
      </c>
      <c r="J29" s="36">
        <f t="shared" si="10"/>
        <v>0.52331463232362696</v>
      </c>
      <c r="K29" s="111">
        <f t="shared" si="11"/>
        <v>0.50682885775033526</v>
      </c>
    </row>
    <row r="30" spans="1:11" s="1" customFormat="1" x14ac:dyDescent="0.2">
      <c r="A30" s="110" t="s">
        <v>77</v>
      </c>
      <c r="B30" s="74"/>
      <c r="C30" s="35"/>
      <c r="D30" s="35">
        <f>SUM(D25,D26,D28)</f>
        <v>57.766255999999998</v>
      </c>
      <c r="E30" s="73"/>
      <c r="F30" s="35"/>
      <c r="G30" s="35">
        <f>SUM(G25,G26,G28)</f>
        <v>61.256256</v>
      </c>
      <c r="H30" s="35">
        <f t="shared" si="1"/>
        <v>3.490000000000002</v>
      </c>
      <c r="I30" s="36">
        <f>IF(ISERROR(H30/D30),0,(H30/D30))</f>
        <v>6.0415894012587595E-2</v>
      </c>
      <c r="J30" s="36">
        <f t="shared" si="10"/>
        <v>0.52550269644141379</v>
      </c>
      <c r="K30" s="111">
        <f t="shared" si="11"/>
        <v>0.50894799214674669</v>
      </c>
    </row>
    <row r="31" spans="1:11" x14ac:dyDescent="0.2">
      <c r="A31" s="107" t="s">
        <v>40</v>
      </c>
      <c r="B31" s="73">
        <f>B8</f>
        <v>430.40000000000003</v>
      </c>
      <c r="C31" s="126">
        <f>VLOOKUP($B$3,'Data for Bill Impacts'!$A$3:$Y$15,15,0)</f>
        <v>7.2069999999999999E-3</v>
      </c>
      <c r="D31" s="22">
        <f>B31*C31</f>
        <v>3.1018928000000003</v>
      </c>
      <c r="E31" s="73">
        <f t="shared" si="6"/>
        <v>430.40000000000003</v>
      </c>
      <c r="F31" s="78">
        <f>VLOOKUP($B$3,'Data for Bill Impacts'!$A$3:$Y$15,24,0)</f>
        <v>7.1999999999999998E-3</v>
      </c>
      <c r="G31" s="22">
        <f>E31*F31</f>
        <v>3.0988800000000003</v>
      </c>
      <c r="H31" s="22">
        <f t="shared" si="1"/>
        <v>-3.0128000000000377E-3</v>
      </c>
      <c r="I31" s="23">
        <f t="shared" si="2"/>
        <v>-9.71277924240334E-4</v>
      </c>
      <c r="J31" s="23">
        <f t="shared" si="10"/>
        <v>2.6584546661623729E-2</v>
      </c>
      <c r="K31" s="108">
        <f t="shared" si="11"/>
        <v>2.5747064167678E-2</v>
      </c>
    </row>
    <row r="32" spans="1:11" x14ac:dyDescent="0.2">
      <c r="A32" s="107" t="s">
        <v>41</v>
      </c>
      <c r="B32" s="73">
        <f>B8</f>
        <v>430.40000000000003</v>
      </c>
      <c r="C32" s="126">
        <f>VLOOKUP($B$3,'Data for Bill Impacts'!$A$3:$Y$15,16,0)</f>
        <v>6.0319999999999992E-3</v>
      </c>
      <c r="D32" s="22">
        <f>B32*C32</f>
        <v>2.5961727999999997</v>
      </c>
      <c r="E32" s="73">
        <f t="shared" si="6"/>
        <v>430.40000000000003</v>
      </c>
      <c r="F32" s="78">
        <f>VLOOKUP($B$3,'Data for Bill Impacts'!$A$3:$Y$15,25,0)</f>
        <v>5.8999999999999999E-3</v>
      </c>
      <c r="G32" s="22">
        <f>E32*F32</f>
        <v>2.5393600000000003</v>
      </c>
      <c r="H32" s="22">
        <f t="shared" si="1"/>
        <v>-5.6812799999999442E-2</v>
      </c>
      <c r="I32" s="23">
        <f t="shared" si="2"/>
        <v>-2.1883289124668224E-2</v>
      </c>
      <c r="J32" s="23">
        <f t="shared" si="10"/>
        <v>2.1784559069941666E-2</v>
      </c>
      <c r="K32" s="108">
        <f t="shared" si="11"/>
        <v>2.1098288692958361E-2</v>
      </c>
    </row>
    <row r="33" spans="1:11" s="1" customFormat="1" x14ac:dyDescent="0.2">
      <c r="A33" s="110" t="s">
        <v>76</v>
      </c>
      <c r="B33" s="74"/>
      <c r="C33" s="35"/>
      <c r="D33" s="35">
        <f>SUM(D31:D32)</f>
        <v>5.6980655999999996</v>
      </c>
      <c r="E33" s="73"/>
      <c r="F33" s="35"/>
      <c r="G33" s="35">
        <f>SUM(G31:G32)</f>
        <v>5.6382400000000006</v>
      </c>
      <c r="H33" s="35">
        <f t="shared" si="1"/>
        <v>-5.9825599999999035E-2</v>
      </c>
      <c r="I33" s="36">
        <f t="shared" si="2"/>
        <v>-1.0499282423143573E-2</v>
      </c>
      <c r="J33" s="36">
        <f t="shared" si="10"/>
        <v>4.8369105731565394E-2</v>
      </c>
      <c r="K33" s="111">
        <f t="shared" si="11"/>
        <v>4.6845352860636361E-2</v>
      </c>
    </row>
    <row r="34" spans="1:11" s="1" customFormat="1" x14ac:dyDescent="0.2">
      <c r="A34" s="110" t="s">
        <v>95</v>
      </c>
      <c r="B34" s="74"/>
      <c r="C34" s="35"/>
      <c r="D34" s="35">
        <f>D29+D33</f>
        <v>63.209265600000002</v>
      </c>
      <c r="E34" s="73"/>
      <c r="F34" s="35"/>
      <c r="G34" s="35">
        <f>G29+G33</f>
        <v>66.639439999999993</v>
      </c>
      <c r="H34" s="35">
        <f t="shared" si="1"/>
        <v>3.4301743999999914</v>
      </c>
      <c r="I34" s="36">
        <f t="shared" si="2"/>
        <v>5.4266955444582661E-2</v>
      </c>
      <c r="J34" s="36">
        <f t="shared" si="10"/>
        <v>0.57168373805519235</v>
      </c>
      <c r="K34" s="111">
        <f t="shared" si="11"/>
        <v>0.55367421061097155</v>
      </c>
    </row>
    <row r="35" spans="1:11" s="1" customFormat="1" x14ac:dyDescent="0.2">
      <c r="A35" s="110" t="s">
        <v>96</v>
      </c>
      <c r="B35" s="74"/>
      <c r="C35" s="35"/>
      <c r="D35" s="35">
        <f>D30+D33</f>
        <v>63.464321599999998</v>
      </c>
      <c r="E35" s="73"/>
      <c r="F35" s="35"/>
      <c r="G35" s="35">
        <f>G30+G33</f>
        <v>66.894496000000004</v>
      </c>
      <c r="H35" s="35">
        <f t="shared" si="1"/>
        <v>3.4301744000000056</v>
      </c>
      <c r="I35" s="36">
        <f t="shared" si="2"/>
        <v>5.4048862628983112E-2</v>
      </c>
      <c r="J35" s="36">
        <f t="shared" si="10"/>
        <v>0.57387180217297917</v>
      </c>
      <c r="K35" s="111">
        <f t="shared" si="11"/>
        <v>0.55579334500738298</v>
      </c>
    </row>
    <row r="36" spans="1:11" x14ac:dyDescent="0.2">
      <c r="A36" s="107" t="s">
        <v>42</v>
      </c>
      <c r="B36" s="73">
        <f>B8</f>
        <v>430.40000000000003</v>
      </c>
      <c r="C36" s="34">
        <v>3.5999999999999999E-3</v>
      </c>
      <c r="D36" s="22">
        <f>B36*C36</f>
        <v>1.5494400000000002</v>
      </c>
      <c r="E36" s="73">
        <f t="shared" si="6"/>
        <v>430.40000000000003</v>
      </c>
      <c r="F36" s="34">
        <v>3.5999999999999999E-3</v>
      </c>
      <c r="G36" s="22">
        <f>E36*F36</f>
        <v>1.5494400000000002</v>
      </c>
      <c r="H36" s="22">
        <f t="shared" si="1"/>
        <v>0</v>
      </c>
      <c r="I36" s="23">
        <f t="shared" si="2"/>
        <v>0</v>
      </c>
      <c r="J36" s="23">
        <f t="shared" si="10"/>
        <v>1.3292273330811864E-2</v>
      </c>
      <c r="K36" s="108">
        <f t="shared" si="11"/>
        <v>1.2873532083839E-2</v>
      </c>
    </row>
    <row r="37" spans="1:11" x14ac:dyDescent="0.2">
      <c r="A37" s="107" t="s">
        <v>43</v>
      </c>
      <c r="B37" s="73">
        <f>B8</f>
        <v>430.40000000000003</v>
      </c>
      <c r="C37" s="34">
        <v>2.0999999999999999E-3</v>
      </c>
      <c r="D37" s="22">
        <f>B37*C37</f>
        <v>0.90383999999999998</v>
      </c>
      <c r="E37" s="73">
        <f t="shared" si="6"/>
        <v>430.40000000000003</v>
      </c>
      <c r="F37" s="34">
        <v>2.0999999999999999E-3</v>
      </c>
      <c r="G37" s="22">
        <f>E37*F37</f>
        <v>0.90383999999999998</v>
      </c>
      <c r="H37" s="22">
        <f>G37-D37</f>
        <v>0</v>
      </c>
      <c r="I37" s="23">
        <f t="shared" si="2"/>
        <v>0</v>
      </c>
      <c r="J37" s="23">
        <f t="shared" si="10"/>
        <v>7.7538261096402527E-3</v>
      </c>
      <c r="K37" s="108">
        <f t="shared" si="11"/>
        <v>7.5095603822394157E-3</v>
      </c>
    </row>
    <row r="38" spans="1:11" x14ac:dyDescent="0.2">
      <c r="A38" s="107" t="s">
        <v>100</v>
      </c>
      <c r="B38" s="73">
        <f>B8</f>
        <v>430.40000000000003</v>
      </c>
      <c r="C38" s="34">
        <v>1.1000000000000001E-3</v>
      </c>
      <c r="D38" s="22">
        <f>B38*C38</f>
        <v>0.47344000000000008</v>
      </c>
      <c r="E38" s="73">
        <f t="shared" si="6"/>
        <v>430.40000000000003</v>
      </c>
      <c r="F38" s="34">
        <v>1.1000000000000001E-3</v>
      </c>
      <c r="G38" s="22">
        <f>E38*F38</f>
        <v>0.47344000000000008</v>
      </c>
      <c r="H38" s="22">
        <f>G38-D38</f>
        <v>0</v>
      </c>
      <c r="I38" s="23">
        <f t="shared" ref="I38" si="12">IF(ISERROR(H38/D38),0,(H38/D38))</f>
        <v>0</v>
      </c>
      <c r="J38" s="23">
        <f t="shared" ref="J38" si="13">G38/$G$46</f>
        <v>4.0615279621925146E-3</v>
      </c>
      <c r="K38" s="108">
        <f t="shared" ref="K38" si="14">G38/$G$51</f>
        <v>3.9335792478396945E-3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10"/>
        <v>2.1446899090658339E-3</v>
      </c>
      <c r="K39" s="108">
        <f t="shared" si="11"/>
        <v>2.0771265882898013E-3</v>
      </c>
    </row>
    <row r="40" spans="1:11" s="1" customFormat="1" x14ac:dyDescent="0.2">
      <c r="A40" s="110" t="s">
        <v>45</v>
      </c>
      <c r="B40" s="74"/>
      <c r="C40" s="35"/>
      <c r="D40" s="35">
        <f>SUM(D36:D39)</f>
        <v>3.1767200000000004</v>
      </c>
      <c r="E40" s="73"/>
      <c r="F40" s="35"/>
      <c r="G40" s="35">
        <f>SUM(G36:G39)</f>
        <v>3.1767200000000004</v>
      </c>
      <c r="H40" s="35">
        <f t="shared" si="1"/>
        <v>0</v>
      </c>
      <c r="I40" s="36">
        <f t="shared" si="2"/>
        <v>0</v>
      </c>
      <c r="J40" s="36">
        <f t="shared" si="10"/>
        <v>2.7252317311710468E-2</v>
      </c>
      <c r="K40" s="111">
        <f t="shared" si="11"/>
        <v>2.6393798302207911E-2</v>
      </c>
    </row>
    <row r="41" spans="1:11" s="1" customFormat="1" ht="13.5" thickBot="1" x14ac:dyDescent="0.25">
      <c r="A41" s="112" t="s">
        <v>46</v>
      </c>
      <c r="B41" s="113">
        <f>B4</f>
        <v>400</v>
      </c>
      <c r="C41" s="114">
        <v>0</v>
      </c>
      <c r="D41" s="115">
        <f>B41*C41</f>
        <v>0</v>
      </c>
      <c r="E41" s="116">
        <f t="shared" si="6"/>
        <v>400</v>
      </c>
      <c r="F41" s="114">
        <f>C41</f>
        <v>0</v>
      </c>
      <c r="G41" s="115">
        <f>E41*F41</f>
        <v>0</v>
      </c>
      <c r="H41" s="115">
        <f t="shared" si="1"/>
        <v>0</v>
      </c>
      <c r="I41" s="117">
        <f t="shared" si="2"/>
        <v>0</v>
      </c>
      <c r="J41" s="117">
        <f t="shared" si="10"/>
        <v>0</v>
      </c>
      <c r="K41" s="118">
        <f t="shared" si="11"/>
        <v>0</v>
      </c>
    </row>
    <row r="42" spans="1:11" s="1" customFormat="1" x14ac:dyDescent="0.2">
      <c r="A42" s="37" t="s">
        <v>137</v>
      </c>
      <c r="B42" s="38"/>
      <c r="C42" s="39"/>
      <c r="D42" s="39">
        <f>SUM(D14,D25,D26,D27,D33,D40,D41)</f>
        <v>107.5859856</v>
      </c>
      <c r="E42" s="38"/>
      <c r="F42" s="39"/>
      <c r="G42" s="39">
        <f>SUM(G14,G25,G26,G27,G33,G40,G41)</f>
        <v>111.01616000000001</v>
      </c>
      <c r="H42" s="39">
        <f t="shared" si="1"/>
        <v>3.4301744000000127</v>
      </c>
      <c r="I42" s="40">
        <f>IF(ISERROR(H42/D42),0,(H42/D42))</f>
        <v>3.1883096863129103E-2</v>
      </c>
      <c r="J42" s="40">
        <f t="shared" si="10"/>
        <v>0.95238095238095233</v>
      </c>
      <c r="K42" s="41"/>
    </row>
    <row r="43" spans="1:11" x14ac:dyDescent="0.2">
      <c r="A43" s="150" t="s">
        <v>138</v>
      </c>
      <c r="B43" s="43"/>
      <c r="C43" s="26">
        <v>0.13</v>
      </c>
      <c r="D43" s="26">
        <f>D42*C43</f>
        <v>13.986178128000001</v>
      </c>
      <c r="E43" s="26"/>
      <c r="F43" s="26">
        <f>C43</f>
        <v>0.13</v>
      </c>
      <c r="G43" s="26">
        <f>G42*F43</f>
        <v>14.432100800000002</v>
      </c>
      <c r="H43" s="26">
        <f t="shared" si="1"/>
        <v>0.4459226720000018</v>
      </c>
      <c r="I43" s="44">
        <f t="shared" si="2"/>
        <v>3.188309686312911E-2</v>
      </c>
      <c r="J43" s="44">
        <f t="shared" si="10"/>
        <v>0.12380952380952381</v>
      </c>
      <c r="K43" s="45"/>
    </row>
    <row r="44" spans="1:11" s="1" customFormat="1" x14ac:dyDescent="0.2">
      <c r="A44" s="46" t="s">
        <v>139</v>
      </c>
      <c r="B44" s="24"/>
      <c r="C44" s="25"/>
      <c r="D44" s="25">
        <f>SUM(D42:D43)</f>
        <v>121.57216372800001</v>
      </c>
      <c r="E44" s="25"/>
      <c r="F44" s="25"/>
      <c r="G44" s="25">
        <f>SUM(G42:G43)</f>
        <v>125.44826080000001</v>
      </c>
      <c r="H44" s="25">
        <f t="shared" si="1"/>
        <v>3.8760970720000074</v>
      </c>
      <c r="I44" s="27">
        <f t="shared" si="2"/>
        <v>3.188309686312904E-2</v>
      </c>
      <c r="J44" s="27">
        <f t="shared" si="10"/>
        <v>1.0761904761904761</v>
      </c>
      <c r="K44" s="47"/>
    </row>
    <row r="45" spans="1:11" x14ac:dyDescent="0.2">
      <c r="A45" s="42" t="s">
        <v>140</v>
      </c>
      <c r="B45" s="43"/>
      <c r="C45" s="26">
        <v>-0.08</v>
      </c>
      <c r="D45" s="26">
        <f>D42*C45</f>
        <v>-8.6068788480000009</v>
      </c>
      <c r="E45" s="26"/>
      <c r="F45" s="26">
        <f>C45</f>
        <v>-0.08</v>
      </c>
      <c r="G45" s="26">
        <f>G42*F45</f>
        <v>-8.8812928000000007</v>
      </c>
      <c r="H45" s="26">
        <f t="shared" si="1"/>
        <v>-0.27441395199999974</v>
      </c>
      <c r="I45" s="44">
        <f t="shared" si="2"/>
        <v>3.188309686312895E-2</v>
      </c>
      <c r="J45" s="44">
        <f t="shared" si="10"/>
        <v>-7.6190476190476183E-2</v>
      </c>
      <c r="K45" s="45"/>
    </row>
    <row r="46" spans="1:11" s="1" customFormat="1" ht="13.5" thickBot="1" x14ac:dyDescent="0.25">
      <c r="A46" s="48" t="s">
        <v>141</v>
      </c>
      <c r="B46" s="49"/>
      <c r="C46" s="50"/>
      <c r="D46" s="50">
        <f>SUM(D44:D45)</f>
        <v>112.96528488000001</v>
      </c>
      <c r="E46" s="50"/>
      <c r="F46" s="50"/>
      <c r="G46" s="50">
        <f>SUM(G44:G45)</f>
        <v>116.56696800000002</v>
      </c>
      <c r="H46" s="50">
        <f t="shared" si="1"/>
        <v>3.6016831200000041</v>
      </c>
      <c r="I46" s="51">
        <f t="shared" si="2"/>
        <v>3.1883096863129019E-2</v>
      </c>
      <c r="J46" s="51">
        <f t="shared" si="10"/>
        <v>1</v>
      </c>
      <c r="K46" s="52"/>
    </row>
    <row r="47" spans="1:11" x14ac:dyDescent="0.2">
      <c r="A47" s="53" t="s">
        <v>142</v>
      </c>
      <c r="B47" s="54"/>
      <c r="C47" s="55"/>
      <c r="D47" s="55">
        <f>SUM(D18,D25,D26,D28,D33,D40,D41)</f>
        <v>111.19704159999999</v>
      </c>
      <c r="E47" s="55"/>
      <c r="F47" s="55"/>
      <c r="G47" s="55">
        <f>SUM(G18,G25,G26,G28,G33,G40,G41)</f>
        <v>114.627216</v>
      </c>
      <c r="H47" s="55">
        <f>G47-D47</f>
        <v>3.4301744000000127</v>
      </c>
      <c r="I47" s="56">
        <f>IF(ISERROR(H47/D47),0,(H47/D47))</f>
        <v>3.0847712768646292E-2</v>
      </c>
      <c r="J47" s="56"/>
      <c r="K47" s="57">
        <f>G47/$G$51</f>
        <v>0.95238095238095244</v>
      </c>
    </row>
    <row r="48" spans="1:11" x14ac:dyDescent="0.2">
      <c r="A48" s="151" t="s">
        <v>138</v>
      </c>
      <c r="B48" s="59"/>
      <c r="C48" s="31">
        <v>0.13</v>
      </c>
      <c r="D48" s="31">
        <f>D47*C48</f>
        <v>14.455615408</v>
      </c>
      <c r="E48" s="31"/>
      <c r="F48" s="31">
        <f>C48</f>
        <v>0.13</v>
      </c>
      <c r="G48" s="31">
        <f>G47*F48</f>
        <v>14.901538080000002</v>
      </c>
      <c r="H48" s="31">
        <f>G48-D48</f>
        <v>0.4459226720000018</v>
      </c>
      <c r="I48" s="32">
        <f>IF(ISERROR(H48/D48),0,(H48/D48))</f>
        <v>3.0847712768646299E-2</v>
      </c>
      <c r="J48" s="32"/>
      <c r="K48" s="60">
        <f>G48/$G$51</f>
        <v>0.12380952380952383</v>
      </c>
    </row>
    <row r="49" spans="1:11" x14ac:dyDescent="0.2">
      <c r="A49" s="61" t="s">
        <v>143</v>
      </c>
      <c r="B49" s="29"/>
      <c r="C49" s="30"/>
      <c r="D49" s="30">
        <f>SUM(D47:D48)</f>
        <v>125.65265700799999</v>
      </c>
      <c r="E49" s="30"/>
      <c r="F49" s="30"/>
      <c r="G49" s="30">
        <f>SUM(G47:G48)</f>
        <v>129.52875408</v>
      </c>
      <c r="H49" s="30">
        <f>G49-D49</f>
        <v>3.8760970720000074</v>
      </c>
      <c r="I49" s="33">
        <f>IF(ISERROR(H49/D49),0,(H49/D49))</f>
        <v>3.0847712768646236E-2</v>
      </c>
      <c r="J49" s="33"/>
      <c r="K49" s="62">
        <f>G49/$G$51</f>
        <v>1.0761904761904761</v>
      </c>
    </row>
    <row r="50" spans="1:11" x14ac:dyDescent="0.2">
      <c r="A50" s="58" t="s">
        <v>140</v>
      </c>
      <c r="B50" s="59"/>
      <c r="C50" s="31">
        <v>-0.08</v>
      </c>
      <c r="D50" s="31">
        <f>D47*C50</f>
        <v>-8.8957633279999992</v>
      </c>
      <c r="E50" s="31"/>
      <c r="F50" s="31">
        <f>C50</f>
        <v>-0.08</v>
      </c>
      <c r="G50" s="31">
        <f>G47*F50</f>
        <v>-9.1701772800000008</v>
      </c>
      <c r="H50" s="31">
        <f>G50-D50</f>
        <v>-0.27441395200000152</v>
      </c>
      <c r="I50" s="32">
        <f>IF(ISERROR(H50/D50),0,(H50/D50))</f>
        <v>3.0847712768646347E-2</v>
      </c>
      <c r="J50" s="32"/>
      <c r="K50" s="60">
        <f>G50/$G$51</f>
        <v>-7.6190476190476197E-2</v>
      </c>
    </row>
    <row r="51" spans="1:11" ht="13.5" thickBot="1" x14ac:dyDescent="0.25">
      <c r="A51" s="63" t="s">
        <v>144</v>
      </c>
      <c r="B51" s="64"/>
      <c r="C51" s="65"/>
      <c r="D51" s="65">
        <f>SUM(D49:D50)</f>
        <v>116.75689367999999</v>
      </c>
      <c r="E51" s="65"/>
      <c r="F51" s="65"/>
      <c r="G51" s="65">
        <f>SUM(G49:G50)</f>
        <v>120.35857679999999</v>
      </c>
      <c r="H51" s="65">
        <f>G51-D51</f>
        <v>3.6016831200000041</v>
      </c>
      <c r="I51" s="66">
        <f>IF(ISERROR(H51/D51),0,(H51/D51))</f>
        <v>3.0847712768646215E-2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2">
    <pageSetUpPr fitToPage="1"/>
  </sheetPr>
  <dimension ref="A1:K50"/>
  <sheetViews>
    <sheetView topLeftCell="A10" workbookViewId="0">
      <selection activeCell="C19" sqref="C19"/>
    </sheetView>
  </sheetViews>
  <sheetFormatPr defaultRowHeight="12.75" x14ac:dyDescent="0.2"/>
  <cols>
    <col min="1" max="1" width="64.7109375" bestFit="1" customWidth="1"/>
    <col min="2" max="2" width="15.5703125" bestFit="1" customWidth="1"/>
    <col min="3" max="3" width="16.5703125" customWidth="1"/>
    <col min="4" max="4" width="15" customWidth="1"/>
    <col min="5" max="5" width="10.42578125" customWidth="1"/>
    <col min="6" max="6" width="10.140625" customWidth="1"/>
    <col min="7" max="7" width="12.28515625" customWidth="1"/>
    <col min="8" max="8" width="13.42578125" customWidth="1"/>
    <col min="9" max="9" width="14.42578125"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1" ht="16.5" thickBot="1" x14ac:dyDescent="0.3">
      <c r="A1" s="348" t="s">
        <v>112</v>
      </c>
      <c r="B1" s="349"/>
      <c r="C1" s="349"/>
      <c r="D1" s="349"/>
      <c r="E1" s="349"/>
      <c r="F1" s="349"/>
      <c r="G1" s="349"/>
      <c r="H1" s="349"/>
      <c r="I1" s="349"/>
      <c r="J1" s="350"/>
      <c r="K1" s="129"/>
    </row>
    <row r="3" spans="1:11" x14ac:dyDescent="0.2">
      <c r="A3" s="13" t="s">
        <v>13</v>
      </c>
      <c r="B3" s="13" t="s">
        <v>8</v>
      </c>
      <c r="C3" s="13" t="s">
        <v>128</v>
      </c>
    </row>
    <row r="4" spans="1:11" x14ac:dyDescent="0.2">
      <c r="A4" s="15" t="s">
        <v>62</v>
      </c>
      <c r="B4" s="79">
        <f>C4</f>
        <v>1367.6845611291665</v>
      </c>
      <c r="C4" s="79">
        <f>'Data for Bill Impacts_HONI Avg '!C47</f>
        <v>1367.6845611291665</v>
      </c>
    </row>
    <row r="5" spans="1:11" x14ac:dyDescent="0.2">
      <c r="A5" s="15" t="s">
        <v>16</v>
      </c>
      <c r="B5" s="15"/>
      <c r="C5" s="135">
        <f>'Data for Bill Impacts_HONI Avg '!B47</f>
        <v>4.1274030573589995</v>
      </c>
    </row>
    <row r="6" spans="1:11" x14ac:dyDescent="0.2">
      <c r="A6" s="15" t="s">
        <v>20</v>
      </c>
      <c r="B6" s="15">
        <f>VLOOKUP($B$3,'Data for Bill Impacts'!$A$3:$Y$39,2,0)</f>
        <v>1.0920000000000001</v>
      </c>
      <c r="C6" s="15">
        <f>'Data for Bill Impacts'!B39</f>
        <v>1.0564</v>
      </c>
    </row>
    <row r="7" spans="1:11" x14ac:dyDescent="0.2">
      <c r="A7" s="15" t="s">
        <v>15</v>
      </c>
      <c r="B7" s="15">
        <f>VLOOKUP($B$3,'Data for Bill Impacts'!$A$3:$Y$39,4,0)</f>
        <v>750</v>
      </c>
      <c r="C7" s="79">
        <f>VLOOKUP($C$3,'Data for Bill Impacts'!$A$3:$Y$39,4,0)</f>
        <v>750</v>
      </c>
    </row>
    <row r="8" spans="1:11" x14ac:dyDescent="0.2">
      <c r="A8" s="15" t="s">
        <v>82</v>
      </c>
      <c r="B8" s="164">
        <f>B4*B6</f>
        <v>1493.51154075305</v>
      </c>
      <c r="C8" s="164">
        <f>C4*C6</f>
        <v>1444.8219703768514</v>
      </c>
    </row>
    <row r="9" spans="1:11" x14ac:dyDescent="0.2">
      <c r="A9" s="15" t="s">
        <v>21</v>
      </c>
      <c r="B9" s="16" t="str">
        <f>VLOOKUP($B$3,'Data for Bill Impacts'!$A$3:$Y$39,6,0)</f>
        <v>kWh</v>
      </c>
      <c r="C9" s="16" t="str">
        <f>'Data for Bill Impacts'!F27</f>
        <v>kW</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23" t="s">
        <v>29</v>
      </c>
    </row>
    <row r="12" spans="1:11" x14ac:dyDescent="0.2">
      <c r="A12" s="101" t="s">
        <v>31</v>
      </c>
      <c r="B12" s="102">
        <f>IF(C4&gt;C7,C7,C4)</f>
        <v>750</v>
      </c>
      <c r="C12" s="103">
        <v>0.10299999999999999</v>
      </c>
      <c r="D12" s="104">
        <f>B12*C12</f>
        <v>77.25</v>
      </c>
      <c r="E12" s="102">
        <f>B12</f>
        <v>750</v>
      </c>
      <c r="F12" s="103">
        <f>C12</f>
        <v>0.10299999999999999</v>
      </c>
      <c r="G12" s="104">
        <f>E12*F12</f>
        <v>77.25</v>
      </c>
      <c r="H12" s="104">
        <f>G12-D12</f>
        <v>0</v>
      </c>
      <c r="I12" s="105">
        <f>IF(ISERROR(H12/D12),0,(H12/D12))</f>
        <v>0</v>
      </c>
      <c r="J12" s="124">
        <f t="shared" ref="J12:J39" si="0">G12/$G$39</f>
        <v>0.21037120780305785</v>
      </c>
    </row>
    <row r="13" spans="1:11" x14ac:dyDescent="0.2">
      <c r="A13" s="107" t="s">
        <v>32</v>
      </c>
      <c r="B13" s="73">
        <f>IF(B4&gt;B7,(B4)-B7,0)</f>
        <v>617.68456112916647</v>
      </c>
      <c r="C13" s="21">
        <v>0.121</v>
      </c>
      <c r="D13" s="22">
        <f>B13*C13</f>
        <v>74.739831896629141</v>
      </c>
      <c r="E13" s="73">
        <f t="shared" ref="E13:E34" si="1">B13</f>
        <v>617.68456112916647</v>
      </c>
      <c r="F13" s="21">
        <f>C13</f>
        <v>0.121</v>
      </c>
      <c r="G13" s="22">
        <f>E13*F13</f>
        <v>74.739831896629141</v>
      </c>
      <c r="H13" s="22">
        <f t="shared" ref="H13:H39" si="2">G13-D13</f>
        <v>0</v>
      </c>
      <c r="I13" s="23">
        <f t="shared" ref="I13:I39" si="3">IF(ISERROR(H13/D13),0,(H13/D13))</f>
        <v>0</v>
      </c>
      <c r="J13" s="125">
        <f t="shared" si="0"/>
        <v>0.20353538779406316</v>
      </c>
    </row>
    <row r="14" spans="1:11" s="1" customFormat="1" x14ac:dyDescent="0.2">
      <c r="A14" s="46" t="s">
        <v>33</v>
      </c>
      <c r="B14" s="24"/>
      <c r="C14" s="25"/>
      <c r="D14" s="25">
        <f>SUM(D12:D13)</f>
        <v>151.98983189662914</v>
      </c>
      <c r="E14" s="76"/>
      <c r="F14" s="25"/>
      <c r="G14" s="25">
        <f>SUM(G12:G13)</f>
        <v>151.98983189662914</v>
      </c>
      <c r="H14" s="25">
        <f t="shared" si="2"/>
        <v>0</v>
      </c>
      <c r="I14" s="27">
        <f t="shared" si="3"/>
        <v>0</v>
      </c>
      <c r="J14" s="47">
        <f t="shared" si="0"/>
        <v>0.41390659559712101</v>
      </c>
    </row>
    <row r="15" spans="1:11" x14ac:dyDescent="0.2">
      <c r="A15" s="107" t="s">
        <v>38</v>
      </c>
      <c r="B15" s="73">
        <f>'Data for Bill Impacts_HONI Avg '!B85</f>
        <v>21</v>
      </c>
      <c r="C15" s="122">
        <f>VLOOKUP($C$3,'Data for Bill Impacts'!$A$3:$Y$39,7,0)</f>
        <v>1.97</v>
      </c>
      <c r="D15" s="22">
        <f>B15*C15</f>
        <v>41.37</v>
      </c>
      <c r="E15" s="73">
        <v>1</v>
      </c>
      <c r="F15" s="78">
        <f>VLOOKUP($B$3,'Data for Bill Impacts'!$A$3:$Y$39,17,0)</f>
        <v>4.7699999999999996</v>
      </c>
      <c r="G15" s="22">
        <f>E15*F15</f>
        <v>4.7699999999999996</v>
      </c>
      <c r="H15" s="22">
        <f t="shared" si="2"/>
        <v>-36.599999999999994</v>
      </c>
      <c r="I15" s="23">
        <f t="shared" si="3"/>
        <v>-0.88469905728788967</v>
      </c>
      <c r="J15" s="125">
        <f t="shared" si="0"/>
        <v>1.2989911472111143E-2</v>
      </c>
    </row>
    <row r="16" spans="1:11" x14ac:dyDescent="0.2">
      <c r="A16" s="107" t="s">
        <v>188</v>
      </c>
      <c r="B16" s="73">
        <f>B15</f>
        <v>21</v>
      </c>
      <c r="C16" s="122">
        <f>'Data for Bill Impacts'!K39</f>
        <v>-0.03</v>
      </c>
      <c r="D16" s="22">
        <f>B16*C16</f>
        <v>-0.63</v>
      </c>
      <c r="E16" s="73">
        <f>E15</f>
        <v>1</v>
      </c>
      <c r="F16" s="122">
        <v>0</v>
      </c>
      <c r="G16" s="22">
        <f t="shared" ref="G16:G20" si="4">E16*F16</f>
        <v>0</v>
      </c>
      <c r="H16" s="22">
        <f t="shared" si="2"/>
        <v>0.63</v>
      </c>
      <c r="I16" s="23">
        <f t="shared" si="3"/>
        <v>-1</v>
      </c>
      <c r="J16" s="125">
        <f t="shared" si="0"/>
        <v>0</v>
      </c>
    </row>
    <row r="17" spans="1:10" x14ac:dyDescent="0.2">
      <c r="A17" s="107" t="s">
        <v>85</v>
      </c>
      <c r="B17" s="73">
        <f>B15</f>
        <v>21</v>
      </c>
      <c r="C17" s="122">
        <f>VLOOKUP($C$3,'Data for Bill Impacts'!$A$3:$Y$39,13,0)</f>
        <v>0</v>
      </c>
      <c r="D17" s="22">
        <f t="shared" ref="D17" si="5">B17*C17</f>
        <v>0</v>
      </c>
      <c r="E17" s="73">
        <f>E15</f>
        <v>1</v>
      </c>
      <c r="F17" s="122">
        <f>VLOOKUP($B$3,'Data for Bill Impacts'!$A$3:$Y$39,22,0)</f>
        <v>0</v>
      </c>
      <c r="G17" s="22">
        <f t="shared" si="4"/>
        <v>0</v>
      </c>
      <c r="H17" s="22">
        <f t="shared" si="2"/>
        <v>0</v>
      </c>
      <c r="I17" s="23">
        <f t="shared" si="3"/>
        <v>0</v>
      </c>
      <c r="J17" s="125">
        <f t="shared" si="0"/>
        <v>0</v>
      </c>
    </row>
    <row r="18" spans="1:10" x14ac:dyDescent="0.2">
      <c r="A18" s="107" t="s">
        <v>39</v>
      </c>
      <c r="B18" s="73">
        <f>C5</f>
        <v>4.1274030573589995</v>
      </c>
      <c r="C18" s="78">
        <f>VLOOKUP($C$3,'Data for Bill Impacts'!$A$3:$Y$39,10,0)</f>
        <v>7.4268999999999998</v>
      </c>
      <c r="D18" s="22">
        <f>B18*C18</f>
        <v>30.653809766699553</v>
      </c>
      <c r="E18" s="73">
        <f>IF($B$9="kWh",$B$4,$B$5)</f>
        <v>1367.6845611291665</v>
      </c>
      <c r="F18" s="78">
        <f>VLOOKUP($B$3,'Data for Bill Impacts'!$A$3:$Y$39,19,0)</f>
        <v>0.107</v>
      </c>
      <c r="G18" s="22">
        <f t="shared" si="4"/>
        <v>146.34224804082081</v>
      </c>
      <c r="H18" s="22">
        <f t="shared" si="2"/>
        <v>115.68843827412125</v>
      </c>
      <c r="I18" s="23">
        <f t="shared" si="3"/>
        <v>3.7740313244782442</v>
      </c>
      <c r="J18" s="125">
        <f t="shared" si="0"/>
        <v>0.39852680223899223</v>
      </c>
    </row>
    <row r="19" spans="1:10" x14ac:dyDescent="0.2">
      <c r="A19" s="107" t="s">
        <v>189</v>
      </c>
      <c r="B19" s="73">
        <f>C5</f>
        <v>4.1274030573589995</v>
      </c>
      <c r="C19" s="78">
        <f>'Data for Bill Impacts'!H39</f>
        <v>0.23580000000000001</v>
      </c>
      <c r="D19" s="22">
        <f>B19*C19</f>
        <v>0.97324164092525212</v>
      </c>
      <c r="E19" s="73">
        <f>IF($B$9="kWh",$B$4,$B$5)</f>
        <v>1367.6845611291665</v>
      </c>
      <c r="F19" s="126">
        <v>0</v>
      </c>
      <c r="G19" s="22">
        <f t="shared" si="4"/>
        <v>0</v>
      </c>
      <c r="H19" s="22">
        <f t="shared" si="2"/>
        <v>-0.97324164092525212</v>
      </c>
      <c r="I19" s="23">
        <f>IF(ISERROR(H19/D19),0,(H19/D19))</f>
        <v>-1</v>
      </c>
      <c r="J19" s="125">
        <f t="shared" si="0"/>
        <v>0</v>
      </c>
    </row>
    <row r="20" spans="1:10" x14ac:dyDescent="0.2">
      <c r="A20" s="107" t="s">
        <v>190</v>
      </c>
      <c r="B20" s="73">
        <f>C5</f>
        <v>4.1274030573589995</v>
      </c>
      <c r="C20" s="78">
        <f>'Data for Bill Impacts'!L39</f>
        <v>-0.1094</v>
      </c>
      <c r="D20" s="22">
        <f>B20*C20</f>
        <v>-0.45153789447507453</v>
      </c>
      <c r="E20" s="73">
        <f>IF($B$9="kWh",$B$4,$B$5)</f>
        <v>1367.6845611291665</v>
      </c>
      <c r="F20" s="126">
        <v>0</v>
      </c>
      <c r="G20" s="22">
        <f t="shared" si="4"/>
        <v>0</v>
      </c>
      <c r="H20" s="22">
        <f t="shared" ref="H20" si="6">G20-D20</f>
        <v>0.45153789447507453</v>
      </c>
      <c r="I20" s="23">
        <f>IF(ISERROR(H20/D20),0,(H20/D20))</f>
        <v>-1</v>
      </c>
      <c r="J20" s="125">
        <f t="shared" si="0"/>
        <v>0</v>
      </c>
    </row>
    <row r="21" spans="1:10" s="1" customFormat="1" x14ac:dyDescent="0.2">
      <c r="A21" s="107" t="s">
        <v>194</v>
      </c>
      <c r="B21" s="73">
        <f>C5</f>
        <v>4.1274030573589995</v>
      </c>
      <c r="C21" s="126">
        <f>VLOOKUP($C$3,'Data for Bill Impacts'!$A$3:$Y$39,14,0)</f>
        <v>0</v>
      </c>
      <c r="D21" s="22">
        <f>B21*C21</f>
        <v>0</v>
      </c>
      <c r="E21" s="73">
        <f>IF($B$9="kWh",$B$4,$B$5)</f>
        <v>1367.6845611291665</v>
      </c>
      <c r="F21" s="126">
        <f>VLOOKUP($B$3,'Data for Bill Impacts'!$A$3:$Y$39,23,0)</f>
        <v>2.0000000000000001E-4</v>
      </c>
      <c r="G21" s="22">
        <f>E21*F21</f>
        <v>0.27353691222583332</v>
      </c>
      <c r="H21" s="22">
        <f t="shared" si="2"/>
        <v>0.27353691222583332</v>
      </c>
      <c r="I21" s="23">
        <f>IF(ISERROR(H21/D21),0,(H21/D21))</f>
        <v>0</v>
      </c>
      <c r="J21" s="125">
        <f t="shared" si="0"/>
        <v>7.4490991072708834E-4</v>
      </c>
    </row>
    <row r="22" spans="1:10" x14ac:dyDescent="0.2">
      <c r="A22" s="110" t="s">
        <v>72</v>
      </c>
      <c r="B22" s="74"/>
      <c r="C22" s="35"/>
      <c r="D22" s="35">
        <f>SUM(D15:D21)</f>
        <v>71.915513513149719</v>
      </c>
      <c r="E22" s="73"/>
      <c r="F22" s="35"/>
      <c r="G22" s="35">
        <f>SUM(G15:G21)</f>
        <v>151.38578495304665</v>
      </c>
      <c r="H22" s="35">
        <f t="shared" si="2"/>
        <v>79.470271439896933</v>
      </c>
      <c r="I22" s="36">
        <f t="shared" si="3"/>
        <v>1.1050504621004456</v>
      </c>
      <c r="J22" s="111">
        <f t="shared" si="0"/>
        <v>0.4122616236218305</v>
      </c>
    </row>
    <row r="23" spans="1:10" s="1" customFormat="1" x14ac:dyDescent="0.2">
      <c r="A23" s="119" t="s">
        <v>81</v>
      </c>
      <c r="B23" s="120">
        <f>C8-C4</f>
        <v>77.1374092476849</v>
      </c>
      <c r="C23" s="225">
        <f>IF(B4&gt;B7,C13,C12)</f>
        <v>0.121</v>
      </c>
      <c r="D23" s="22">
        <f>B23*C23</f>
        <v>9.3336265189698722</v>
      </c>
      <c r="E23" s="73">
        <f>B8-B4</f>
        <v>125.82697962388352</v>
      </c>
      <c r="F23" s="225">
        <f>C23</f>
        <v>0.121</v>
      </c>
      <c r="G23" s="22">
        <f>E23*F23</f>
        <v>15.225064534489904</v>
      </c>
      <c r="H23" s="22">
        <f t="shared" si="2"/>
        <v>5.8914380155200323</v>
      </c>
      <c r="I23" s="23">
        <f>IF(ISERROR(H23/D23),0,(H23/D23))</f>
        <v>0.63120567375886971</v>
      </c>
      <c r="J23" s="125">
        <f t="shared" si="0"/>
        <v>4.1461685631069799E-2</v>
      </c>
    </row>
    <row r="24" spans="1:10" x14ac:dyDescent="0.2">
      <c r="A24" s="110" t="s">
        <v>79</v>
      </c>
      <c r="B24" s="74"/>
      <c r="C24" s="35"/>
      <c r="D24" s="35">
        <f>SUM(D22,D23:D23)</f>
        <v>81.249140032119584</v>
      </c>
      <c r="E24" s="73"/>
      <c r="F24" s="35"/>
      <c r="G24" s="35">
        <f>SUM(G22,G23:G23)</f>
        <v>166.61084948753657</v>
      </c>
      <c r="H24" s="35">
        <f t="shared" si="2"/>
        <v>85.361709455416985</v>
      </c>
      <c r="I24" s="36">
        <f>IF(ISERROR(H24/D24),0,(H24/D24))</f>
        <v>1.0506167747950514</v>
      </c>
      <c r="J24" s="111">
        <f t="shared" si="0"/>
        <v>0.45372330925290033</v>
      </c>
    </row>
    <row r="25" spans="1:10" x14ac:dyDescent="0.2">
      <c r="A25" s="107" t="s">
        <v>40</v>
      </c>
      <c r="B25" s="73">
        <f>IF($C$9="kWh",$C$8,$C$5)</f>
        <v>4.1274030573589995</v>
      </c>
      <c r="C25" s="126">
        <f>VLOOKUP($C$3,'Data for Bill Impacts'!$A$3:$Y$39,15,0)</f>
        <v>1.9197</v>
      </c>
      <c r="D25" s="22">
        <f>B25*C25</f>
        <v>7.9233756492120708</v>
      </c>
      <c r="E25" s="73">
        <f>B8</f>
        <v>1493.51154075305</v>
      </c>
      <c r="F25" s="126">
        <f>VLOOKUP($B$3,'Data for Bill Impacts'!$A$3:$Y$39,24,0)</f>
        <v>3.836E-3</v>
      </c>
      <c r="G25" s="22">
        <f>E25*F25</f>
        <v>5.7291102703286994</v>
      </c>
      <c r="H25" s="22">
        <f t="shared" si="2"/>
        <v>-2.1942653788833715</v>
      </c>
      <c r="I25" s="23">
        <f t="shared" si="3"/>
        <v>-0.27693567439296873</v>
      </c>
      <c r="J25" s="125">
        <f t="shared" si="0"/>
        <v>1.5601810319818145E-2</v>
      </c>
    </row>
    <row r="26" spans="1:10" s="1" customFormat="1" x14ac:dyDescent="0.2">
      <c r="A26" s="107" t="s">
        <v>41</v>
      </c>
      <c r="B26" s="73">
        <f>IF($C$9="kWh",$C$8,$C$5)</f>
        <v>4.1274030573589995</v>
      </c>
      <c r="C26" s="126">
        <f>VLOOKUP($C$3,'Data for Bill Impacts'!$A$3:$Y$39,16,0)</f>
        <v>0.95750000000000002</v>
      </c>
      <c r="D26" s="22">
        <f>B26*C26</f>
        <v>3.951988427421242</v>
      </c>
      <c r="E26" s="73">
        <f>B8</f>
        <v>1493.51154075305</v>
      </c>
      <c r="F26" s="126">
        <f>VLOOKUP($B$3,'Data for Bill Impacts'!$A$3:$Y$39,25,0)</f>
        <v>3.6240000000000001E-3</v>
      </c>
      <c r="G26" s="22">
        <f>E26*F26</f>
        <v>5.4124858236890532</v>
      </c>
      <c r="H26" s="22">
        <f t="shared" si="2"/>
        <v>1.4604973962678112</v>
      </c>
      <c r="I26" s="23">
        <f t="shared" si="3"/>
        <v>0.36956013993715497</v>
      </c>
      <c r="J26" s="125">
        <f t="shared" si="0"/>
        <v>1.4739562199953328E-2</v>
      </c>
    </row>
    <row r="27" spans="1:10" s="1" customFormat="1" x14ac:dyDescent="0.2">
      <c r="A27" s="110" t="s">
        <v>76</v>
      </c>
      <c r="B27" s="74"/>
      <c r="C27" s="35"/>
      <c r="D27" s="35">
        <f>SUM(D25:D26)</f>
        <v>11.875364076633312</v>
      </c>
      <c r="E27" s="73"/>
      <c r="F27" s="35"/>
      <c r="G27" s="35">
        <f>SUM(G25:G26)</f>
        <v>11.141596094017753</v>
      </c>
      <c r="H27" s="35">
        <f t="shared" si="2"/>
        <v>-0.73376798261555898</v>
      </c>
      <c r="I27" s="36">
        <f t="shared" si="3"/>
        <v>-6.1789093612663666E-2</v>
      </c>
      <c r="J27" s="111">
        <f t="shared" si="0"/>
        <v>3.0341372519771474E-2</v>
      </c>
    </row>
    <row r="28" spans="1:10" s="1" customFormat="1" x14ac:dyDescent="0.2">
      <c r="A28" s="110" t="s">
        <v>80</v>
      </c>
      <c r="B28" s="74"/>
      <c r="C28" s="35"/>
      <c r="D28" s="35">
        <f>D24+D27</f>
        <v>93.124504108752902</v>
      </c>
      <c r="E28" s="73"/>
      <c r="F28" s="35"/>
      <c r="G28" s="35">
        <f>G24+G27</f>
        <v>177.75244558155433</v>
      </c>
      <c r="H28" s="35">
        <f t="shared" si="2"/>
        <v>84.627941472801425</v>
      </c>
      <c r="I28" s="36">
        <f t="shared" si="3"/>
        <v>0.90876125765964888</v>
      </c>
      <c r="J28" s="111">
        <f t="shared" si="0"/>
        <v>0.48406468177267181</v>
      </c>
    </row>
    <row r="29" spans="1:10" x14ac:dyDescent="0.2">
      <c r="A29" s="107" t="s">
        <v>42</v>
      </c>
      <c r="B29" s="73">
        <f>C8</f>
        <v>1444.8219703768514</v>
      </c>
      <c r="C29" s="34">
        <v>3.5999999999999999E-3</v>
      </c>
      <c r="D29" s="22">
        <f>B29*C29</f>
        <v>5.2013590933566647</v>
      </c>
      <c r="E29" s="73">
        <f>B8</f>
        <v>1493.51154075305</v>
      </c>
      <c r="F29" s="34">
        <v>3.5999999999999999E-3</v>
      </c>
      <c r="G29" s="22">
        <f>E29*F29</f>
        <v>5.3766415467109798</v>
      </c>
      <c r="H29" s="22">
        <f t="shared" si="2"/>
        <v>0.17528245335431514</v>
      </c>
      <c r="I29" s="23">
        <f t="shared" si="3"/>
        <v>3.369935630443037E-2</v>
      </c>
      <c r="J29" s="125">
        <f t="shared" si="0"/>
        <v>1.4641949205251649E-2</v>
      </c>
    </row>
    <row r="30" spans="1:10" s="1" customFormat="1" x14ac:dyDescent="0.2">
      <c r="A30" s="107" t="s">
        <v>43</v>
      </c>
      <c r="B30" s="73">
        <f>C8</f>
        <v>1444.8219703768514</v>
      </c>
      <c r="C30" s="34">
        <v>2.0999999999999999E-3</v>
      </c>
      <c r="D30" s="22">
        <f>B30*C30</f>
        <v>3.0341261377913877</v>
      </c>
      <c r="E30" s="73">
        <f>B8</f>
        <v>1493.51154075305</v>
      </c>
      <c r="F30" s="34">
        <v>2.0999999999999999E-3</v>
      </c>
      <c r="G30" s="22">
        <f>E30*F30</f>
        <v>3.1363742355814046</v>
      </c>
      <c r="H30" s="22">
        <f>G30-D30</f>
        <v>0.10224809779001687</v>
      </c>
      <c r="I30" s="23">
        <f t="shared" si="3"/>
        <v>3.3699356304430272E-2</v>
      </c>
      <c r="J30" s="125">
        <f t="shared" si="0"/>
        <v>8.5411370363967943E-3</v>
      </c>
    </row>
    <row r="31" spans="1:10" s="1" customFormat="1" x14ac:dyDescent="0.2">
      <c r="A31" s="107" t="s">
        <v>100</v>
      </c>
      <c r="B31" s="73">
        <f>C8</f>
        <v>1444.8219703768514</v>
      </c>
      <c r="C31" s="34">
        <v>1.1000000000000001E-3</v>
      </c>
      <c r="D31" s="22">
        <f>B31*C31</f>
        <v>1.5893041674145365</v>
      </c>
      <c r="E31" s="73">
        <f>B8</f>
        <v>1493.51154075305</v>
      </c>
      <c r="F31" s="34">
        <v>1.1000000000000001E-3</v>
      </c>
      <c r="G31" s="22">
        <f>E31*F31</f>
        <v>1.6428626948283551</v>
      </c>
      <c r="H31" s="22">
        <f>G31-D31</f>
        <v>5.3558527413818613E-2</v>
      </c>
      <c r="I31" s="23">
        <f t="shared" si="3"/>
        <v>3.3699356304430425E-2</v>
      </c>
      <c r="J31" s="125">
        <f t="shared" si="0"/>
        <v>4.4739289238268929E-3</v>
      </c>
    </row>
    <row r="32" spans="1:10" x14ac:dyDescent="0.2">
      <c r="A32" s="107" t="s">
        <v>44</v>
      </c>
      <c r="B32" s="73">
        <v>1</v>
      </c>
      <c r="C32" s="22">
        <v>0.25</v>
      </c>
      <c r="D32" s="22">
        <f>B32*C32</f>
        <v>0.25</v>
      </c>
      <c r="E32" s="73">
        <f t="shared" si="1"/>
        <v>1</v>
      </c>
      <c r="F32" s="22">
        <f>C32</f>
        <v>0.25</v>
      </c>
      <c r="G32" s="22">
        <f>E32*F32</f>
        <v>0.25</v>
      </c>
      <c r="H32" s="22">
        <f t="shared" si="2"/>
        <v>0</v>
      </c>
      <c r="I32" s="23">
        <f t="shared" si="3"/>
        <v>0</v>
      </c>
      <c r="J32" s="125">
        <f t="shared" si="0"/>
        <v>6.8081297023643312E-4</v>
      </c>
    </row>
    <row r="33" spans="1:10" s="1" customFormat="1" x14ac:dyDescent="0.2">
      <c r="A33" s="110" t="s">
        <v>45</v>
      </c>
      <c r="B33" s="74"/>
      <c r="C33" s="35"/>
      <c r="D33" s="35">
        <f>SUM(D29:D32)</f>
        <v>10.074789398562588</v>
      </c>
      <c r="E33" s="73"/>
      <c r="F33" s="35"/>
      <c r="G33" s="35">
        <f>SUM(G29:G32)</f>
        <v>10.405878477120741</v>
      </c>
      <c r="H33" s="35">
        <f t="shared" si="2"/>
        <v>0.33108907855815239</v>
      </c>
      <c r="I33" s="36">
        <f t="shared" si="3"/>
        <v>3.2863126509164571E-2</v>
      </c>
      <c r="J33" s="111">
        <f t="shared" si="0"/>
        <v>2.8337828135711771E-2</v>
      </c>
    </row>
    <row r="34" spans="1:10" ht="13.5" thickBot="1" x14ac:dyDescent="0.25">
      <c r="A34" s="112" t="s">
        <v>46</v>
      </c>
      <c r="B34" s="113">
        <f>B4</f>
        <v>1367.6845611291665</v>
      </c>
      <c r="C34" s="114">
        <v>7.0000000000000001E-3</v>
      </c>
      <c r="D34" s="115">
        <f>B34*C34</f>
        <v>9.5737919279041659</v>
      </c>
      <c r="E34" s="116">
        <f t="shared" si="1"/>
        <v>1367.6845611291665</v>
      </c>
      <c r="F34" s="114">
        <f>C34</f>
        <v>7.0000000000000001E-3</v>
      </c>
      <c r="G34" s="115">
        <f>E34*F34</f>
        <v>9.5737919279041659</v>
      </c>
      <c r="H34" s="115">
        <f t="shared" si="2"/>
        <v>0</v>
      </c>
      <c r="I34" s="117">
        <f t="shared" si="3"/>
        <v>0</v>
      </c>
      <c r="J34" s="118">
        <f t="shared" si="0"/>
        <v>2.6071846875448092E-2</v>
      </c>
    </row>
    <row r="35" spans="1:10" x14ac:dyDescent="0.2">
      <c r="A35" s="37" t="s">
        <v>146</v>
      </c>
      <c r="B35" s="38"/>
      <c r="C35" s="39"/>
      <c r="D35" s="39">
        <f>SUM(D14,D24,D27,D33,D34)</f>
        <v>264.76291733184877</v>
      </c>
      <c r="E35" s="38"/>
      <c r="F35" s="39"/>
      <c r="G35" s="39">
        <f>SUM(G14,G24,G27,G33,G34)</f>
        <v>349.72194788320832</v>
      </c>
      <c r="H35" s="39">
        <f t="shared" si="2"/>
        <v>84.959030551359547</v>
      </c>
      <c r="I35" s="40">
        <f>IF(ISERROR(H35/D35),0,(H35/D35))</f>
        <v>0.3208871975257529</v>
      </c>
      <c r="J35" s="41">
        <f t="shared" si="0"/>
        <v>0.95238095238095255</v>
      </c>
    </row>
    <row r="36" spans="1:10" x14ac:dyDescent="0.2">
      <c r="A36" s="46" t="s">
        <v>138</v>
      </c>
      <c r="B36" s="43"/>
      <c r="C36" s="26">
        <v>0.13</v>
      </c>
      <c r="D36" s="26">
        <f>D35*C36</f>
        <v>34.419179253140342</v>
      </c>
      <c r="E36" s="26"/>
      <c r="F36" s="26">
        <f>C36</f>
        <v>0.13</v>
      </c>
      <c r="G36" s="26">
        <f>G35*F36</f>
        <v>45.463853224817079</v>
      </c>
      <c r="H36" s="26">
        <f t="shared" si="2"/>
        <v>11.044673971676737</v>
      </c>
      <c r="I36" s="44">
        <f t="shared" si="3"/>
        <v>0.32088719752575279</v>
      </c>
      <c r="J36" s="45">
        <f t="shared" si="0"/>
        <v>0.12380952380952381</v>
      </c>
    </row>
    <row r="37" spans="1:10" x14ac:dyDescent="0.2">
      <c r="A37" s="46" t="s">
        <v>139</v>
      </c>
      <c r="B37" s="24"/>
      <c r="C37" s="25"/>
      <c r="D37" s="25">
        <f>SUM(D35:D36)</f>
        <v>299.1820965849891</v>
      </c>
      <c r="E37" s="25"/>
      <c r="F37" s="25"/>
      <c r="G37" s="25">
        <f>SUM(G35:G36)</f>
        <v>395.18580110802537</v>
      </c>
      <c r="H37" s="25">
        <f t="shared" si="2"/>
        <v>96.003704523036276</v>
      </c>
      <c r="I37" s="27">
        <f t="shared" si="3"/>
        <v>0.3208871975257529</v>
      </c>
      <c r="J37" s="47">
        <f t="shared" si="0"/>
        <v>1.0761904761904764</v>
      </c>
    </row>
    <row r="38" spans="1:10" x14ac:dyDescent="0.2">
      <c r="A38" s="46" t="s">
        <v>140</v>
      </c>
      <c r="B38" s="43"/>
      <c r="C38" s="26">
        <v>-0.08</v>
      </c>
      <c r="D38" s="26">
        <f>D35*C38</f>
        <v>-21.181033386547902</v>
      </c>
      <c r="E38" s="26"/>
      <c r="F38" s="26">
        <f>C38</f>
        <v>-0.08</v>
      </c>
      <c r="G38" s="26">
        <f>G35*F38</f>
        <v>-27.977755830656665</v>
      </c>
      <c r="H38" s="26">
        <f t="shared" si="2"/>
        <v>-6.796722444108763</v>
      </c>
      <c r="I38" s="44">
        <f t="shared" si="3"/>
        <v>0.3208871975257529</v>
      </c>
      <c r="J38" s="45">
        <f t="shared" si="0"/>
        <v>-7.6190476190476197E-2</v>
      </c>
    </row>
    <row r="39" spans="1:10" ht="13.5" thickBot="1" x14ac:dyDescent="0.25">
      <c r="A39" s="46" t="s">
        <v>141</v>
      </c>
      <c r="B39" s="49"/>
      <c r="C39" s="50"/>
      <c r="D39" s="50">
        <f>SUM(D37:D38)</f>
        <v>278.00106319844122</v>
      </c>
      <c r="E39" s="50"/>
      <c r="F39" s="50"/>
      <c r="G39" s="50">
        <f>SUM(G37:G38)</f>
        <v>367.20804527736868</v>
      </c>
      <c r="H39" s="50">
        <f t="shared" si="2"/>
        <v>89.206982078927467</v>
      </c>
      <c r="I39" s="51">
        <f t="shared" si="3"/>
        <v>0.32088719752575268</v>
      </c>
      <c r="J39" s="52">
        <f t="shared" si="0"/>
        <v>1</v>
      </c>
    </row>
    <row r="40" spans="1:10" x14ac:dyDescent="0.2">
      <c r="D40" s="72"/>
      <c r="F40" s="69"/>
    </row>
    <row r="41" spans="1:10" x14ac:dyDescent="0.2">
      <c r="F41" s="69"/>
    </row>
    <row r="42" spans="1:10" x14ac:dyDescent="0.2">
      <c r="A42" s="70"/>
      <c r="B42" s="71"/>
      <c r="F42" s="69"/>
    </row>
    <row r="43" spans="1:10" x14ac:dyDescent="0.2">
      <c r="B43" s="72"/>
      <c r="D43" s="72"/>
      <c r="F43" s="69"/>
    </row>
    <row r="44" spans="1:10" x14ac:dyDescent="0.2">
      <c r="F44" s="69"/>
    </row>
    <row r="45" spans="1:10" x14ac:dyDescent="0.2">
      <c r="F45" s="69"/>
    </row>
    <row r="46" spans="1:10" x14ac:dyDescent="0.2">
      <c r="F46" s="69"/>
    </row>
    <row r="47" spans="1:10" x14ac:dyDescent="0.2">
      <c r="F47" s="69"/>
    </row>
    <row r="48" spans="1:10" x14ac:dyDescent="0.2">
      <c r="F48" s="69"/>
    </row>
    <row r="49" spans="6:6" x14ac:dyDescent="0.2">
      <c r="F49" s="69"/>
    </row>
    <row r="50" spans="6:6" x14ac:dyDescent="0.2">
      <c r="F50" s="69"/>
    </row>
  </sheetData>
  <mergeCells count="1">
    <mergeCell ref="A1:J1"/>
  </mergeCell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5">
    <pageSetUpPr fitToPage="1"/>
  </sheetPr>
  <dimension ref="A1:K50"/>
  <sheetViews>
    <sheetView topLeftCell="A13" workbookViewId="0">
      <selection activeCell="C19" sqref="C19"/>
    </sheetView>
  </sheetViews>
  <sheetFormatPr defaultRowHeight="12.75" x14ac:dyDescent="0.2"/>
  <cols>
    <col min="1" max="1" width="64.7109375" bestFit="1" customWidth="1"/>
    <col min="2" max="2" width="15.5703125" bestFit="1" customWidth="1"/>
    <col min="3" max="3" width="16.5703125" customWidth="1"/>
    <col min="4" max="4" width="15" customWidth="1"/>
    <col min="5" max="5" width="10.42578125" customWidth="1"/>
    <col min="6" max="6" width="10.140625" customWidth="1"/>
    <col min="7" max="7" width="12.28515625" customWidth="1"/>
    <col min="8" max="8" width="13.42578125"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1" ht="16.5" thickBot="1" x14ac:dyDescent="0.3">
      <c r="A1" s="348" t="s">
        <v>112</v>
      </c>
      <c r="B1" s="349"/>
      <c r="C1" s="349"/>
      <c r="D1" s="349"/>
      <c r="E1" s="349"/>
      <c r="F1" s="349"/>
      <c r="G1" s="349"/>
      <c r="H1" s="349"/>
      <c r="I1" s="349"/>
      <c r="J1" s="350"/>
      <c r="K1" s="129"/>
    </row>
    <row r="3" spans="1:11" x14ac:dyDescent="0.2">
      <c r="A3" s="13" t="s">
        <v>13</v>
      </c>
      <c r="B3" s="13" t="s">
        <v>8</v>
      </c>
      <c r="C3" s="13" t="s">
        <v>122</v>
      </c>
    </row>
    <row r="4" spans="1:11" x14ac:dyDescent="0.2">
      <c r="A4" s="15" t="s">
        <v>62</v>
      </c>
      <c r="B4" s="79">
        <f>C4</f>
        <v>105611.58783602084</v>
      </c>
      <c r="C4" s="79">
        <f>'Data for Bill Impacts_HONI Avg '!C48</f>
        <v>105611.58783602084</v>
      </c>
    </row>
    <row r="5" spans="1:11" x14ac:dyDescent="0.2">
      <c r="A5" s="15" t="s">
        <v>16</v>
      </c>
      <c r="B5" s="15"/>
      <c r="C5" s="193">
        <f>'Data for Bill Impacts_HONI Avg '!B48</f>
        <v>274.09386280146123</v>
      </c>
    </row>
    <row r="6" spans="1:11" x14ac:dyDescent="0.2">
      <c r="A6" s="15" t="s">
        <v>20</v>
      </c>
      <c r="B6" s="15">
        <f>VLOOKUP($B$3,'Data for Bill Impacts'!$A$3:$Y$39,2,0)</f>
        <v>1.0920000000000001</v>
      </c>
      <c r="C6" s="15">
        <f>'Data for Bill Impacts'!B33</f>
        <v>1.0654999999999999</v>
      </c>
    </row>
    <row r="7" spans="1:11" x14ac:dyDescent="0.2">
      <c r="A7" s="15" t="s">
        <v>15</v>
      </c>
      <c r="B7" s="15">
        <f>VLOOKUP($B$3,'Data for Bill Impacts'!$A$3:$Y$39,4,0)</f>
        <v>750</v>
      </c>
      <c r="C7" s="15">
        <f>VLOOKUP($C$3,'Data for Bill Impacts'!$A$3:$Y$39,4,0)</f>
        <v>750</v>
      </c>
    </row>
    <row r="8" spans="1:11" x14ac:dyDescent="0.2">
      <c r="A8" s="15" t="s">
        <v>82</v>
      </c>
      <c r="B8" s="193">
        <f>B4*B6</f>
        <v>115327.85391693476</v>
      </c>
      <c r="C8" s="193">
        <f>C4*C6</f>
        <v>112529.14683928021</v>
      </c>
    </row>
    <row r="9" spans="1:11" x14ac:dyDescent="0.2">
      <c r="A9" s="15" t="s">
        <v>21</v>
      </c>
      <c r="B9" s="16" t="str">
        <f>VLOOKUP($B$3,'Data for Bill Impacts'!$A$3:$Y$39,6,0)</f>
        <v>kWh</v>
      </c>
      <c r="C9" s="16" t="str">
        <f>'Data for Bill Impacts'!F33</f>
        <v>kW</v>
      </c>
    </row>
    <row r="10" spans="1:11" ht="13.5" thickBot="1" x14ac:dyDescent="0.25"/>
    <row r="11" spans="1:11" s="20" customFormat="1" ht="40.5" customHeight="1" thickBot="1" x14ac:dyDescent="0.25">
      <c r="A11" s="17"/>
      <c r="B11" s="18" t="s">
        <v>22</v>
      </c>
      <c r="C11" s="18" t="s">
        <v>23</v>
      </c>
      <c r="D11" s="18" t="s">
        <v>24</v>
      </c>
      <c r="E11" s="18" t="s">
        <v>22</v>
      </c>
      <c r="F11" s="18" t="s">
        <v>25</v>
      </c>
      <c r="G11" s="18" t="s">
        <v>26</v>
      </c>
      <c r="H11" s="18" t="s">
        <v>27</v>
      </c>
      <c r="I11" s="18" t="s">
        <v>28</v>
      </c>
      <c r="J11" s="123" t="s">
        <v>29</v>
      </c>
    </row>
    <row r="12" spans="1:11" x14ac:dyDescent="0.2">
      <c r="A12" s="101" t="s">
        <v>31</v>
      </c>
      <c r="B12" s="102">
        <f>IF(C4&gt;C7,C7,C4)</f>
        <v>750</v>
      </c>
      <c r="C12" s="103">
        <v>0.10299999999999999</v>
      </c>
      <c r="D12" s="104">
        <f>B12*C12</f>
        <v>77.25</v>
      </c>
      <c r="E12" s="102">
        <f>B12</f>
        <v>750</v>
      </c>
      <c r="F12" s="103">
        <f>C12</f>
        <v>0.10299999999999999</v>
      </c>
      <c r="G12" s="104">
        <f>E12*F12</f>
        <v>77.25</v>
      </c>
      <c r="H12" s="104">
        <f>G12-D12</f>
        <v>0</v>
      </c>
      <c r="I12" s="105">
        <f>IF(ISERROR(H12/D12),0,(H12/D12))</f>
        <v>0</v>
      </c>
      <c r="J12" s="124">
        <f t="shared" ref="J12:J39" si="0">G12/$G$39</f>
        <v>2.6606563461121541E-3</v>
      </c>
    </row>
    <row r="13" spans="1:11" x14ac:dyDescent="0.2">
      <c r="A13" s="107" t="s">
        <v>32</v>
      </c>
      <c r="B13" s="73">
        <f>IF(B4&gt;B7,(B4)-B7,0)</f>
        <v>104861.58783602084</v>
      </c>
      <c r="C13" s="21">
        <v>0.121</v>
      </c>
      <c r="D13" s="22">
        <f>B13*C13</f>
        <v>12688.252128158521</v>
      </c>
      <c r="E13" s="73">
        <f t="shared" ref="E13:E34" si="1">B13</f>
        <v>104861.58783602084</v>
      </c>
      <c r="F13" s="21">
        <f>C13</f>
        <v>0.121</v>
      </c>
      <c r="G13" s="22">
        <f>E13*F13</f>
        <v>12688.252128158521</v>
      </c>
      <c r="H13" s="22">
        <f t="shared" ref="H13:H39" si="2">G13-D13</f>
        <v>0</v>
      </c>
      <c r="I13" s="23">
        <f t="shared" ref="I13:I39" si="3">IF(ISERROR(H13/D13),0,(H13/D13))</f>
        <v>0</v>
      </c>
      <c r="J13" s="125">
        <f t="shared" si="0"/>
        <v>0.43701072551269926</v>
      </c>
    </row>
    <row r="14" spans="1:11" s="1" customFormat="1" x14ac:dyDescent="0.2">
      <c r="A14" s="46" t="s">
        <v>33</v>
      </c>
      <c r="B14" s="24"/>
      <c r="C14" s="25"/>
      <c r="D14" s="25">
        <f>SUM(D12:D13)</f>
        <v>12765.502128158521</v>
      </c>
      <c r="E14" s="76"/>
      <c r="F14" s="25"/>
      <c r="G14" s="25">
        <f>SUM(G12:G13)</f>
        <v>12765.502128158521</v>
      </c>
      <c r="H14" s="25">
        <f t="shared" si="2"/>
        <v>0</v>
      </c>
      <c r="I14" s="27">
        <f t="shared" si="3"/>
        <v>0</v>
      </c>
      <c r="J14" s="47">
        <f t="shared" si="0"/>
        <v>0.43967138185881138</v>
      </c>
    </row>
    <row r="15" spans="1:11" x14ac:dyDescent="0.2">
      <c r="A15" s="107" t="s">
        <v>38</v>
      </c>
      <c r="B15" s="73">
        <f>'Data for Bill Impacts_HONI Avg '!B86</f>
        <v>1847</v>
      </c>
      <c r="C15" s="122">
        <f>VLOOKUP($C$3,'Data for Bill Impacts'!$A$3:$Y$39,7,0)</f>
        <v>5.7</v>
      </c>
      <c r="D15" s="22">
        <f>B15*C15</f>
        <v>10527.9</v>
      </c>
      <c r="E15" s="73">
        <v>1</v>
      </c>
      <c r="F15" s="78">
        <f>VLOOKUP($B$3,'Data for Bill Impacts'!$A$3:$Y$39,17,0)</f>
        <v>4.7699999999999996</v>
      </c>
      <c r="G15" s="22">
        <f>E15*F15</f>
        <v>4.7699999999999996</v>
      </c>
      <c r="H15" s="22">
        <f t="shared" si="2"/>
        <v>-10523.13</v>
      </c>
      <c r="I15" s="23">
        <f t="shared" si="3"/>
        <v>-0.99954691818881258</v>
      </c>
      <c r="J15" s="125">
        <f t="shared" si="0"/>
        <v>1.642890714686728E-4</v>
      </c>
    </row>
    <row r="16" spans="1:11" x14ac:dyDescent="0.2">
      <c r="A16" s="107" t="s">
        <v>188</v>
      </c>
      <c r="B16" s="73">
        <f>B15</f>
        <v>1847</v>
      </c>
      <c r="C16" s="122">
        <f>'Data for Bill Impacts'!K33</f>
        <v>-0.06</v>
      </c>
      <c r="D16" s="22">
        <f>B16*C16</f>
        <v>-110.82</v>
      </c>
      <c r="E16" s="73">
        <f>E15</f>
        <v>1</v>
      </c>
      <c r="F16" s="122">
        <v>0</v>
      </c>
      <c r="G16" s="22">
        <f t="shared" ref="G16:G17" si="4">E16*F16</f>
        <v>0</v>
      </c>
      <c r="H16" s="22">
        <f t="shared" si="2"/>
        <v>110.82</v>
      </c>
      <c r="I16" s="23">
        <f t="shared" si="3"/>
        <v>-1</v>
      </c>
      <c r="J16" s="125">
        <f t="shared" si="0"/>
        <v>0</v>
      </c>
    </row>
    <row r="17" spans="1:10" x14ac:dyDescent="0.2">
      <c r="A17" s="107" t="s">
        <v>85</v>
      </c>
      <c r="B17" s="73">
        <f>B15</f>
        <v>1847</v>
      </c>
      <c r="C17" s="122">
        <f>VLOOKUP($C$3,'Data for Bill Impacts'!$A$3:$Y$39,13,0)</f>
        <v>0</v>
      </c>
      <c r="D17" s="22">
        <f t="shared" ref="D17:D20" si="5">B17*C17</f>
        <v>0</v>
      </c>
      <c r="E17" s="73">
        <f>E15</f>
        <v>1</v>
      </c>
      <c r="F17" s="122">
        <f>VLOOKUP($B$3,'Data for Bill Impacts'!$A$3:$Y$39,22,0)</f>
        <v>0</v>
      </c>
      <c r="G17" s="22">
        <f t="shared" si="4"/>
        <v>0</v>
      </c>
      <c r="H17" s="22">
        <f t="shared" si="2"/>
        <v>0</v>
      </c>
      <c r="I17" s="23">
        <f t="shared" si="3"/>
        <v>0</v>
      </c>
      <c r="J17" s="125">
        <f t="shared" si="0"/>
        <v>0</v>
      </c>
    </row>
    <row r="18" spans="1:10" x14ac:dyDescent="0.2">
      <c r="A18" s="107" t="s">
        <v>39</v>
      </c>
      <c r="B18" s="73">
        <f>C5</f>
        <v>274.09386280146123</v>
      </c>
      <c r="C18" s="78">
        <f>VLOOKUP($C$3,'Data for Bill Impacts'!$A$3:$Y$39,10,0)</f>
        <v>14.588200000000001</v>
      </c>
      <c r="D18" s="22">
        <f t="shared" si="5"/>
        <v>3998.5360893202769</v>
      </c>
      <c r="E18" s="73">
        <f>IF($B$9="kWh",$B$4,$B$5)</f>
        <v>105611.58783602084</v>
      </c>
      <c r="F18" s="78">
        <f>VLOOKUP($B$3,'Data for Bill Impacts'!$A$3:$Y$39,19,0)</f>
        <v>0.107</v>
      </c>
      <c r="G18" s="22">
        <f>E18*F18</f>
        <v>11300.439898454229</v>
      </c>
      <c r="H18" s="22">
        <f t="shared" si="2"/>
        <v>7301.9038091339526</v>
      </c>
      <c r="I18" s="23">
        <f t="shared" si="3"/>
        <v>1.8261442803121541</v>
      </c>
      <c r="J18" s="125">
        <f t="shared" si="0"/>
        <v>0.38921148387936871</v>
      </c>
    </row>
    <row r="19" spans="1:10" x14ac:dyDescent="0.2">
      <c r="A19" s="107" t="s">
        <v>189</v>
      </c>
      <c r="B19" s="73">
        <f>C5</f>
        <v>274.09386280146123</v>
      </c>
      <c r="C19" s="126">
        <f>'Data for Bill Impacts'!H33</f>
        <v>0.113</v>
      </c>
      <c r="D19" s="22">
        <f t="shared" si="5"/>
        <v>30.97260649656512</v>
      </c>
      <c r="E19" s="73">
        <f>IF($B$9="kWh",$B$4,$B$5)</f>
        <v>105611.58783602084</v>
      </c>
      <c r="F19" s="126">
        <v>0</v>
      </c>
      <c r="G19" s="22">
        <f>E19*F19</f>
        <v>0</v>
      </c>
      <c r="H19" s="22">
        <f t="shared" ref="H19" si="6">G19-D19</f>
        <v>-30.97260649656512</v>
      </c>
      <c r="I19" s="23">
        <f t="shared" ref="I19" si="7">IF(ISERROR(H19/D19),0,(H19/D19))</f>
        <v>-1</v>
      </c>
      <c r="J19" s="125">
        <f t="shared" si="0"/>
        <v>0</v>
      </c>
    </row>
    <row r="20" spans="1:10" x14ac:dyDescent="0.2">
      <c r="A20" s="107" t="s">
        <v>190</v>
      </c>
      <c r="B20" s="73">
        <f>C5</f>
        <v>274.09386280146123</v>
      </c>
      <c r="C20" s="78">
        <f>'Data for Bill Impacts'!L33</f>
        <v>-0.1459</v>
      </c>
      <c r="D20" s="22">
        <f t="shared" si="5"/>
        <v>-39.990294582733192</v>
      </c>
      <c r="E20" s="73">
        <f>IF($B$9="kWh",$B$4,$B$5)</f>
        <v>105611.58783602084</v>
      </c>
      <c r="F20" s="126">
        <v>0</v>
      </c>
      <c r="G20" s="22">
        <f>E20*F20</f>
        <v>0</v>
      </c>
      <c r="H20" s="22">
        <f t="shared" si="2"/>
        <v>39.990294582733192</v>
      </c>
      <c r="I20" s="23">
        <f>IF(ISERROR(H20/D20),0,(H20/D20))</f>
        <v>-1</v>
      </c>
      <c r="J20" s="125">
        <f t="shared" si="0"/>
        <v>0</v>
      </c>
    </row>
    <row r="21" spans="1:10" s="1" customFormat="1" x14ac:dyDescent="0.2">
      <c r="A21" s="107" t="s">
        <v>194</v>
      </c>
      <c r="B21" s="73">
        <f>C5</f>
        <v>274.09386280146123</v>
      </c>
      <c r="C21" s="126">
        <f>VLOOKUP($C$3,'Data for Bill Impacts'!$A$3:$Y$39,14,0)</f>
        <v>0</v>
      </c>
      <c r="D21" s="22">
        <f>B21*C21</f>
        <v>0</v>
      </c>
      <c r="E21" s="73">
        <f>IF($B$9="kWh",$B$4,$B$5)</f>
        <v>105611.58783602084</v>
      </c>
      <c r="F21" s="126">
        <f>VLOOKUP($B$3,'Data for Bill Impacts'!$A$3:$Y$39,23,0)</f>
        <v>2.0000000000000001E-4</v>
      </c>
      <c r="G21" s="22">
        <f>E21*F21</f>
        <v>21.122317567204171</v>
      </c>
      <c r="H21" s="22">
        <f t="shared" si="2"/>
        <v>21.122317567204171</v>
      </c>
      <c r="I21" s="23">
        <f>IF(ISERROR(H21/D21),0,(H21/D21))</f>
        <v>0</v>
      </c>
      <c r="J21" s="125">
        <f t="shared" si="0"/>
        <v>7.2749810070910049E-4</v>
      </c>
    </row>
    <row r="22" spans="1:10" x14ac:dyDescent="0.2">
      <c r="A22" s="110" t="s">
        <v>72</v>
      </c>
      <c r="B22" s="74"/>
      <c r="C22" s="35"/>
      <c r="D22" s="35">
        <f>SUM(D15:D21)</f>
        <v>14406.598401234109</v>
      </c>
      <c r="E22" s="73"/>
      <c r="F22" s="35"/>
      <c r="G22" s="35">
        <f>SUM(G15:G21)</f>
        <v>11326.332216021434</v>
      </c>
      <c r="H22" s="35">
        <f t="shared" si="2"/>
        <v>-3080.2661852126748</v>
      </c>
      <c r="I22" s="36">
        <f t="shared" si="3"/>
        <v>-0.21380940173558324</v>
      </c>
      <c r="J22" s="111">
        <f t="shared" si="0"/>
        <v>0.39010327105154652</v>
      </c>
    </row>
    <row r="23" spans="1:10" s="1" customFormat="1" x14ac:dyDescent="0.2">
      <c r="A23" s="119" t="s">
        <v>81</v>
      </c>
      <c r="B23" s="120">
        <f>C8-C4</f>
        <v>6917.5590032593609</v>
      </c>
      <c r="C23" s="225">
        <f>IF(B4&gt;B7,C13,C12)</f>
        <v>0.121</v>
      </c>
      <c r="D23" s="22">
        <f>B23*C23</f>
        <v>837.02463939438269</v>
      </c>
      <c r="E23" s="73">
        <f>B8-B4</f>
        <v>9716.2660809139197</v>
      </c>
      <c r="F23" s="225">
        <f>C23</f>
        <v>0.121</v>
      </c>
      <c r="G23" s="22">
        <f>E23*F23</f>
        <v>1175.6681957905842</v>
      </c>
      <c r="H23" s="22">
        <f t="shared" si="2"/>
        <v>338.64355639620146</v>
      </c>
      <c r="I23" s="23">
        <f>IF(ISERROR(H23/D23),0,(H23/D23))</f>
        <v>0.40458015267175673</v>
      </c>
      <c r="J23" s="125">
        <f t="shared" si="0"/>
        <v>4.0492544285468536E-2</v>
      </c>
    </row>
    <row r="24" spans="1:10" x14ac:dyDescent="0.2">
      <c r="A24" s="110" t="s">
        <v>79</v>
      </c>
      <c r="B24" s="74"/>
      <c r="C24" s="35"/>
      <c r="D24" s="35">
        <f>SUM(D22,D23:D23)</f>
        <v>15243.623040628492</v>
      </c>
      <c r="E24" s="73"/>
      <c r="F24" s="35"/>
      <c r="G24" s="35">
        <f>SUM(G22,G23:G23)</f>
        <v>12502.000411812018</v>
      </c>
      <c r="H24" s="35">
        <f t="shared" si="2"/>
        <v>-2741.6226288164744</v>
      </c>
      <c r="I24" s="36">
        <f>IF(ISERROR(H24/D24),0,(H24/D24))</f>
        <v>-0.17985374090590459</v>
      </c>
      <c r="J24" s="111">
        <f t="shared" si="0"/>
        <v>0.43059581533701502</v>
      </c>
    </row>
    <row r="25" spans="1:10" x14ac:dyDescent="0.2">
      <c r="A25" s="107" t="s">
        <v>40</v>
      </c>
      <c r="B25" s="73">
        <f>IF($C$9="kWh",$C$8,$C$5)</f>
        <v>274.09386280146123</v>
      </c>
      <c r="C25" s="126">
        <f>VLOOKUP($C$3,'Data for Bill Impacts'!$A$3:$Y$39,15,0)</f>
        <v>1.8084840059864431</v>
      </c>
      <c r="D25" s="22">
        <f>B25*C25</f>
        <v>495.69436701548511</v>
      </c>
      <c r="E25" s="73">
        <f>B8</f>
        <v>115327.85391693476</v>
      </c>
      <c r="F25" s="126">
        <f>VLOOKUP($B$3,'Data for Bill Impacts'!$A$3:$Y$39,24,0)</f>
        <v>3.836E-3</v>
      </c>
      <c r="G25" s="22">
        <f>E25*F25</f>
        <v>442.39764762536174</v>
      </c>
      <c r="H25" s="22">
        <f t="shared" si="2"/>
        <v>-53.296719390123371</v>
      </c>
      <c r="I25" s="23">
        <f t="shared" si="3"/>
        <v>-0.10751931620893006</v>
      </c>
      <c r="J25" s="125">
        <f t="shared" si="0"/>
        <v>1.5237127620187797E-2</v>
      </c>
    </row>
    <row r="26" spans="1:10" s="1" customFormat="1" x14ac:dyDescent="0.2">
      <c r="A26" s="107" t="s">
        <v>41</v>
      </c>
      <c r="B26" s="73">
        <f>IF($C$9="kWh",$C$8,$C$5)</f>
        <v>274.09386280146123</v>
      </c>
      <c r="C26" s="126">
        <f>VLOOKUP($C$3,'Data for Bill Impacts'!$A$3:$Y$39,16,0)</f>
        <v>1.5209878188292463</v>
      </c>
      <c r="D26" s="22">
        <f>B26*C26</f>
        <v>416.8934265368772</v>
      </c>
      <c r="E26" s="73">
        <f>B8</f>
        <v>115327.85391693476</v>
      </c>
      <c r="F26" s="126">
        <f>VLOOKUP($B$3,'Data for Bill Impacts'!$A$3:$Y$39,25,0)</f>
        <v>3.6240000000000001E-3</v>
      </c>
      <c r="G26" s="22">
        <f>E26*F26</f>
        <v>417.94814259497161</v>
      </c>
      <c r="H26" s="22">
        <f t="shared" si="2"/>
        <v>1.0547160580944137</v>
      </c>
      <c r="I26" s="23">
        <f t="shared" si="3"/>
        <v>2.5299416852309531E-3</v>
      </c>
      <c r="J26" s="125">
        <f t="shared" si="0"/>
        <v>1.4395034018655E-2</v>
      </c>
    </row>
    <row r="27" spans="1:10" s="1" customFormat="1" x14ac:dyDescent="0.2">
      <c r="A27" s="110" t="s">
        <v>76</v>
      </c>
      <c r="B27" s="74"/>
      <c r="C27" s="35"/>
      <c r="D27" s="35">
        <f>SUM(D25:D26)</f>
        <v>912.58779355236231</v>
      </c>
      <c r="E27" s="73"/>
      <c r="F27" s="35"/>
      <c r="G27" s="35">
        <f>SUM(G25:G26)</f>
        <v>860.34579022033336</v>
      </c>
      <c r="H27" s="35">
        <f t="shared" si="2"/>
        <v>-52.242003332028958</v>
      </c>
      <c r="I27" s="36">
        <f t="shared" si="3"/>
        <v>-5.7246002742016106E-2</v>
      </c>
      <c r="J27" s="111">
        <f t="shared" si="0"/>
        <v>2.9632161638842799E-2</v>
      </c>
    </row>
    <row r="28" spans="1:10" s="1" customFormat="1" x14ac:dyDescent="0.2">
      <c r="A28" s="110" t="s">
        <v>80</v>
      </c>
      <c r="B28" s="74"/>
      <c r="C28" s="35"/>
      <c r="D28" s="35">
        <f>D24+D27</f>
        <v>16156.210834180854</v>
      </c>
      <c r="E28" s="73"/>
      <c r="F28" s="35"/>
      <c r="G28" s="35">
        <f>G24+G27</f>
        <v>13362.346202032351</v>
      </c>
      <c r="H28" s="35">
        <f t="shared" si="2"/>
        <v>-2793.864632148503</v>
      </c>
      <c r="I28" s="36">
        <f t="shared" si="3"/>
        <v>-0.17292821075580847</v>
      </c>
      <c r="J28" s="111">
        <f t="shared" si="0"/>
        <v>0.46022797697585782</v>
      </c>
    </row>
    <row r="29" spans="1:10" x14ac:dyDescent="0.2">
      <c r="A29" s="107" t="s">
        <v>42</v>
      </c>
      <c r="B29" s="73">
        <f>C8</f>
        <v>112529.14683928021</v>
      </c>
      <c r="C29" s="34">
        <v>3.5999999999999999E-3</v>
      </c>
      <c r="D29" s="22">
        <f>B29*C29</f>
        <v>405.1049286214087</v>
      </c>
      <c r="E29" s="73">
        <f>B8</f>
        <v>115327.85391693476</v>
      </c>
      <c r="F29" s="34">
        <v>3.5999999999999999E-3</v>
      </c>
      <c r="G29" s="22">
        <f>E29*F29</f>
        <v>415.18027410096516</v>
      </c>
      <c r="H29" s="22">
        <f t="shared" si="2"/>
        <v>10.075345479556461</v>
      </c>
      <c r="I29" s="23">
        <f t="shared" si="3"/>
        <v>2.4870952604411255E-2</v>
      </c>
      <c r="J29" s="125">
        <f t="shared" si="0"/>
        <v>1.429970266753808E-2</v>
      </c>
    </row>
    <row r="30" spans="1:10" s="1" customFormat="1" x14ac:dyDescent="0.2">
      <c r="A30" s="107" t="s">
        <v>43</v>
      </c>
      <c r="B30" s="73">
        <f>C8</f>
        <v>112529.14683928021</v>
      </c>
      <c r="C30" s="34">
        <v>2.0999999999999999E-3</v>
      </c>
      <c r="D30" s="22">
        <f>B30*C30</f>
        <v>236.31120836248843</v>
      </c>
      <c r="E30" s="73">
        <f>B8</f>
        <v>115327.85391693476</v>
      </c>
      <c r="F30" s="34">
        <v>2.0999999999999999E-3</v>
      </c>
      <c r="G30" s="22">
        <f>E30*F30</f>
        <v>242.18849322556298</v>
      </c>
      <c r="H30" s="22">
        <f>G30-D30</f>
        <v>5.87728486307455</v>
      </c>
      <c r="I30" s="23">
        <f t="shared" si="3"/>
        <v>2.4870952604411033E-2</v>
      </c>
      <c r="J30" s="125">
        <f t="shared" si="0"/>
        <v>8.341493222730546E-3</v>
      </c>
    </row>
    <row r="31" spans="1:10" s="1" customFormat="1" x14ac:dyDescent="0.2">
      <c r="A31" s="107" t="s">
        <v>100</v>
      </c>
      <c r="B31" s="73">
        <f>C8</f>
        <v>112529.14683928021</v>
      </c>
      <c r="C31" s="34">
        <v>1.1000000000000001E-3</v>
      </c>
      <c r="D31" s="22">
        <f>B31*C31</f>
        <v>123.78206152320823</v>
      </c>
      <c r="E31" s="73">
        <f>B8</f>
        <v>115327.85391693476</v>
      </c>
      <c r="F31" s="34">
        <v>1.1000000000000001E-3</v>
      </c>
      <c r="G31" s="22">
        <f>E31*F31</f>
        <v>126.86063930862825</v>
      </c>
      <c r="H31" s="22">
        <f>G31-D31</f>
        <v>3.0785777854200234</v>
      </c>
      <c r="I31" s="23">
        <f t="shared" si="3"/>
        <v>2.4870952604411203E-2</v>
      </c>
      <c r="J31" s="125">
        <f t="shared" si="0"/>
        <v>4.3693535928588578E-3</v>
      </c>
    </row>
    <row r="32" spans="1:10" x14ac:dyDescent="0.2">
      <c r="A32" s="107" t="s">
        <v>44</v>
      </c>
      <c r="B32" s="73">
        <v>1</v>
      </c>
      <c r="C32" s="22">
        <v>0.25</v>
      </c>
      <c r="D32" s="22">
        <f>B32*C32</f>
        <v>0.25</v>
      </c>
      <c r="E32" s="73">
        <f t="shared" si="1"/>
        <v>1</v>
      </c>
      <c r="F32" s="22">
        <f>C32</f>
        <v>0.25</v>
      </c>
      <c r="G32" s="22">
        <f>E32*F32</f>
        <v>0.25</v>
      </c>
      <c r="H32" s="22">
        <f t="shared" si="2"/>
        <v>0</v>
      </c>
      <c r="I32" s="23">
        <f t="shared" si="3"/>
        <v>0</v>
      </c>
      <c r="J32" s="125">
        <f t="shared" si="0"/>
        <v>8.6105383369325377E-6</v>
      </c>
    </row>
    <row r="33" spans="1:10" s="1" customFormat="1" x14ac:dyDescent="0.2">
      <c r="A33" s="110" t="s">
        <v>45</v>
      </c>
      <c r="B33" s="74"/>
      <c r="C33" s="35"/>
      <c r="D33" s="35">
        <f>SUM(D29:D32)</f>
        <v>765.4481985071053</v>
      </c>
      <c r="E33" s="73"/>
      <c r="F33" s="35"/>
      <c r="G33" s="35">
        <f>SUM(G29:G32)</f>
        <v>784.47940663515635</v>
      </c>
      <c r="H33" s="35">
        <f t="shared" si="2"/>
        <v>19.031208128051048</v>
      </c>
      <c r="I33" s="36">
        <f t="shared" si="3"/>
        <v>2.4862829601230541E-2</v>
      </c>
      <c r="J33" s="111">
        <f t="shared" si="0"/>
        <v>2.7019160021464414E-2</v>
      </c>
    </row>
    <row r="34" spans="1:10" ht="13.5" thickBot="1" x14ac:dyDescent="0.25">
      <c r="A34" s="112" t="s">
        <v>46</v>
      </c>
      <c r="B34" s="113">
        <f>B4</f>
        <v>105611.58783602084</v>
      </c>
      <c r="C34" s="114">
        <v>7.0000000000000001E-3</v>
      </c>
      <c r="D34" s="115">
        <f>B34*C34</f>
        <v>739.28111485214595</v>
      </c>
      <c r="E34" s="116">
        <f t="shared" si="1"/>
        <v>105611.58783602084</v>
      </c>
      <c r="F34" s="114">
        <f>C34</f>
        <v>7.0000000000000001E-3</v>
      </c>
      <c r="G34" s="115">
        <f>E34*F34</f>
        <v>739.28111485214595</v>
      </c>
      <c r="H34" s="115">
        <f t="shared" si="2"/>
        <v>0</v>
      </c>
      <c r="I34" s="117">
        <f t="shared" si="3"/>
        <v>0</v>
      </c>
      <c r="J34" s="118">
        <f t="shared" si="0"/>
        <v>2.5462433524818518E-2</v>
      </c>
    </row>
    <row r="35" spans="1:10" x14ac:dyDescent="0.2">
      <c r="A35" s="37" t="s">
        <v>146</v>
      </c>
      <c r="B35" s="38"/>
      <c r="C35" s="39"/>
      <c r="D35" s="39">
        <f>SUM(D14,D24,D27,D33,D34)</f>
        <v>30426.442275698631</v>
      </c>
      <c r="E35" s="38"/>
      <c r="F35" s="39"/>
      <c r="G35" s="39">
        <f>SUM(G14,G24,G27,G33,G34)</f>
        <v>27651.608851678178</v>
      </c>
      <c r="H35" s="39">
        <f t="shared" si="2"/>
        <v>-2774.8334240204531</v>
      </c>
      <c r="I35" s="40">
        <f>IF(ISERROR(H35/D35),0,(H35/D35))</f>
        <v>-9.1198090097989917E-2</v>
      </c>
      <c r="J35" s="41">
        <f t="shared" si="0"/>
        <v>0.95238095238095222</v>
      </c>
    </row>
    <row r="36" spans="1:10" x14ac:dyDescent="0.2">
      <c r="A36" s="46" t="s">
        <v>138</v>
      </c>
      <c r="B36" s="43"/>
      <c r="C36" s="26">
        <v>0.13</v>
      </c>
      <c r="D36" s="26">
        <f>D35*C36</f>
        <v>3955.4374958408221</v>
      </c>
      <c r="E36" s="26"/>
      <c r="F36" s="26">
        <f>C36</f>
        <v>0.13</v>
      </c>
      <c r="G36" s="26">
        <f>G35*F36</f>
        <v>3594.7091507181635</v>
      </c>
      <c r="H36" s="26">
        <f t="shared" si="2"/>
        <v>-360.72834512265854</v>
      </c>
      <c r="I36" s="44">
        <f t="shared" si="3"/>
        <v>-9.119809009798982E-2</v>
      </c>
      <c r="J36" s="45">
        <f t="shared" si="0"/>
        <v>0.1238095238095238</v>
      </c>
    </row>
    <row r="37" spans="1:10" x14ac:dyDescent="0.2">
      <c r="A37" s="46" t="s">
        <v>139</v>
      </c>
      <c r="B37" s="24"/>
      <c r="C37" s="25"/>
      <c r="D37" s="25">
        <f>SUM(D35:D36)</f>
        <v>34381.879771539454</v>
      </c>
      <c r="E37" s="25"/>
      <c r="F37" s="25"/>
      <c r="G37" s="25">
        <f>SUM(G35:G36)</f>
        <v>31246.318002396343</v>
      </c>
      <c r="H37" s="25">
        <f t="shared" si="2"/>
        <v>-3135.5617691431107</v>
      </c>
      <c r="I37" s="27">
        <f t="shared" si="3"/>
        <v>-9.1198090097989876E-2</v>
      </c>
      <c r="J37" s="47">
        <f t="shared" si="0"/>
        <v>1.0761904761904761</v>
      </c>
    </row>
    <row r="38" spans="1:10" ht="12.75" customHeight="1" x14ac:dyDescent="0.2">
      <c r="A38" s="46" t="s">
        <v>140</v>
      </c>
      <c r="B38" s="43"/>
      <c r="C38" s="26">
        <v>-0.08</v>
      </c>
      <c r="D38" s="26">
        <f>D35*C38</f>
        <v>-2434.1153820558907</v>
      </c>
      <c r="E38" s="26"/>
      <c r="F38" s="26">
        <f>C38</f>
        <v>-0.08</v>
      </c>
      <c r="G38" s="26">
        <f>G35*F38</f>
        <v>-2212.1287081342543</v>
      </c>
      <c r="H38" s="26">
        <f t="shared" si="2"/>
        <v>221.98667392163634</v>
      </c>
      <c r="I38" s="44">
        <f t="shared" si="3"/>
        <v>-9.1198090097989945E-2</v>
      </c>
      <c r="J38" s="45">
        <f t="shared" si="0"/>
        <v>-7.6190476190476183E-2</v>
      </c>
    </row>
    <row r="39" spans="1:10" ht="13.5" customHeight="1" thickBot="1" x14ac:dyDescent="0.25">
      <c r="A39" s="46" t="s">
        <v>141</v>
      </c>
      <c r="B39" s="49"/>
      <c r="C39" s="50"/>
      <c r="D39" s="50">
        <f>SUM(D37:D38)</f>
        <v>31947.764389483564</v>
      </c>
      <c r="E39" s="50"/>
      <c r="F39" s="50"/>
      <c r="G39" s="50">
        <f>SUM(G37:G38)</f>
        <v>29034.189294262091</v>
      </c>
      <c r="H39" s="50">
        <f t="shared" si="2"/>
        <v>-2913.575095221473</v>
      </c>
      <c r="I39" s="51">
        <f t="shared" si="3"/>
        <v>-9.1198090097989834E-2</v>
      </c>
      <c r="J39" s="52">
        <f t="shared" si="0"/>
        <v>1</v>
      </c>
    </row>
    <row r="40" spans="1:10" x14ac:dyDescent="0.2">
      <c r="D40" s="72"/>
      <c r="F40" s="69"/>
    </row>
    <row r="41" spans="1:10" x14ac:dyDescent="0.2">
      <c r="F41" s="69"/>
    </row>
    <row r="42" spans="1:10" x14ac:dyDescent="0.2">
      <c r="A42" s="70"/>
      <c r="B42" s="71"/>
      <c r="F42" s="69"/>
    </row>
    <row r="43" spans="1:10" x14ac:dyDescent="0.2">
      <c r="B43" s="72"/>
      <c r="D43" s="72"/>
      <c r="F43" s="69"/>
    </row>
    <row r="44" spans="1:10" x14ac:dyDescent="0.2">
      <c r="F44" s="69"/>
    </row>
    <row r="45" spans="1:10" x14ac:dyDescent="0.2">
      <c r="F45" s="69"/>
    </row>
    <row r="46" spans="1:10" x14ac:dyDescent="0.2">
      <c r="F46" s="69"/>
    </row>
    <row r="47" spans="1:10" x14ac:dyDescent="0.2">
      <c r="F47" s="69"/>
    </row>
    <row r="48" spans="1:10" x14ac:dyDescent="0.2">
      <c r="F48" s="69"/>
    </row>
    <row r="49" spans="6:6" x14ac:dyDescent="0.2">
      <c r="F49" s="69"/>
    </row>
    <row r="50" spans="6:6" x14ac:dyDescent="0.2">
      <c r="F50" s="69"/>
    </row>
  </sheetData>
  <mergeCells count="1">
    <mergeCell ref="A1:J1"/>
  </mergeCell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Impacts'!$A$3:$A$11</xm:f>
          </x14:formula1>
          <xm:sqref>B3</xm:sqref>
        </x14:dataValidation>
      </x14:dataValidations>
    </ext>
  </extLst>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1">
    <pageSetUpPr fitToPage="1"/>
  </sheetPr>
  <dimension ref="A1:J50"/>
  <sheetViews>
    <sheetView topLeftCell="A10" workbookViewId="0">
      <selection activeCell="C19" sqref="C19"/>
    </sheetView>
  </sheetViews>
  <sheetFormatPr defaultRowHeight="12.75" x14ac:dyDescent="0.2"/>
  <cols>
    <col min="1" max="1" width="64.7109375" bestFit="1" customWidth="1"/>
    <col min="2" max="2" width="15.5703125" bestFit="1" customWidth="1"/>
    <col min="3" max="3" width="16.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48" t="s">
        <v>112</v>
      </c>
      <c r="B1" s="349"/>
      <c r="C1" s="349"/>
      <c r="D1" s="349"/>
      <c r="E1" s="349"/>
      <c r="F1" s="349"/>
      <c r="G1" s="349"/>
      <c r="H1" s="349"/>
      <c r="I1" s="349"/>
      <c r="J1" s="350"/>
    </row>
    <row r="3" spans="1:10" x14ac:dyDescent="0.2">
      <c r="A3" s="13" t="s">
        <v>13</v>
      </c>
      <c r="B3" s="13" t="s">
        <v>9</v>
      </c>
      <c r="C3" s="13" t="s">
        <v>130</v>
      </c>
    </row>
    <row r="4" spans="1:10" x14ac:dyDescent="0.2">
      <c r="A4" s="15" t="s">
        <v>62</v>
      </c>
      <c r="B4" s="79">
        <f>'Data for Bill Impacts_HONI Avg '!C53</f>
        <v>126.02277222660564</v>
      </c>
      <c r="C4" s="193">
        <f>B4</f>
        <v>126.02277222660564</v>
      </c>
    </row>
    <row r="5" spans="1:10" x14ac:dyDescent="0.2">
      <c r="A5" s="15" t="s">
        <v>16</v>
      </c>
      <c r="B5" s="15">
        <f>'Data for Bill Impacts'!E10</f>
        <v>0</v>
      </c>
      <c r="C5" s="136">
        <f>'Data for Bill Impacts_HONI Avg '!B53</f>
        <v>0.45421640025856702</v>
      </c>
    </row>
    <row r="6" spans="1:10" x14ac:dyDescent="0.2">
      <c r="A6" s="15" t="s">
        <v>20</v>
      </c>
      <c r="B6" s="15">
        <f>'Data for Bill Impacts'!B10</f>
        <v>1.0920000000000001</v>
      </c>
      <c r="C6" s="15">
        <f>'Data for Bill Impacts'!B38</f>
        <v>1.0564</v>
      </c>
    </row>
    <row r="7" spans="1:10" x14ac:dyDescent="0.2">
      <c r="A7" s="15" t="s">
        <v>15</v>
      </c>
      <c r="B7" s="15">
        <f>VLOOKUP($B$3,'Data for Bill Impacts'!$A$3:$Y$39,4,0)</f>
        <v>750</v>
      </c>
      <c r="C7" s="79">
        <f>VLOOKUP($C$3,'Data for Bill Impacts'!$A$3:$Y$39,4,0)</f>
        <v>750</v>
      </c>
    </row>
    <row r="8" spans="1:10" x14ac:dyDescent="0.2">
      <c r="A8" s="15" t="s">
        <v>82</v>
      </c>
      <c r="B8" s="193">
        <f>B4*B6</f>
        <v>137.61686727145337</v>
      </c>
      <c r="C8" s="193">
        <f>C4*C6</f>
        <v>133.13045658018621</v>
      </c>
    </row>
    <row r="9" spans="1:10" x14ac:dyDescent="0.2">
      <c r="A9" s="15" t="s">
        <v>21</v>
      </c>
      <c r="B9" s="16" t="str">
        <f>VLOOKUP($B$3,'Data for Bill Impacts'!$A$3:$Y$39,6,0)</f>
        <v>kWh</v>
      </c>
      <c r="C9" s="16" t="str">
        <f>'Data for Bill Impacts'!F38</f>
        <v>kW</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3" t="s">
        <v>29</v>
      </c>
    </row>
    <row r="12" spans="1:10" x14ac:dyDescent="0.2">
      <c r="A12" s="101" t="s">
        <v>31</v>
      </c>
      <c r="B12" s="102">
        <f>IF(C4&gt;C7,C7,C4)</f>
        <v>126.02277222660564</v>
      </c>
      <c r="C12" s="103">
        <v>0.10299999999999999</v>
      </c>
      <c r="D12" s="104">
        <f>B12*C12</f>
        <v>12.98034553934038</v>
      </c>
      <c r="E12" s="102">
        <f>B12</f>
        <v>126.02277222660564</v>
      </c>
      <c r="F12" s="103">
        <f>C12</f>
        <v>0.10299999999999999</v>
      </c>
      <c r="G12" s="104">
        <f>E12*F12</f>
        <v>12.98034553934038</v>
      </c>
      <c r="H12" s="104">
        <f>G12-D12</f>
        <v>0</v>
      </c>
      <c r="I12" s="105">
        <f>IF(ISERROR(H12/D12),0,(H12/D12))</f>
        <v>0</v>
      </c>
      <c r="J12" s="124">
        <f t="shared" ref="J12:J39" si="0">G12/$G$39</f>
        <v>0.32753224762809002</v>
      </c>
    </row>
    <row r="13" spans="1:10" x14ac:dyDescent="0.2">
      <c r="A13" s="107" t="s">
        <v>32</v>
      </c>
      <c r="B13" s="73">
        <f>IF(B4&gt;B7,(B4)-B7,0)</f>
        <v>0</v>
      </c>
      <c r="C13" s="21">
        <v>0.121</v>
      </c>
      <c r="D13" s="22">
        <f>B13*C13</f>
        <v>0</v>
      </c>
      <c r="E13" s="73">
        <f t="shared" ref="E13" si="1">B13</f>
        <v>0</v>
      </c>
      <c r="F13" s="21">
        <f>C13</f>
        <v>0.121</v>
      </c>
      <c r="G13" s="22">
        <f>E13*F13</f>
        <v>0</v>
      </c>
      <c r="H13" s="22">
        <f t="shared" ref="H13:H39" si="2">G13-D13</f>
        <v>0</v>
      </c>
      <c r="I13" s="23">
        <f t="shared" ref="I13:I39" si="3">IF(ISERROR(H13/D13),0,(H13/D13))</f>
        <v>0</v>
      </c>
      <c r="J13" s="125">
        <f t="shared" si="0"/>
        <v>0</v>
      </c>
    </row>
    <row r="14" spans="1:10" s="1" customFormat="1" x14ac:dyDescent="0.2">
      <c r="A14" s="46" t="s">
        <v>33</v>
      </c>
      <c r="B14" s="24"/>
      <c r="C14" s="25"/>
      <c r="D14" s="25">
        <f>SUM(D12:D13)</f>
        <v>12.98034553934038</v>
      </c>
      <c r="E14" s="76"/>
      <c r="F14" s="25"/>
      <c r="G14" s="25">
        <f>SUM(G12:G13)</f>
        <v>12.98034553934038</v>
      </c>
      <c r="H14" s="25">
        <f t="shared" si="2"/>
        <v>0</v>
      </c>
      <c r="I14" s="27">
        <f t="shared" si="3"/>
        <v>0</v>
      </c>
      <c r="J14" s="47">
        <f t="shared" si="0"/>
        <v>0.32753224762809002</v>
      </c>
    </row>
    <row r="15" spans="1:10" x14ac:dyDescent="0.2">
      <c r="A15" s="107" t="s">
        <v>38</v>
      </c>
      <c r="B15" s="73">
        <v>1</v>
      </c>
      <c r="C15" s="122">
        <f>VLOOKUP($C$3,'Data for Bill Impacts'!$A$3:$Y$39,7,0)</f>
        <v>6.53</v>
      </c>
      <c r="D15" s="22">
        <f>B15*C15</f>
        <v>6.53</v>
      </c>
      <c r="E15" s="73">
        <f t="shared" ref="E15:E34" si="4">B15</f>
        <v>1</v>
      </c>
      <c r="F15" s="78">
        <f>VLOOKUP($B$3,'Data for Bill Impacts'!$A$3:$Y$39,17,0)</f>
        <v>3.6</v>
      </c>
      <c r="G15" s="22">
        <f>E15*F15</f>
        <v>3.6</v>
      </c>
      <c r="H15" s="22">
        <f t="shared" si="2"/>
        <v>-2.93</v>
      </c>
      <c r="I15" s="23">
        <f t="shared" si="3"/>
        <v>-0.44869831546707506</v>
      </c>
      <c r="J15" s="125">
        <f t="shared" si="0"/>
        <v>9.0838574973794037E-2</v>
      </c>
    </row>
    <row r="16" spans="1:10" x14ac:dyDescent="0.2">
      <c r="A16" s="107" t="s">
        <v>188</v>
      </c>
      <c r="B16" s="73">
        <v>1</v>
      </c>
      <c r="C16" s="122">
        <f>'Data for Bill Impacts'!K38</f>
        <v>-0.09</v>
      </c>
      <c r="D16" s="22">
        <f>B16*C16</f>
        <v>-0.09</v>
      </c>
      <c r="E16" s="73">
        <f t="shared" si="4"/>
        <v>1</v>
      </c>
      <c r="F16" s="122">
        <v>0</v>
      </c>
      <c r="G16" s="22">
        <f t="shared" ref="G16:G17" si="5">E16*F16</f>
        <v>0</v>
      </c>
      <c r="H16" s="22">
        <f t="shared" si="2"/>
        <v>0.09</v>
      </c>
      <c r="I16" s="23">
        <f t="shared" si="3"/>
        <v>-1</v>
      </c>
      <c r="J16" s="125">
        <f t="shared" si="0"/>
        <v>0</v>
      </c>
    </row>
    <row r="17" spans="1:10" x14ac:dyDescent="0.2">
      <c r="A17" s="107" t="s">
        <v>85</v>
      </c>
      <c r="B17" s="73">
        <v>1</v>
      </c>
      <c r="C17" s="122">
        <f>VLOOKUP($C$3,'Data for Bill Impacts'!$A$3:$Y$39,13,0)</f>
        <v>0</v>
      </c>
      <c r="D17" s="22">
        <f t="shared" ref="D17" si="6">B17*C17</f>
        <v>0</v>
      </c>
      <c r="E17" s="73">
        <f t="shared" si="4"/>
        <v>1</v>
      </c>
      <c r="F17" s="122">
        <f>VLOOKUP($B$3,'Data for Bill Impacts'!$A$3:$Y$39,22,0)</f>
        <v>0</v>
      </c>
      <c r="G17" s="22">
        <f t="shared" si="5"/>
        <v>0</v>
      </c>
      <c r="H17" s="22">
        <f t="shared" si="2"/>
        <v>0</v>
      </c>
      <c r="I17" s="23">
        <f t="shared" si="3"/>
        <v>0</v>
      </c>
      <c r="J17" s="125">
        <f t="shared" si="0"/>
        <v>0</v>
      </c>
    </row>
    <row r="18" spans="1:10" x14ac:dyDescent="0.2">
      <c r="A18" s="107" t="s">
        <v>39</v>
      </c>
      <c r="B18" s="195">
        <f>C5</f>
        <v>0.45421640025856702</v>
      </c>
      <c r="C18" s="128">
        <f>VLOOKUP($C$3,'Data for Bill Impacts'!$A$3:$Y$39,10,0)</f>
        <v>19.433</v>
      </c>
      <c r="D18" s="22">
        <f>B18*C18</f>
        <v>8.8267873062247322</v>
      </c>
      <c r="E18" s="73">
        <f>B4</f>
        <v>126.02277222660564</v>
      </c>
      <c r="F18" s="78">
        <f>VLOOKUP($B$3,'Data for Bill Impacts'!$A$3:$Y$39,19,0)</f>
        <v>0.1338</v>
      </c>
      <c r="G18" s="22">
        <f>E18*F18</f>
        <v>16.861846923919835</v>
      </c>
      <c r="H18" s="22">
        <f t="shared" si="2"/>
        <v>8.0350596176951026</v>
      </c>
      <c r="I18" s="23">
        <f t="shared" si="3"/>
        <v>0.91030398025210191</v>
      </c>
      <c r="J18" s="125">
        <f t="shared" si="0"/>
        <v>0.4254739294430917</v>
      </c>
    </row>
    <row r="19" spans="1:10" x14ac:dyDescent="0.2">
      <c r="A19" s="107" t="s">
        <v>189</v>
      </c>
      <c r="B19" s="195">
        <f>C5</f>
        <v>0.45421640025856702</v>
      </c>
      <c r="C19" s="126">
        <f>'Data for Bill Impacts'!H38</f>
        <v>0.2407</v>
      </c>
      <c r="D19" s="22">
        <f>B19*C19</f>
        <v>0.10932988754223708</v>
      </c>
      <c r="E19" s="73">
        <f>B4</f>
        <v>126.02277222660564</v>
      </c>
      <c r="F19" s="126">
        <v>0</v>
      </c>
      <c r="G19" s="22">
        <f>E19*F19</f>
        <v>0</v>
      </c>
      <c r="H19" s="22">
        <f t="shared" ref="H19" si="7">G19-D19</f>
        <v>-0.10932988754223708</v>
      </c>
      <c r="I19" s="23">
        <f t="shared" ref="I19" si="8">IF(ISERROR(H19/D19),0,(H19/D19))</f>
        <v>-1</v>
      </c>
      <c r="J19" s="125">
        <f t="shared" si="0"/>
        <v>0</v>
      </c>
    </row>
    <row r="20" spans="1:10" x14ac:dyDescent="0.2">
      <c r="A20" s="107" t="s">
        <v>190</v>
      </c>
      <c r="B20" s="195">
        <f>C5</f>
        <v>0.45421640025856702</v>
      </c>
      <c r="C20" s="78">
        <f>'Data for Bill Impacts'!L38</f>
        <v>-0.28620000000000001</v>
      </c>
      <c r="D20" s="22">
        <f>B20*C20</f>
        <v>-0.12999673375400189</v>
      </c>
      <c r="E20" s="73">
        <f>B4</f>
        <v>126.02277222660564</v>
      </c>
      <c r="F20" s="126">
        <v>0</v>
      </c>
      <c r="G20" s="22">
        <f>E20*F20</f>
        <v>0</v>
      </c>
      <c r="H20" s="22">
        <f t="shared" si="2"/>
        <v>0.12999673375400189</v>
      </c>
      <c r="I20" s="23">
        <f>IF(ISERROR(H20/D20),0,(H20/D20))</f>
        <v>-1</v>
      </c>
      <c r="J20" s="125">
        <f t="shared" si="0"/>
        <v>0</v>
      </c>
    </row>
    <row r="21" spans="1:10" s="1" customFormat="1" x14ac:dyDescent="0.2">
      <c r="A21" s="107" t="s">
        <v>194</v>
      </c>
      <c r="B21" s="195">
        <f>C5</f>
        <v>0.45421640025856702</v>
      </c>
      <c r="C21" s="126">
        <f>VLOOKUP($C$3,'Data for Bill Impacts'!$A$3:$Y$39,14,0)</f>
        <v>0</v>
      </c>
      <c r="D21" s="22">
        <f>B21*C21</f>
        <v>0</v>
      </c>
      <c r="E21" s="73">
        <f>B4</f>
        <v>126.02277222660564</v>
      </c>
      <c r="F21" s="126">
        <f>VLOOKUP($B$3,'Data for Bill Impacts'!$A$3:$Y$39,23,0)</f>
        <v>1E-4</v>
      </c>
      <c r="G21" s="22">
        <f>E21*F21</f>
        <v>1.2602277222660564E-2</v>
      </c>
      <c r="H21" s="22">
        <f t="shared" si="2"/>
        <v>1.2602277222660564E-2</v>
      </c>
      <c r="I21" s="23">
        <f>IF(ISERROR(H21/D21),0,(H21/D21))</f>
        <v>0</v>
      </c>
      <c r="J21" s="125">
        <f t="shared" si="0"/>
        <v>3.1799247342533015E-4</v>
      </c>
    </row>
    <row r="22" spans="1:10" x14ac:dyDescent="0.2">
      <c r="A22" s="110" t="s">
        <v>72</v>
      </c>
      <c r="B22" s="74"/>
      <c r="C22" s="35"/>
      <c r="D22" s="35">
        <f>SUM(D15:D21)</f>
        <v>15.246120460012968</v>
      </c>
      <c r="E22" s="73"/>
      <c r="F22" s="35"/>
      <c r="G22" s="35">
        <f>SUM(G15:G21)</f>
        <v>20.474449201142498</v>
      </c>
      <c r="H22" s="35">
        <f t="shared" si="2"/>
        <v>5.2283287411295305</v>
      </c>
      <c r="I22" s="36">
        <f t="shared" si="3"/>
        <v>0.34292846857941484</v>
      </c>
      <c r="J22" s="111">
        <f t="shared" si="0"/>
        <v>0.51663049689031115</v>
      </c>
    </row>
    <row r="23" spans="1:10" s="1" customFormat="1" x14ac:dyDescent="0.2">
      <c r="A23" s="119" t="s">
        <v>81</v>
      </c>
      <c r="B23" s="120">
        <f>C8-C4</f>
        <v>7.1076843535805665</v>
      </c>
      <c r="C23" s="225">
        <f>IF(B4&gt;B7,C13,C12)</f>
        <v>0.10299999999999999</v>
      </c>
      <c r="D23" s="22">
        <f>B23*C23</f>
        <v>0.73209148841879834</v>
      </c>
      <c r="E23" s="73">
        <f>B8-B4</f>
        <v>11.594095044847734</v>
      </c>
      <c r="F23" s="225">
        <f>C23</f>
        <v>0.10299999999999999</v>
      </c>
      <c r="G23" s="22">
        <f>E23*F23</f>
        <v>1.1941917896193166</v>
      </c>
      <c r="H23" s="22">
        <f t="shared" si="2"/>
        <v>0.46210030120051826</v>
      </c>
      <c r="I23" s="23">
        <f>IF(ISERROR(H23/D23),0,(H23/D23))</f>
        <v>0.63120567375886549</v>
      </c>
      <c r="J23" s="125">
        <f t="shared" si="0"/>
        <v>3.0132966781784322E-2</v>
      </c>
    </row>
    <row r="24" spans="1:10" x14ac:dyDescent="0.2">
      <c r="A24" s="110" t="s">
        <v>79</v>
      </c>
      <c r="B24" s="74"/>
      <c r="C24" s="35"/>
      <c r="D24" s="35">
        <f>SUM(D22,D23:D23)</f>
        <v>15.978211948431767</v>
      </c>
      <c r="E24" s="73"/>
      <c r="F24" s="35"/>
      <c r="G24" s="35">
        <f>SUM(G22,G23:G23)</f>
        <v>21.668640990761816</v>
      </c>
      <c r="H24" s="35">
        <f t="shared" si="2"/>
        <v>5.6904290423300488</v>
      </c>
      <c r="I24" s="36">
        <f>IF(ISERROR(H24/D24),0,(H24/D24))</f>
        <v>0.35613678556120004</v>
      </c>
      <c r="J24" s="111">
        <f t="shared" si="0"/>
        <v>0.5467634636720955</v>
      </c>
    </row>
    <row r="25" spans="1:10" x14ac:dyDescent="0.2">
      <c r="A25" s="107" t="s">
        <v>40</v>
      </c>
      <c r="B25" s="195">
        <f>IF($C$9="kWh",$C$8,$C$5)</f>
        <v>0.45421640025856702</v>
      </c>
      <c r="C25" s="126">
        <f>VLOOKUP($C$3,'Data for Bill Impacts'!$A$3:$Y$39,15,0)</f>
        <v>1.9294</v>
      </c>
      <c r="D25" s="22">
        <f>B25*C25</f>
        <v>0.87636512265887923</v>
      </c>
      <c r="E25" s="73">
        <f>IF($B$9="kWh",$B$4,$B$5)*B6</f>
        <v>137.61686727145337</v>
      </c>
      <c r="F25" s="126">
        <f>VLOOKUP($B$3,'Data for Bill Impacts'!$A$3:$Y$39,24,0)</f>
        <v>3.836E-3</v>
      </c>
      <c r="G25" s="22">
        <f>E25*F25</f>
        <v>0.52789830285329509</v>
      </c>
      <c r="H25" s="22">
        <f t="shared" si="2"/>
        <v>-0.34846681980558414</v>
      </c>
      <c r="I25" s="23">
        <f t="shared" si="3"/>
        <v>-0.39762743951783569</v>
      </c>
      <c r="J25" s="125">
        <f t="shared" si="0"/>
        <v>1.3320424878410465E-2</v>
      </c>
    </row>
    <row r="26" spans="1:10" s="1" customFormat="1" x14ac:dyDescent="0.2">
      <c r="A26" s="107" t="s">
        <v>41</v>
      </c>
      <c r="B26" s="195">
        <f>IF($C$9="kWh",$C$8,$C$5)</f>
        <v>0.45421640025856702</v>
      </c>
      <c r="C26" s="126">
        <f>VLOOKUP($C$3,'Data for Bill Impacts'!$A$3:$Y$39,16,0)</f>
        <v>0.97740000000000005</v>
      </c>
      <c r="D26" s="22">
        <f>B26*C26</f>
        <v>0.44395110961272344</v>
      </c>
      <c r="E26" s="73">
        <f>B8</f>
        <v>137.61686727145337</v>
      </c>
      <c r="F26" s="126">
        <f>VLOOKUP($B$3,'Data for Bill Impacts'!$A$3:$Y$39,25,0)</f>
        <v>3.6240000000000001E-3</v>
      </c>
      <c r="G26" s="22">
        <f>E26*F26</f>
        <v>0.49872352699174705</v>
      </c>
      <c r="H26" s="22">
        <f t="shared" si="2"/>
        <v>5.4772417379023608E-2</v>
      </c>
      <c r="I26" s="23">
        <f t="shared" si="3"/>
        <v>0.12337488564180819</v>
      </c>
      <c r="J26" s="125">
        <f t="shared" si="0"/>
        <v>1.2584259582731891E-2</v>
      </c>
    </row>
    <row r="27" spans="1:10" s="1" customFormat="1" x14ac:dyDescent="0.2">
      <c r="A27" s="110" t="s">
        <v>76</v>
      </c>
      <c r="B27" s="74"/>
      <c r="C27" s="35"/>
      <c r="D27" s="35">
        <f>SUM(D25:D26)</f>
        <v>1.3203162322716027</v>
      </c>
      <c r="E27" s="73"/>
      <c r="F27" s="35"/>
      <c r="G27" s="35">
        <f>SUM(G25:G26)</f>
        <v>1.026621829845042</v>
      </c>
      <c r="H27" s="35">
        <f t="shared" si="2"/>
        <v>-0.29369440242656064</v>
      </c>
      <c r="I27" s="36">
        <f t="shared" si="3"/>
        <v>-0.22244246889342542</v>
      </c>
      <c r="J27" s="111">
        <f t="shared" si="0"/>
        <v>2.5904684461142354E-2</v>
      </c>
    </row>
    <row r="28" spans="1:10" s="1" customFormat="1" x14ac:dyDescent="0.2">
      <c r="A28" s="110" t="s">
        <v>80</v>
      </c>
      <c r="B28" s="74"/>
      <c r="C28" s="35"/>
      <c r="D28" s="35">
        <f>D24+D27</f>
        <v>17.298528180703368</v>
      </c>
      <c r="E28" s="73"/>
      <c r="F28" s="35"/>
      <c r="G28" s="35">
        <f>G24+G27</f>
        <v>22.695262820606857</v>
      </c>
      <c r="H28" s="35">
        <f t="shared" si="2"/>
        <v>5.3967346399034888</v>
      </c>
      <c r="I28" s="36">
        <f t="shared" si="3"/>
        <v>0.31197652098076095</v>
      </c>
      <c r="J28" s="111">
        <f t="shared" si="0"/>
        <v>0.57266814813323785</v>
      </c>
    </row>
    <row r="29" spans="1:10" x14ac:dyDescent="0.2">
      <c r="A29" s="107" t="s">
        <v>42</v>
      </c>
      <c r="B29" s="73">
        <f>C8</f>
        <v>133.13045658018621</v>
      </c>
      <c r="C29" s="34">
        <v>3.5999999999999999E-3</v>
      </c>
      <c r="D29" s="22">
        <f>B29*C29</f>
        <v>0.47926964368867031</v>
      </c>
      <c r="E29" s="73">
        <f>B8</f>
        <v>137.61686727145337</v>
      </c>
      <c r="F29" s="34">
        <v>3.5999999999999999E-3</v>
      </c>
      <c r="G29" s="22">
        <f>E29*F29</f>
        <v>0.49542072217723215</v>
      </c>
      <c r="H29" s="22">
        <f t="shared" si="2"/>
        <v>1.6151078488561843E-2</v>
      </c>
      <c r="I29" s="23">
        <f t="shared" si="3"/>
        <v>3.3699356304430272E-2</v>
      </c>
      <c r="J29" s="125">
        <f t="shared" si="0"/>
        <v>1.250092011529658E-2</v>
      </c>
    </row>
    <row r="30" spans="1:10" s="1" customFormat="1" x14ac:dyDescent="0.2">
      <c r="A30" s="107" t="s">
        <v>43</v>
      </c>
      <c r="B30" s="73">
        <f>C8</f>
        <v>133.13045658018621</v>
      </c>
      <c r="C30" s="34">
        <v>2.0999999999999999E-3</v>
      </c>
      <c r="D30" s="22">
        <f>B30*C30</f>
        <v>0.27957395881839103</v>
      </c>
      <c r="E30" s="73">
        <f>B8</f>
        <v>137.61686727145337</v>
      </c>
      <c r="F30" s="34">
        <v>2.0999999999999999E-3</v>
      </c>
      <c r="G30" s="22">
        <f>E30*F30</f>
        <v>0.28899542127005207</v>
      </c>
      <c r="H30" s="22">
        <f>G30-D30</f>
        <v>9.4214624516610335E-3</v>
      </c>
      <c r="I30" s="23">
        <f t="shared" si="3"/>
        <v>3.369935630443012E-2</v>
      </c>
      <c r="J30" s="125">
        <f t="shared" si="0"/>
        <v>7.2922034005896714E-3</v>
      </c>
    </row>
    <row r="31" spans="1:10" s="1" customFormat="1" x14ac:dyDescent="0.2">
      <c r="A31" s="107" t="s">
        <v>100</v>
      </c>
      <c r="B31" s="73">
        <f>C8</f>
        <v>133.13045658018621</v>
      </c>
      <c r="C31" s="34">
        <v>1.1000000000000001E-3</v>
      </c>
      <c r="D31" s="22">
        <f>B31*C31</f>
        <v>0.14644350223820485</v>
      </c>
      <c r="E31" s="73">
        <f>B8</f>
        <v>137.61686727145337</v>
      </c>
      <c r="F31" s="34">
        <v>1.1000000000000001E-3</v>
      </c>
      <c r="G31" s="22">
        <f>E31*F31</f>
        <v>0.15137855399859873</v>
      </c>
      <c r="H31" s="22">
        <f>G31-D31</f>
        <v>4.9350517603938826E-3</v>
      </c>
      <c r="I31" s="23">
        <f t="shared" si="3"/>
        <v>3.3699356304430175E-2</v>
      </c>
      <c r="J31" s="125">
        <f t="shared" si="0"/>
        <v>3.8197255907850666E-3</v>
      </c>
    </row>
    <row r="32" spans="1:10" x14ac:dyDescent="0.2">
      <c r="A32" s="107" t="s">
        <v>44</v>
      </c>
      <c r="B32" s="73">
        <v>1</v>
      </c>
      <c r="C32" s="22">
        <v>0.25</v>
      </c>
      <c r="D32" s="22">
        <f>B32*C32</f>
        <v>0.25</v>
      </c>
      <c r="E32" s="73">
        <f t="shared" si="4"/>
        <v>1</v>
      </c>
      <c r="F32" s="22">
        <f>C32</f>
        <v>0.25</v>
      </c>
      <c r="G32" s="22">
        <f>E32*F32</f>
        <v>0.25</v>
      </c>
      <c r="H32" s="22">
        <f t="shared" si="2"/>
        <v>0</v>
      </c>
      <c r="I32" s="23">
        <f t="shared" si="3"/>
        <v>0</v>
      </c>
      <c r="J32" s="125">
        <f t="shared" si="0"/>
        <v>6.3082343731801415E-3</v>
      </c>
    </row>
    <row r="33" spans="1:10" s="1" customFormat="1" x14ac:dyDescent="0.2">
      <c r="A33" s="110" t="s">
        <v>45</v>
      </c>
      <c r="B33" s="74"/>
      <c r="C33" s="35"/>
      <c r="D33" s="35">
        <f>SUM(D29:D32)</f>
        <v>1.1552871047452662</v>
      </c>
      <c r="E33" s="73"/>
      <c r="F33" s="35"/>
      <c r="G33" s="35">
        <f>SUM(G29:G32)</f>
        <v>1.1857946974458831</v>
      </c>
      <c r="H33" s="35">
        <f t="shared" si="2"/>
        <v>3.050759270061687E-2</v>
      </c>
      <c r="I33" s="36">
        <f t="shared" si="3"/>
        <v>2.6406936055383055E-2</v>
      </c>
      <c r="J33" s="111">
        <f t="shared" si="0"/>
        <v>2.9921083479851462E-2</v>
      </c>
    </row>
    <row r="34" spans="1:10" ht="13.5" thickBot="1" x14ac:dyDescent="0.25">
      <c r="A34" s="112" t="s">
        <v>46</v>
      </c>
      <c r="B34" s="113">
        <f>B4</f>
        <v>126.02277222660564</v>
      </c>
      <c r="C34" s="114">
        <v>7.0000000000000001E-3</v>
      </c>
      <c r="D34" s="115">
        <f>B34*C34</f>
        <v>0.88215940558623951</v>
      </c>
      <c r="E34" s="116">
        <f t="shared" si="4"/>
        <v>126.02277222660564</v>
      </c>
      <c r="F34" s="114">
        <f>C34</f>
        <v>7.0000000000000001E-3</v>
      </c>
      <c r="G34" s="115">
        <f>E34*F34</f>
        <v>0.88215940558623951</v>
      </c>
      <c r="H34" s="115">
        <f t="shared" si="2"/>
        <v>0</v>
      </c>
      <c r="I34" s="117">
        <f t="shared" si="3"/>
        <v>0</v>
      </c>
      <c r="J34" s="118">
        <f t="shared" si="0"/>
        <v>2.2259473139773112E-2</v>
      </c>
    </row>
    <row r="35" spans="1:10" x14ac:dyDescent="0.2">
      <c r="A35" s="37" t="s">
        <v>146</v>
      </c>
      <c r="B35" s="38"/>
      <c r="C35" s="39"/>
      <c r="D35" s="39">
        <f>SUM(D14,D24,D27,D33,D34)</f>
        <v>32.316320230375254</v>
      </c>
      <c r="E35" s="38"/>
      <c r="F35" s="39"/>
      <c r="G35" s="39">
        <f>SUM(G14,G24,G27,G33,G34)</f>
        <v>37.743562462979355</v>
      </c>
      <c r="H35" s="39">
        <f t="shared" si="2"/>
        <v>5.427242232604101</v>
      </c>
      <c r="I35" s="40">
        <f>IF(ISERROR(H35/D35),0,(H35/D35))</f>
        <v>0.16794121960404526</v>
      </c>
      <c r="J35" s="41">
        <f t="shared" si="0"/>
        <v>0.95238095238095233</v>
      </c>
    </row>
    <row r="36" spans="1:10" x14ac:dyDescent="0.2">
      <c r="A36" s="46" t="s">
        <v>138</v>
      </c>
      <c r="B36" s="43"/>
      <c r="C36" s="26">
        <v>0.13</v>
      </c>
      <c r="D36" s="26">
        <f>D35*C36</f>
        <v>4.2011216299487835</v>
      </c>
      <c r="E36" s="26"/>
      <c r="F36" s="26">
        <f>C36</f>
        <v>0.13</v>
      </c>
      <c r="G36" s="26">
        <f>G35*F36</f>
        <v>4.9066631201873161</v>
      </c>
      <c r="H36" s="26">
        <f t="shared" si="2"/>
        <v>0.70554149023853263</v>
      </c>
      <c r="I36" s="44">
        <f t="shared" si="3"/>
        <v>0.16794121960404512</v>
      </c>
      <c r="J36" s="45">
        <f t="shared" si="0"/>
        <v>0.1238095238095238</v>
      </c>
    </row>
    <row r="37" spans="1:10" x14ac:dyDescent="0.2">
      <c r="A37" s="46" t="s">
        <v>139</v>
      </c>
      <c r="B37" s="24"/>
      <c r="C37" s="25"/>
      <c r="D37" s="25">
        <f>SUM(D35:D36)</f>
        <v>36.517441860324041</v>
      </c>
      <c r="E37" s="25"/>
      <c r="F37" s="25"/>
      <c r="G37" s="25">
        <f>SUM(G35:G36)</f>
        <v>42.650225583166673</v>
      </c>
      <c r="H37" s="25">
        <f t="shared" si="2"/>
        <v>6.1327837228426318</v>
      </c>
      <c r="I37" s="27">
        <f t="shared" si="3"/>
        <v>0.16794121960404518</v>
      </c>
      <c r="J37" s="47">
        <f t="shared" si="0"/>
        <v>1.0761904761904761</v>
      </c>
    </row>
    <row r="38" spans="1:10" x14ac:dyDescent="0.2">
      <c r="A38" s="46" t="s">
        <v>140</v>
      </c>
      <c r="B38" s="43"/>
      <c r="C38" s="26">
        <v>-0.08</v>
      </c>
      <c r="D38" s="26">
        <f>D35*C38</f>
        <v>-2.5853056184300205</v>
      </c>
      <c r="E38" s="26"/>
      <c r="F38" s="26">
        <f>C38</f>
        <v>-0.08</v>
      </c>
      <c r="G38" s="26">
        <f>G35*F38</f>
        <v>-3.0194849970383486</v>
      </c>
      <c r="H38" s="26">
        <f t="shared" si="2"/>
        <v>-0.43417937860832811</v>
      </c>
      <c r="I38" s="44">
        <f t="shared" si="3"/>
        <v>0.16794121960404526</v>
      </c>
      <c r="J38" s="45">
        <f t="shared" si="0"/>
        <v>-7.6190476190476183E-2</v>
      </c>
    </row>
    <row r="39" spans="1:10" ht="13.5" thickBot="1" x14ac:dyDescent="0.25">
      <c r="A39" s="46" t="s">
        <v>141</v>
      </c>
      <c r="B39" s="49"/>
      <c r="C39" s="50"/>
      <c r="D39" s="50">
        <f>SUM(D37:D38)</f>
        <v>33.932136241894021</v>
      </c>
      <c r="E39" s="50"/>
      <c r="F39" s="50"/>
      <c r="G39" s="50">
        <f>SUM(G37:G38)</f>
        <v>39.630740586128326</v>
      </c>
      <c r="H39" s="50">
        <f t="shared" si="2"/>
        <v>5.6986043442343046</v>
      </c>
      <c r="I39" s="51">
        <f t="shared" si="3"/>
        <v>0.16794121960404521</v>
      </c>
      <c r="J39" s="52">
        <f t="shared" si="0"/>
        <v>1</v>
      </c>
    </row>
    <row r="40" spans="1:10" x14ac:dyDescent="0.2">
      <c r="D40" s="72"/>
      <c r="F40" s="69"/>
    </row>
    <row r="41" spans="1:10" x14ac:dyDescent="0.2">
      <c r="F41" s="69"/>
    </row>
    <row r="42" spans="1:10" x14ac:dyDescent="0.2">
      <c r="A42" s="70"/>
      <c r="B42" s="71"/>
      <c r="F42" s="69"/>
    </row>
    <row r="43" spans="1:10" x14ac:dyDescent="0.2">
      <c r="B43" s="72"/>
      <c r="D43" s="72"/>
      <c r="F43" s="69"/>
    </row>
    <row r="44" spans="1:10" x14ac:dyDescent="0.2">
      <c r="F44" s="69"/>
    </row>
    <row r="45" spans="1:10" x14ac:dyDescent="0.2">
      <c r="F45" s="69"/>
    </row>
    <row r="46" spans="1:10" x14ac:dyDescent="0.2">
      <c r="F46" s="69"/>
    </row>
    <row r="47" spans="1:10" x14ac:dyDescent="0.2">
      <c r="F47" s="69"/>
    </row>
    <row r="48" spans="1:10" x14ac:dyDescent="0.2">
      <c r="F48" s="69"/>
    </row>
    <row r="49" spans="6:6" x14ac:dyDescent="0.2">
      <c r="F49" s="69"/>
    </row>
    <row r="50" spans="6:6" x14ac:dyDescent="0.2">
      <c r="F50" s="69"/>
    </row>
  </sheetData>
  <mergeCells count="1">
    <mergeCell ref="A1:J1"/>
  </mergeCell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2">
    <pageSetUpPr fitToPage="1"/>
  </sheetPr>
  <dimension ref="A1:J50"/>
  <sheetViews>
    <sheetView topLeftCell="A12" workbookViewId="0">
      <selection activeCell="C19" sqref="C19"/>
    </sheetView>
  </sheetViews>
  <sheetFormatPr defaultRowHeight="12.75" x14ac:dyDescent="0.2"/>
  <cols>
    <col min="1" max="1" width="64.7109375" bestFit="1" customWidth="1"/>
    <col min="2" max="2" width="15.5703125" bestFit="1" customWidth="1"/>
    <col min="3" max="3" width="16.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348" t="s">
        <v>112</v>
      </c>
      <c r="B1" s="349"/>
      <c r="C1" s="349"/>
      <c r="D1" s="349"/>
      <c r="E1" s="349"/>
      <c r="F1" s="349"/>
      <c r="G1" s="349"/>
      <c r="H1" s="349"/>
      <c r="I1" s="349"/>
      <c r="J1" s="350"/>
    </row>
    <row r="3" spans="1:10" x14ac:dyDescent="0.2">
      <c r="A3" s="13" t="s">
        <v>13</v>
      </c>
      <c r="B3" s="13" t="s">
        <v>9</v>
      </c>
      <c r="C3" s="13" t="s">
        <v>124</v>
      </c>
    </row>
    <row r="4" spans="1:10" x14ac:dyDescent="0.2">
      <c r="A4" s="15" t="s">
        <v>62</v>
      </c>
      <c r="B4" s="79">
        <f>'Data for Bill Impacts_HONI Avg '!C54</f>
        <v>131.07998865929491</v>
      </c>
      <c r="C4" s="79">
        <f>B4</f>
        <v>131.07998865929491</v>
      </c>
    </row>
    <row r="5" spans="1:10" x14ac:dyDescent="0.2">
      <c r="A5" s="15" t="s">
        <v>16</v>
      </c>
      <c r="B5" s="15">
        <f>'Data for Bill Impacts'!E10</f>
        <v>0</v>
      </c>
      <c r="C5" s="193">
        <f>'Data for Bill Impacts_HONI Avg '!B54</f>
        <v>0.34019202971725299</v>
      </c>
    </row>
    <row r="6" spans="1:10" x14ac:dyDescent="0.2">
      <c r="A6" s="15" t="s">
        <v>20</v>
      </c>
      <c r="B6" s="15">
        <f>'Data for Bill Impacts'!B10</f>
        <v>1.0920000000000001</v>
      </c>
      <c r="C6" s="15">
        <f>'Data for Bill Impacts'!B32</f>
        <v>1.0654999999999999</v>
      </c>
    </row>
    <row r="7" spans="1:10" x14ac:dyDescent="0.2">
      <c r="A7" s="15" t="s">
        <v>15</v>
      </c>
      <c r="B7" s="15">
        <f>VLOOKUP($B$3,'Data for Bill Impacts'!$A$3:$Y$39,4,0)</f>
        <v>750</v>
      </c>
      <c r="C7" s="79">
        <f>VLOOKUP($C$3,'Data for Bill Impacts'!$A$3:$Y$39,4,0)</f>
        <v>750</v>
      </c>
    </row>
    <row r="8" spans="1:10" x14ac:dyDescent="0.2">
      <c r="A8" s="15" t="s">
        <v>82</v>
      </c>
      <c r="B8" s="193">
        <f>B4*B6</f>
        <v>143.13934761595004</v>
      </c>
      <c r="C8" s="193">
        <f>C4*C6</f>
        <v>139.66572791647872</v>
      </c>
    </row>
    <row r="9" spans="1:10" x14ac:dyDescent="0.2">
      <c r="A9" s="15" t="s">
        <v>21</v>
      </c>
      <c r="B9" s="16" t="str">
        <f>VLOOKUP($B$3,'Data for Bill Impacts'!$A$3:$Y$39,6,0)</f>
        <v>kWh</v>
      </c>
      <c r="C9" s="16" t="str">
        <f>'Data for Bill Impacts'!F32</f>
        <v>kW</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3" t="s">
        <v>29</v>
      </c>
    </row>
    <row r="12" spans="1:10" x14ac:dyDescent="0.2">
      <c r="A12" s="101" t="s">
        <v>31</v>
      </c>
      <c r="B12" s="102">
        <f>IF(C4&gt;C7,C7,C4)</f>
        <v>131.07998865929491</v>
      </c>
      <c r="C12" s="103">
        <v>0.10299999999999999</v>
      </c>
      <c r="D12" s="104">
        <f>B12*C12</f>
        <v>13.501238831907376</v>
      </c>
      <c r="E12" s="102">
        <f>B12</f>
        <v>131.07998865929491</v>
      </c>
      <c r="F12" s="103">
        <f>C12</f>
        <v>0.10299999999999999</v>
      </c>
      <c r="G12" s="104">
        <f>E12*F12</f>
        <v>13.501238831907376</v>
      </c>
      <c r="H12" s="104">
        <f>G12-D12</f>
        <v>0</v>
      </c>
      <c r="I12" s="105">
        <f>IF(ISERROR(H12/D12),0,(H12/D12))</f>
        <v>0</v>
      </c>
      <c r="J12" s="124">
        <f t="shared" ref="J12:J39" si="0">G12/$G$39</f>
        <v>0.32882632296958136</v>
      </c>
    </row>
    <row r="13" spans="1:10" x14ac:dyDescent="0.2">
      <c r="A13" s="107" t="s">
        <v>32</v>
      </c>
      <c r="B13" s="73">
        <f>IF(B4&gt;B7,(B4)-B7,0)</f>
        <v>0</v>
      </c>
      <c r="C13" s="21">
        <v>0.121</v>
      </c>
      <c r="D13" s="22">
        <f>B13*C13</f>
        <v>0</v>
      </c>
      <c r="E13" s="73">
        <f t="shared" ref="E13" si="1">B13</f>
        <v>0</v>
      </c>
      <c r="F13" s="21">
        <f>C13</f>
        <v>0.121</v>
      </c>
      <c r="G13" s="22">
        <f>E13*F13</f>
        <v>0</v>
      </c>
      <c r="H13" s="22">
        <f t="shared" ref="H13:H39" si="2">G13-D13</f>
        <v>0</v>
      </c>
      <c r="I13" s="23">
        <f t="shared" ref="I13:I39" si="3">IF(ISERROR(H13/D13),0,(H13/D13))</f>
        <v>0</v>
      </c>
      <c r="J13" s="125">
        <f t="shared" si="0"/>
        <v>0</v>
      </c>
    </row>
    <row r="14" spans="1:10" s="1" customFormat="1" x14ac:dyDescent="0.2">
      <c r="A14" s="46" t="s">
        <v>33</v>
      </c>
      <c r="B14" s="24"/>
      <c r="C14" s="25"/>
      <c r="D14" s="25">
        <f>SUM(D12:D13)</f>
        <v>13.501238831907376</v>
      </c>
      <c r="E14" s="76"/>
      <c r="F14" s="25"/>
      <c r="G14" s="25">
        <f>SUM(G12:G13)</f>
        <v>13.501238831907376</v>
      </c>
      <c r="H14" s="25">
        <f t="shared" si="2"/>
        <v>0</v>
      </c>
      <c r="I14" s="27">
        <f t="shared" si="3"/>
        <v>0</v>
      </c>
      <c r="J14" s="47">
        <f t="shared" si="0"/>
        <v>0.32882632296958136</v>
      </c>
    </row>
    <row r="15" spans="1:10" x14ac:dyDescent="0.2">
      <c r="A15" s="107" t="s">
        <v>38</v>
      </c>
      <c r="B15" s="73">
        <v>1</v>
      </c>
      <c r="C15" s="122">
        <f>VLOOKUP($C$3,'Data for Bill Impacts'!$A$3:$Y$39,7,0)</f>
        <v>14.23</v>
      </c>
      <c r="D15" s="22">
        <f>B15*C15</f>
        <v>14.23</v>
      </c>
      <c r="E15" s="73">
        <f t="shared" ref="E15:E34" si="4">B15</f>
        <v>1</v>
      </c>
      <c r="F15" s="78">
        <f>VLOOKUP($B$3,'Data for Bill Impacts'!$A$3:$Y$39,17,0)</f>
        <v>3.6</v>
      </c>
      <c r="G15" s="22">
        <f>E15*F15</f>
        <v>3.6</v>
      </c>
      <c r="H15" s="22">
        <f t="shared" si="2"/>
        <v>-10.63</v>
      </c>
      <c r="I15" s="23">
        <f t="shared" si="3"/>
        <v>-0.74701335207308506</v>
      </c>
      <c r="J15" s="125">
        <f t="shared" si="0"/>
        <v>8.7678973568920723E-2</v>
      </c>
    </row>
    <row r="16" spans="1:10" x14ac:dyDescent="0.2">
      <c r="A16" s="107" t="s">
        <v>188</v>
      </c>
      <c r="B16" s="73">
        <v>1</v>
      </c>
      <c r="C16" s="122">
        <f>'Data for Bill Impacts'!K32</f>
        <v>-0.14000000000000001</v>
      </c>
      <c r="D16" s="22">
        <f>B16*C16</f>
        <v>-0.14000000000000001</v>
      </c>
      <c r="E16" s="73">
        <f t="shared" si="4"/>
        <v>1</v>
      </c>
      <c r="F16" s="122">
        <v>0</v>
      </c>
      <c r="G16" s="22">
        <f t="shared" ref="G16:G17" si="5">E16*F16</f>
        <v>0</v>
      </c>
      <c r="H16" s="22">
        <f t="shared" si="2"/>
        <v>0.14000000000000001</v>
      </c>
      <c r="I16" s="23">
        <f t="shared" si="3"/>
        <v>-1</v>
      </c>
      <c r="J16" s="125">
        <f t="shared" si="0"/>
        <v>0</v>
      </c>
    </row>
    <row r="17" spans="1:10" x14ac:dyDescent="0.2">
      <c r="A17" s="107" t="s">
        <v>85</v>
      </c>
      <c r="B17" s="73">
        <v>1</v>
      </c>
      <c r="C17" s="122">
        <f>VLOOKUP($C$3,'Data for Bill Impacts'!$A$3:$Y$39,13,0)</f>
        <v>0</v>
      </c>
      <c r="D17" s="22">
        <f t="shared" ref="D17" si="6">B17*C17</f>
        <v>0</v>
      </c>
      <c r="E17" s="73">
        <f t="shared" si="4"/>
        <v>1</v>
      </c>
      <c r="F17" s="122">
        <f>VLOOKUP($B$3,'Data for Bill Impacts'!$A$3:$Y$39,22,0)</f>
        <v>0</v>
      </c>
      <c r="G17" s="22">
        <f t="shared" si="5"/>
        <v>0</v>
      </c>
      <c r="H17" s="22">
        <f t="shared" si="2"/>
        <v>0</v>
      </c>
      <c r="I17" s="23">
        <f t="shared" si="3"/>
        <v>0</v>
      </c>
      <c r="J17" s="125">
        <f t="shared" si="0"/>
        <v>0</v>
      </c>
    </row>
    <row r="18" spans="1:10" x14ac:dyDescent="0.2">
      <c r="A18" s="107" t="s">
        <v>39</v>
      </c>
      <c r="B18" s="165">
        <f>C5</f>
        <v>0.34019202971725299</v>
      </c>
      <c r="C18" s="128">
        <f>VLOOKUP($C$3,'Data for Bill Impacts'!$A$3:$Y$39,10,0)</f>
        <v>36.726100000000002</v>
      </c>
      <c r="D18" s="22">
        <f>B18*C18</f>
        <v>12.493926502598805</v>
      </c>
      <c r="E18" s="73">
        <f>B4</f>
        <v>131.07998865929491</v>
      </c>
      <c r="F18" s="126">
        <f>VLOOKUP($B$3,'Data for Bill Impacts'!$A$3:$Y$39,19,0)</f>
        <v>0.1338</v>
      </c>
      <c r="G18" s="22">
        <f>E18*F18</f>
        <v>17.538502482613659</v>
      </c>
      <c r="H18" s="22">
        <f t="shared" si="2"/>
        <v>5.0445759800148533</v>
      </c>
      <c r="I18" s="23">
        <f t="shared" si="3"/>
        <v>0.40376225832331841</v>
      </c>
      <c r="J18" s="125">
        <f t="shared" si="0"/>
        <v>0.42715497100320377</v>
      </c>
    </row>
    <row r="19" spans="1:10" x14ac:dyDescent="0.2">
      <c r="A19" s="107" t="s">
        <v>189</v>
      </c>
      <c r="B19" s="165">
        <f>C5</f>
        <v>0.34019202971725299</v>
      </c>
      <c r="C19" s="126">
        <f>'Data for Bill Impacts'!H32</f>
        <v>0.1099</v>
      </c>
      <c r="D19" s="22">
        <f>B19*C19</f>
        <v>3.7387104065926102E-2</v>
      </c>
      <c r="E19" s="73">
        <f>B4</f>
        <v>131.07998865929491</v>
      </c>
      <c r="F19" s="126">
        <v>0</v>
      </c>
      <c r="G19" s="22">
        <f>E19*F19</f>
        <v>0</v>
      </c>
      <c r="H19" s="22">
        <f t="shared" ref="H19" si="7">G19-D19</f>
        <v>-3.7387104065926102E-2</v>
      </c>
      <c r="I19" s="23">
        <f t="shared" ref="I19" si="8">IF(ISERROR(H19/D19),0,(H19/D19))</f>
        <v>-1</v>
      </c>
      <c r="J19" s="125">
        <f t="shared" si="0"/>
        <v>0</v>
      </c>
    </row>
    <row r="20" spans="1:10" x14ac:dyDescent="0.2">
      <c r="A20" s="107" t="s">
        <v>190</v>
      </c>
      <c r="B20" s="165">
        <f>C5</f>
        <v>0.34019202971725299</v>
      </c>
      <c r="C20" s="78">
        <f>'Data for Bill Impacts'!L32</f>
        <v>-0.36730000000000002</v>
      </c>
      <c r="D20" s="22">
        <f>B20*C20</f>
        <v>-0.12495253251514703</v>
      </c>
      <c r="E20" s="73">
        <f>B4</f>
        <v>131.07998865929491</v>
      </c>
      <c r="F20" s="126">
        <v>0</v>
      </c>
      <c r="G20" s="22">
        <f>E20*F20</f>
        <v>0</v>
      </c>
      <c r="H20" s="22">
        <f t="shared" si="2"/>
        <v>0.12495253251514703</v>
      </c>
      <c r="I20" s="23">
        <f>IF(ISERROR(H20/D20),0,(H20/D20))</f>
        <v>-1</v>
      </c>
      <c r="J20" s="125">
        <f t="shared" si="0"/>
        <v>0</v>
      </c>
    </row>
    <row r="21" spans="1:10" s="1" customFormat="1" x14ac:dyDescent="0.2">
      <c r="A21" s="107" t="s">
        <v>194</v>
      </c>
      <c r="B21" s="165">
        <f>C5</f>
        <v>0.34019202971725299</v>
      </c>
      <c r="C21" s="126">
        <f>VLOOKUP($C$3,'Data for Bill Impacts'!$A$3:$Y$39,14,0)</f>
        <v>0</v>
      </c>
      <c r="D21" s="22">
        <f>B21*C21</f>
        <v>0</v>
      </c>
      <c r="E21" s="73">
        <f>B4</f>
        <v>131.07998865929491</v>
      </c>
      <c r="F21" s="126">
        <f>VLOOKUP($B$3,'Data for Bill Impacts'!$A$3:$Y$39,23,0)</f>
        <v>1E-4</v>
      </c>
      <c r="G21" s="22">
        <f>E21*F21</f>
        <v>1.3107998865929492E-2</v>
      </c>
      <c r="H21" s="22">
        <f t="shared" si="2"/>
        <v>1.3107998865929492E-2</v>
      </c>
      <c r="I21" s="23">
        <f>IF(ISERROR(H21/D21),0,(H21/D21))</f>
        <v>0</v>
      </c>
      <c r="J21" s="125">
        <f t="shared" si="0"/>
        <v>3.1924885725202078E-4</v>
      </c>
    </row>
    <row r="22" spans="1:10" x14ac:dyDescent="0.2">
      <c r="A22" s="110" t="s">
        <v>72</v>
      </c>
      <c r="B22" s="74"/>
      <c r="C22" s="35"/>
      <c r="D22" s="35">
        <f>SUM(D15:D21)</f>
        <v>26.496361074149586</v>
      </c>
      <c r="E22" s="73"/>
      <c r="F22" s="35"/>
      <c r="G22" s="35">
        <f>SUM(G15:G21)</f>
        <v>21.15161048147959</v>
      </c>
      <c r="H22" s="35">
        <f t="shared" si="2"/>
        <v>-5.3447505926699961</v>
      </c>
      <c r="I22" s="36">
        <f t="shared" si="3"/>
        <v>-0.20171640089417595</v>
      </c>
      <c r="J22" s="111">
        <f t="shared" si="0"/>
        <v>0.5151531934293766</v>
      </c>
    </row>
    <row r="23" spans="1:10" s="1" customFormat="1" x14ac:dyDescent="0.2">
      <c r="A23" s="119" t="s">
        <v>81</v>
      </c>
      <c r="B23" s="120">
        <f>C8-C4</f>
        <v>8.5857392571838034</v>
      </c>
      <c r="C23" s="225">
        <f>IF(B4&gt;B7,C13,C12)</f>
        <v>0.10299999999999999</v>
      </c>
      <c r="D23" s="22">
        <f>B23*C23</f>
        <v>0.88433114348993169</v>
      </c>
      <c r="E23" s="73">
        <f>B8-B4</f>
        <v>12.059358956655132</v>
      </c>
      <c r="F23" s="225">
        <f>C23</f>
        <v>0.10299999999999999</v>
      </c>
      <c r="G23" s="22">
        <f>E23*F23</f>
        <v>1.2421139725354784</v>
      </c>
      <c r="H23" s="22">
        <f t="shared" si="2"/>
        <v>0.3577828290455467</v>
      </c>
      <c r="I23" s="23">
        <f>IF(ISERROR(H23/D23),0,(H23/D23))</f>
        <v>0.40458015267175779</v>
      </c>
      <c r="J23" s="125">
        <f t="shared" si="0"/>
        <v>3.0252021713201481E-2</v>
      </c>
    </row>
    <row r="24" spans="1:10" x14ac:dyDescent="0.2">
      <c r="A24" s="110" t="s">
        <v>79</v>
      </c>
      <c r="B24" s="166"/>
      <c r="C24" s="35"/>
      <c r="D24" s="35">
        <f>SUM(D22,D23:D23)</f>
        <v>27.380692217639517</v>
      </c>
      <c r="E24" s="73"/>
      <c r="F24" s="35"/>
      <c r="G24" s="35">
        <f>SUM(G22,G23:G23)</f>
        <v>22.393724454015068</v>
      </c>
      <c r="H24" s="35">
        <f t="shared" si="2"/>
        <v>-4.9869677636244489</v>
      </c>
      <c r="I24" s="36">
        <f>IF(ISERROR(H24/D24),0,(H24/D24))</f>
        <v>-0.18213446628685614</v>
      </c>
      <c r="J24" s="111">
        <f t="shared" si="0"/>
        <v>0.545405215142578</v>
      </c>
    </row>
    <row r="25" spans="1:10" x14ac:dyDescent="0.2">
      <c r="A25" s="107" t="s">
        <v>40</v>
      </c>
      <c r="B25" s="165">
        <f>IF($C$9="kWh",$C$8,$C$5)</f>
        <v>0.34019202971725299</v>
      </c>
      <c r="C25" s="126">
        <f>VLOOKUP($C$3,'Data for Bill Impacts'!$A$3:$Y$39,15,0)</f>
        <v>1.8176267636501726</v>
      </c>
      <c r="D25" s="22">
        <f>B25*C25</f>
        <v>0.61834213799455384</v>
      </c>
      <c r="E25" s="73">
        <f>B8</f>
        <v>143.13934761595004</v>
      </c>
      <c r="F25" s="126">
        <f>VLOOKUP($B$3,'Data for Bill Impacts'!$A$3:$Y$39,24,0)</f>
        <v>3.836E-3</v>
      </c>
      <c r="G25" s="22">
        <f>E25*F25</f>
        <v>0.54908253745478441</v>
      </c>
      <c r="H25" s="22">
        <f t="shared" si="2"/>
        <v>-6.9259600539769428E-2</v>
      </c>
      <c r="I25" s="23">
        <f t="shared" si="3"/>
        <v>-0.11200854071565708</v>
      </c>
      <c r="J25" s="125">
        <f t="shared" si="0"/>
        <v>1.3373053691292769E-2</v>
      </c>
    </row>
    <row r="26" spans="1:10" s="1" customFormat="1" x14ac:dyDescent="0.2">
      <c r="A26" s="107" t="s">
        <v>41</v>
      </c>
      <c r="B26" s="165">
        <f>IF($C$9="kWh",$C$8,$C$5)</f>
        <v>0.34019202971725299</v>
      </c>
      <c r="C26" s="126">
        <f>VLOOKUP($C$3,'Data for Bill Impacts'!$A$3:$Y$39,16,0)</f>
        <v>1.5528490729347468</v>
      </c>
      <c r="D26" s="22">
        <f>B26*C26</f>
        <v>0.52826687796622618</v>
      </c>
      <c r="E26" s="73">
        <f>B8</f>
        <v>143.13934761595004</v>
      </c>
      <c r="F26" s="126">
        <f>VLOOKUP($B$3,'Data for Bill Impacts'!$A$3:$Y$39,25,0)</f>
        <v>3.6240000000000001E-3</v>
      </c>
      <c r="G26" s="22">
        <f>E26*F26</f>
        <v>0.51873699576020293</v>
      </c>
      <c r="H26" s="22">
        <f t="shared" si="2"/>
        <v>-9.5298822060232435E-3</v>
      </c>
      <c r="I26" s="23">
        <f t="shared" si="3"/>
        <v>-1.8039901049091554E-2</v>
      </c>
      <c r="J26" s="125">
        <f t="shared" si="0"/>
        <v>1.263397981680005E-2</v>
      </c>
    </row>
    <row r="27" spans="1:10" s="1" customFormat="1" x14ac:dyDescent="0.2">
      <c r="A27" s="110" t="s">
        <v>76</v>
      </c>
      <c r="B27" s="166"/>
      <c r="C27" s="35"/>
      <c r="D27" s="35">
        <f>SUM(D25:D26)</f>
        <v>1.14660901596078</v>
      </c>
      <c r="E27" s="73"/>
      <c r="F27" s="35"/>
      <c r="G27" s="35">
        <f>SUM(G25:G26)</f>
        <v>1.0678195332149873</v>
      </c>
      <c r="H27" s="35">
        <f t="shared" si="2"/>
        <v>-7.8789482745792672E-2</v>
      </c>
      <c r="I27" s="36">
        <f t="shared" si="3"/>
        <v>-6.8715212988075508E-2</v>
      </c>
      <c r="J27" s="111">
        <f t="shared" si="0"/>
        <v>2.6007033508092817E-2</v>
      </c>
    </row>
    <row r="28" spans="1:10" s="1" customFormat="1" x14ac:dyDescent="0.2">
      <c r="A28" s="110" t="s">
        <v>80</v>
      </c>
      <c r="B28" s="74"/>
      <c r="C28" s="35"/>
      <c r="D28" s="35">
        <f>D24+D27</f>
        <v>28.527301233600298</v>
      </c>
      <c r="E28" s="73"/>
      <c r="F28" s="35"/>
      <c r="G28" s="35">
        <f>G24+G27</f>
        <v>23.461543987230055</v>
      </c>
      <c r="H28" s="35">
        <f t="shared" si="2"/>
        <v>-5.0657572463702429</v>
      </c>
      <c r="I28" s="36">
        <f t="shared" si="3"/>
        <v>-0.17757576171992198</v>
      </c>
      <c r="J28" s="111">
        <f t="shared" si="0"/>
        <v>0.57141224865067086</v>
      </c>
    </row>
    <row r="29" spans="1:10" x14ac:dyDescent="0.2">
      <c r="A29" s="107" t="s">
        <v>42</v>
      </c>
      <c r="B29" s="73">
        <f>C8</f>
        <v>139.66572791647872</v>
      </c>
      <c r="C29" s="34">
        <v>3.5999999999999999E-3</v>
      </c>
      <c r="D29" s="22">
        <f>B29*C29</f>
        <v>0.50279662049932339</v>
      </c>
      <c r="E29" s="73">
        <f>B8</f>
        <v>143.13934761595004</v>
      </c>
      <c r="F29" s="34">
        <v>3.5999999999999999E-3</v>
      </c>
      <c r="G29" s="22">
        <f>E29*F29</f>
        <v>0.51530165141742013</v>
      </c>
      <c r="H29" s="22">
        <f t="shared" si="2"/>
        <v>1.2505030918096738E-2</v>
      </c>
      <c r="I29" s="23">
        <f t="shared" si="3"/>
        <v>2.4870952604411082E-2</v>
      </c>
      <c r="J29" s="125">
        <f t="shared" si="0"/>
        <v>1.255031107629144E-2</v>
      </c>
    </row>
    <row r="30" spans="1:10" s="1" customFormat="1" x14ac:dyDescent="0.2">
      <c r="A30" s="107" t="s">
        <v>43</v>
      </c>
      <c r="B30" s="73">
        <f>C8</f>
        <v>139.66572791647872</v>
      </c>
      <c r="C30" s="34">
        <v>2.0999999999999999E-3</v>
      </c>
      <c r="D30" s="22">
        <f>B30*C30</f>
        <v>0.2932980286246053</v>
      </c>
      <c r="E30" s="73">
        <f>B8</f>
        <v>143.13934761595004</v>
      </c>
      <c r="F30" s="34">
        <v>2.0999999999999999E-3</v>
      </c>
      <c r="G30" s="22">
        <f>E30*F30</f>
        <v>0.30059262999349506</v>
      </c>
      <c r="H30" s="22">
        <f>G30-D30</f>
        <v>7.2946013688897637E-3</v>
      </c>
      <c r="I30" s="23">
        <f t="shared" si="3"/>
        <v>2.4870952604411082E-2</v>
      </c>
      <c r="J30" s="125">
        <f t="shared" si="0"/>
        <v>7.3210147945033397E-3</v>
      </c>
    </row>
    <row r="31" spans="1:10" s="1" customFormat="1" x14ac:dyDescent="0.2">
      <c r="A31" s="107" t="s">
        <v>100</v>
      </c>
      <c r="B31" s="73">
        <f>C8</f>
        <v>139.66572791647872</v>
      </c>
      <c r="C31" s="34">
        <v>1.1000000000000001E-3</v>
      </c>
      <c r="D31" s="22">
        <f>B31*C31</f>
        <v>0.15363230070812658</v>
      </c>
      <c r="E31" s="73">
        <f>B8</f>
        <v>143.13934761595004</v>
      </c>
      <c r="F31" s="34">
        <v>1.1000000000000001E-3</v>
      </c>
      <c r="G31" s="22">
        <f>E31*F31</f>
        <v>0.15745328237754505</v>
      </c>
      <c r="H31" s="22">
        <f>G31-D31</f>
        <v>3.8209816694184662E-3</v>
      </c>
      <c r="I31" s="23">
        <f t="shared" si="3"/>
        <v>2.4870952604411203E-2</v>
      </c>
      <c r="J31" s="125">
        <f t="shared" si="0"/>
        <v>3.8348172733112733E-3</v>
      </c>
    </row>
    <row r="32" spans="1:10" x14ac:dyDescent="0.2">
      <c r="A32" s="107" t="s">
        <v>44</v>
      </c>
      <c r="B32" s="73">
        <v>1</v>
      </c>
      <c r="C32" s="22">
        <v>0.25</v>
      </c>
      <c r="D32" s="22">
        <f>B32*C32</f>
        <v>0.25</v>
      </c>
      <c r="E32" s="73">
        <f t="shared" si="4"/>
        <v>1</v>
      </c>
      <c r="F32" s="22">
        <f>C32</f>
        <v>0.25</v>
      </c>
      <c r="G32" s="22">
        <f>E32*F32</f>
        <v>0.25</v>
      </c>
      <c r="H32" s="22">
        <f t="shared" si="2"/>
        <v>0</v>
      </c>
      <c r="I32" s="23">
        <f t="shared" si="3"/>
        <v>0</v>
      </c>
      <c r="J32" s="125">
        <f t="shared" si="0"/>
        <v>6.0888176089528281E-3</v>
      </c>
    </row>
    <row r="33" spans="1:10" s="1" customFormat="1" x14ac:dyDescent="0.2">
      <c r="A33" s="110" t="s">
        <v>45</v>
      </c>
      <c r="B33" s="74"/>
      <c r="C33" s="35"/>
      <c r="D33" s="35">
        <f>SUM(D29:D32)</f>
        <v>1.1997269498320553</v>
      </c>
      <c r="E33" s="73"/>
      <c r="F33" s="35"/>
      <c r="G33" s="35">
        <f>SUM(G29:G32)</f>
        <v>1.2233475637884603</v>
      </c>
      <c r="H33" s="35">
        <f t="shared" si="2"/>
        <v>2.3620613956405023E-2</v>
      </c>
      <c r="I33" s="36">
        <f t="shared" si="3"/>
        <v>1.9688324880683537E-2</v>
      </c>
      <c r="J33" s="111">
        <f t="shared" si="0"/>
        <v>2.9794960753058881E-2</v>
      </c>
    </row>
    <row r="34" spans="1:10" ht="13.5" thickBot="1" x14ac:dyDescent="0.25">
      <c r="A34" s="112" t="s">
        <v>46</v>
      </c>
      <c r="B34" s="113">
        <f>B4</f>
        <v>131.07998865929491</v>
      </c>
      <c r="C34" s="114">
        <v>7.0000000000000001E-3</v>
      </c>
      <c r="D34" s="115">
        <f>B34*C34</f>
        <v>0.91755992061506442</v>
      </c>
      <c r="E34" s="116">
        <f t="shared" si="4"/>
        <v>131.07998865929491</v>
      </c>
      <c r="F34" s="114">
        <f>C34</f>
        <v>7.0000000000000001E-3</v>
      </c>
      <c r="G34" s="115">
        <f>E34*F34</f>
        <v>0.91755992061506442</v>
      </c>
      <c r="H34" s="115">
        <f t="shared" si="2"/>
        <v>0</v>
      </c>
      <c r="I34" s="117">
        <f t="shared" si="3"/>
        <v>0</v>
      </c>
      <c r="J34" s="118">
        <f t="shared" si="0"/>
        <v>2.2347420007641453E-2</v>
      </c>
    </row>
    <row r="35" spans="1:10" x14ac:dyDescent="0.2">
      <c r="A35" s="37" t="s">
        <v>146</v>
      </c>
      <c r="B35" s="38"/>
      <c r="C35" s="39"/>
      <c r="D35" s="39">
        <f>SUM(D14,D24,D27,D33,D34)</f>
        <v>44.145826935954787</v>
      </c>
      <c r="E35" s="38"/>
      <c r="F35" s="39"/>
      <c r="G35" s="39">
        <f>SUM(G14,G24,G27,G33,G34)</f>
        <v>39.103690303540951</v>
      </c>
      <c r="H35" s="39">
        <f t="shared" si="2"/>
        <v>-5.0421366324138361</v>
      </c>
      <c r="I35" s="40">
        <f>IF(ISERROR(H35/D35),0,(H35/D35))</f>
        <v>-0.11421547589829477</v>
      </c>
      <c r="J35" s="41">
        <f t="shared" si="0"/>
        <v>0.95238095238095244</v>
      </c>
    </row>
    <row r="36" spans="1:10" x14ac:dyDescent="0.2">
      <c r="A36" s="46" t="s">
        <v>138</v>
      </c>
      <c r="B36" s="43"/>
      <c r="C36" s="26">
        <v>0.13</v>
      </c>
      <c r="D36" s="26">
        <f>D35*C36</f>
        <v>5.7389575016741228</v>
      </c>
      <c r="E36" s="26"/>
      <c r="F36" s="26">
        <f>C36</f>
        <v>0.13</v>
      </c>
      <c r="G36" s="26">
        <f>G35*F36</f>
        <v>5.0834797394603237</v>
      </c>
      <c r="H36" s="26">
        <f t="shared" si="2"/>
        <v>-0.65547776221379905</v>
      </c>
      <c r="I36" s="44">
        <f t="shared" si="3"/>
        <v>-0.11421547589829482</v>
      </c>
      <c r="J36" s="45">
        <f t="shared" si="0"/>
        <v>0.12380952380952381</v>
      </c>
    </row>
    <row r="37" spans="1:10" x14ac:dyDescent="0.2">
      <c r="A37" s="46" t="s">
        <v>139</v>
      </c>
      <c r="B37" s="24"/>
      <c r="C37" s="25"/>
      <c r="D37" s="25">
        <f>SUM(D35:D36)</f>
        <v>49.884784437628909</v>
      </c>
      <c r="E37" s="25"/>
      <c r="F37" s="25"/>
      <c r="G37" s="25">
        <f>SUM(G35:G36)</f>
        <v>44.187170043001274</v>
      </c>
      <c r="H37" s="25">
        <f t="shared" si="2"/>
        <v>-5.6976143946276352</v>
      </c>
      <c r="I37" s="27">
        <f t="shared" si="3"/>
        <v>-0.11421547589829478</v>
      </c>
      <c r="J37" s="47">
        <f t="shared" si="0"/>
        <v>1.0761904761904761</v>
      </c>
    </row>
    <row r="38" spans="1:10" x14ac:dyDescent="0.2">
      <c r="A38" s="46" t="s">
        <v>140</v>
      </c>
      <c r="B38" s="43"/>
      <c r="C38" s="26">
        <v>-0.08</v>
      </c>
      <c r="D38" s="26">
        <f>D35*C38</f>
        <v>-3.5316661548763832</v>
      </c>
      <c r="E38" s="26"/>
      <c r="F38" s="26">
        <f>C38</f>
        <v>-0.08</v>
      </c>
      <c r="G38" s="26">
        <f>G35*F38</f>
        <v>-3.128295224283276</v>
      </c>
      <c r="H38" s="26">
        <f t="shared" si="2"/>
        <v>0.40337093059310725</v>
      </c>
      <c r="I38" s="44">
        <f t="shared" si="3"/>
        <v>-0.11421547589829487</v>
      </c>
      <c r="J38" s="45">
        <f t="shared" si="0"/>
        <v>-7.6190476190476197E-2</v>
      </c>
    </row>
    <row r="39" spans="1:10" ht="13.5" thickBot="1" x14ac:dyDescent="0.25">
      <c r="A39" s="46" t="s">
        <v>141</v>
      </c>
      <c r="B39" s="49"/>
      <c r="C39" s="50"/>
      <c r="D39" s="50">
        <f>SUM(D37:D38)</f>
        <v>46.353118282752526</v>
      </c>
      <c r="E39" s="50"/>
      <c r="F39" s="50"/>
      <c r="G39" s="50">
        <f>SUM(G37:G38)</f>
        <v>41.058874818717996</v>
      </c>
      <c r="H39" s="50">
        <f t="shared" si="2"/>
        <v>-5.2942434640345297</v>
      </c>
      <c r="I39" s="51">
        <f t="shared" si="3"/>
        <v>-0.11421547589829481</v>
      </c>
      <c r="J39" s="52">
        <f t="shared" si="0"/>
        <v>1</v>
      </c>
    </row>
    <row r="40" spans="1:10" x14ac:dyDescent="0.2">
      <c r="D40" s="72"/>
      <c r="F40" s="69"/>
    </row>
    <row r="41" spans="1:10" x14ac:dyDescent="0.2">
      <c r="F41" s="69"/>
    </row>
    <row r="42" spans="1:10" x14ac:dyDescent="0.2">
      <c r="A42" s="70"/>
      <c r="B42" s="71"/>
      <c r="F42" s="69"/>
    </row>
    <row r="43" spans="1:10" x14ac:dyDescent="0.2">
      <c r="B43" s="72"/>
      <c r="D43" s="72"/>
      <c r="F43" s="69"/>
    </row>
    <row r="44" spans="1:10" x14ac:dyDescent="0.2">
      <c r="F44" s="69"/>
    </row>
    <row r="45" spans="1:10" x14ac:dyDescent="0.2">
      <c r="F45" s="69"/>
    </row>
    <row r="46" spans="1:10" x14ac:dyDescent="0.2">
      <c r="F46" s="69"/>
    </row>
    <row r="47" spans="1:10" x14ac:dyDescent="0.2">
      <c r="F47" s="69"/>
    </row>
    <row r="48" spans="1:10" x14ac:dyDescent="0.2">
      <c r="F48" s="69"/>
    </row>
    <row r="49" spans="6:6" x14ac:dyDescent="0.2">
      <c r="F49" s="69"/>
    </row>
    <row r="50" spans="6:6" x14ac:dyDescent="0.2">
      <c r="F50" s="69"/>
    </row>
  </sheetData>
  <mergeCells count="1">
    <mergeCell ref="A1:J1"/>
  </mergeCells>
  <pageMargins left="0.7" right="0.7" top="0.75" bottom="0.75" header="0.3" footer="0.3"/>
  <pageSetup paperSize="17" orientation="landscape" r:id="rId1"/>
  <headerFooter>
    <oddHeader>&amp;RFiled: 2017-03-31
EB-2017-0049
Exhibit H1-4-1
Attachment 4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ydro_x0020_One_x0020_Data_x0020_Classification xmlns="f0af1d65-dfd0-4b99-b523-def3a954563f">Internal Use (Only Internal information is not for release to the public)</Hydro_x0020_One_x0020_Data_x0020_Classification>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0789A69331B447AA2C2A71A86A707D" ma:contentTypeVersion="0" ma:contentTypeDescription="Create a new document." ma:contentTypeScope="" ma:versionID="5399c839dd5a5c59d7d22ddc485bff23">
  <xsd:schema xmlns:xsd="http://www.w3.org/2001/XMLSchema" xmlns:xs="http://www.w3.org/2001/XMLSchema" xmlns:p="http://schemas.microsoft.com/office/2006/metadata/properties" xmlns:ns2="f0af1d65-dfd0-4b99-b523-def3a954563f" targetNamespace="http://schemas.microsoft.com/office/2006/metadata/properties" ma:root="true" ma:fieldsID="44cfc60566d61e9babd1b11f9b704ff8" ns2:_="">
    <xsd:import namespace="f0af1d65-dfd0-4b99-b523-def3a954563f"/>
    <xsd:element name="properties">
      <xsd:complexType>
        <xsd:sequence>
          <xsd:element name="documentManagement">
            <xsd:complexType>
              <xsd:all>
                <xsd:element ref="ns2:Hydro_x0020_One_x0020_Data_x0020_Classification"/>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8" ma:displayName="Hydro One Data Classification" ma:default="Internal Use (Only Internal information is not for release to the public)" ma:description="Use these options to classify the data you are uploading onto the site. Any questions please contact BIT security team" ma:format="RadioButtons" ma:hidden="true" ma:internalName="Hydro_x0020_One_x0020_Data_x0020_Classification" ma:readOnly="false">
      <xsd:simpleType>
        <xsd:restriction base="dms:Choice">
          <xsd:enumeration value="Internal Use (Only Internal information is not for release to the public)"/>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AC6BE1-9A59-40DE-9582-4CCC9B192A3C}">
  <ds:schemaRefs>
    <ds:schemaRef ds:uri="http://purl.org/dc/terms/"/>
    <ds:schemaRef ds:uri="http://schemas.microsoft.com/office/infopath/2007/PartnerControls"/>
    <ds:schemaRef ds:uri="f0af1d65-dfd0-4b99-b523-def3a954563f"/>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1E0F8657-8D3E-46DD-A561-06B9E556AA1B}">
  <ds:schemaRefs>
    <ds:schemaRef ds:uri="http://schemas.microsoft.com/sharepoint/v3/contenttype/forms"/>
  </ds:schemaRefs>
</ds:datastoreItem>
</file>

<file path=customXml/itemProps3.xml><?xml version="1.0" encoding="utf-8"?>
<ds:datastoreItem xmlns:ds="http://schemas.openxmlformats.org/officeDocument/2006/customXml" ds:itemID="{27DE1033-909C-42DA-8390-693B734A12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af1d65-dfd0-4b99-b523-def3a95456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93</vt:i4>
      </vt:variant>
      <vt:variant>
        <vt:lpstr>Named Ranges</vt:lpstr>
      </vt:variant>
      <vt:variant>
        <vt:i4>1</vt:i4>
      </vt:variant>
    </vt:vector>
  </HeadingPairs>
  <TitlesOfParts>
    <vt:vector size="94" baseType="lpstr">
      <vt:lpstr>Data for Bill Impacts</vt:lpstr>
      <vt:lpstr>Data for Bill Impacts_HONI Avg </vt:lpstr>
      <vt:lpstr>Bill Impact Summary_HONI</vt:lpstr>
      <vt:lpstr>Bill Impact Summary_Acq</vt:lpstr>
      <vt:lpstr>BI_UR_Low</vt:lpstr>
      <vt:lpstr>BI_UR_Typical</vt:lpstr>
      <vt:lpstr>BI_UR_Avg</vt:lpstr>
      <vt:lpstr>BI_UR_High</vt:lpstr>
      <vt:lpstr>BI_R1_Low</vt:lpstr>
      <vt:lpstr>BI_R1_Typical</vt:lpstr>
      <vt:lpstr>BI_R1_Avg</vt:lpstr>
      <vt:lpstr>BI_R1_High</vt:lpstr>
      <vt:lpstr>BI_R2_Low</vt:lpstr>
      <vt:lpstr>BI_R2_Typical</vt:lpstr>
      <vt:lpstr>BI_R2_Avg</vt:lpstr>
      <vt:lpstr>BI_R2_High</vt:lpstr>
      <vt:lpstr>BI_Seas_Low</vt:lpstr>
      <vt:lpstr>BI_Seas_Typical</vt:lpstr>
      <vt:lpstr>BI_Seas_Avg</vt:lpstr>
      <vt:lpstr>BI_Seas_High</vt:lpstr>
      <vt:lpstr>BI_UGe_Low</vt:lpstr>
      <vt:lpstr>BI_UGe_Typical</vt:lpstr>
      <vt:lpstr>BI_UGe_Avg</vt:lpstr>
      <vt:lpstr>BI_UGe_High</vt:lpstr>
      <vt:lpstr>BI_GSe_Low</vt:lpstr>
      <vt:lpstr>BI_GSe_Typical</vt:lpstr>
      <vt:lpstr>BI_GSe_Avg</vt:lpstr>
      <vt:lpstr>BI_GSe_High</vt:lpstr>
      <vt:lpstr>BI_UGd_Low</vt:lpstr>
      <vt:lpstr>BI_UGd_Avg</vt:lpstr>
      <vt:lpstr>BI_UGd_High</vt:lpstr>
      <vt:lpstr>BI_GSd_Low</vt:lpstr>
      <vt:lpstr>BI_GSd_Avg</vt:lpstr>
      <vt:lpstr>BI_GSd_High</vt:lpstr>
      <vt:lpstr>BI_DGen_Low</vt:lpstr>
      <vt:lpstr>BI_DGen_Avg</vt:lpstr>
      <vt:lpstr>BI_DGen_High</vt:lpstr>
      <vt:lpstr>BI_ST_Low</vt:lpstr>
      <vt:lpstr>BI_ST_Avg</vt:lpstr>
      <vt:lpstr>BI_ST_High</vt:lpstr>
      <vt:lpstr>BI_USL_Low</vt:lpstr>
      <vt:lpstr>BI_USL_Avg</vt:lpstr>
      <vt:lpstr>BI_USL_High</vt:lpstr>
      <vt:lpstr>BI_SenLgt_Low</vt:lpstr>
      <vt:lpstr>BI_SenLgt_Avg</vt:lpstr>
      <vt:lpstr>BI_SenLgt_High</vt:lpstr>
      <vt:lpstr>BI_StLgt_Low</vt:lpstr>
      <vt:lpstr>BI_StLgt_Avg</vt:lpstr>
      <vt:lpstr>BI_StLgt_High</vt:lpstr>
      <vt:lpstr>BI_AUR_Low</vt:lpstr>
      <vt:lpstr>BI_AUR_Avg</vt:lpstr>
      <vt:lpstr>BI_AUR_Typical</vt:lpstr>
      <vt:lpstr>BI_AUR_High</vt:lpstr>
      <vt:lpstr>BI_AUGE_Low</vt:lpstr>
      <vt:lpstr>BI_AUGE_Avg</vt:lpstr>
      <vt:lpstr>BI_AUGE_Typical</vt:lpstr>
      <vt:lpstr>BI_AUGE_High</vt:lpstr>
      <vt:lpstr>BI_AUGd_Low</vt:lpstr>
      <vt:lpstr>BI_AUGd_Avg</vt:lpstr>
      <vt:lpstr>BI_AUGd_High</vt:lpstr>
      <vt:lpstr>WHSI_BI_ST_Low</vt:lpstr>
      <vt:lpstr>WHSI_BI_ST_Avg</vt:lpstr>
      <vt:lpstr>WHSI_BI_ST_High</vt:lpstr>
      <vt:lpstr>NPDI_BI_AR_Low</vt:lpstr>
      <vt:lpstr>NPDI_BI_AR_Avg</vt:lpstr>
      <vt:lpstr>NPDI_BI_AR_Typical</vt:lpstr>
      <vt:lpstr>NPDI_BI_AR_High</vt:lpstr>
      <vt:lpstr>HCHI_BI_AR_Low</vt:lpstr>
      <vt:lpstr>HCHI_BI_AR_Avg</vt:lpstr>
      <vt:lpstr>HCHI_BI_AR_Typical</vt:lpstr>
      <vt:lpstr>HCHI_BI_AR_High</vt:lpstr>
      <vt:lpstr>NPDI_BI_AGSE_Low</vt:lpstr>
      <vt:lpstr>NPDI_BI_AGSE_Avg</vt:lpstr>
      <vt:lpstr>NPDI_BI_AGSE_Typical</vt:lpstr>
      <vt:lpstr>NPDI_BI_AGSE_High</vt:lpstr>
      <vt:lpstr>HCHI_BI_AGSE_Low</vt:lpstr>
      <vt:lpstr>HCHI_BI_AGSE_Avg</vt:lpstr>
      <vt:lpstr>HCHI_BI_AGSE_Typical</vt:lpstr>
      <vt:lpstr>HCHI_BI_AGSE_High</vt:lpstr>
      <vt:lpstr>NPDI_BI_AGSD_Low</vt:lpstr>
      <vt:lpstr>NPDI_BI_AGSd_Avg</vt:lpstr>
      <vt:lpstr>NPDI_BI_AGSd_High</vt:lpstr>
      <vt:lpstr>HCHI_BI_AGSd_Low</vt:lpstr>
      <vt:lpstr>HCHI_BI_AGSd_Avg</vt:lpstr>
      <vt:lpstr>HCHI_BI_AGSd_High</vt:lpstr>
      <vt:lpstr>WHSI_BI_USL_Avg</vt:lpstr>
      <vt:lpstr>NPDI_BI_USL_Avg</vt:lpstr>
      <vt:lpstr>HCHI_BI_USL_Avg</vt:lpstr>
      <vt:lpstr>WHSI_BI_St Lgt_Avg</vt:lpstr>
      <vt:lpstr>NPDI_BI_St Lgt_Avg</vt:lpstr>
      <vt:lpstr>HCHI_BI_St Lgt_Avg</vt:lpstr>
      <vt:lpstr>NPDI_BI_SenLgt_Avg</vt:lpstr>
      <vt:lpstr>HCHI_BI_SenLgt_Avg</vt:lpstr>
      <vt:lpstr>'Bill Impact Summary_HONI'!Print_Area</vt:lpstr>
    </vt:vector>
  </TitlesOfParts>
  <Company>Hydro One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SHETH Nikita</dc:creator>
  <cp:lastModifiedBy>GAUVREAU Diane</cp:lastModifiedBy>
  <cp:lastPrinted>2017-05-02T21:31:55Z</cp:lastPrinted>
  <dcterms:created xsi:type="dcterms:W3CDTF">2013-09-20T18:49:19Z</dcterms:created>
  <dcterms:modified xsi:type="dcterms:W3CDTF">2017-05-03T15:26:38Z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0x010100050789A69331B447AA2C2A71A86A707D</vt:lpwstr>
  </property>
</Properties>
</file>