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270" yWindow="-105" windowWidth="13455" windowHeight="11220" tabRatio="942"/>
  </bookViews>
  <sheets>
    <sheet name="Data for Bill Impacts" sheetId="3" r:id="rId1"/>
    <sheet name="Data for Bill Impacts_HONI Avg " sheetId="167" r:id="rId2"/>
    <sheet name="Bill Impact Summary" sheetId="7" r:id="rId3"/>
    <sheet name="BI_UR_Low" sheetId="4" r:id="rId4"/>
    <sheet name="BI_UR_Typical" sheetId="46" r:id="rId5"/>
    <sheet name="BI_UR_Avg" sheetId="180" r:id="rId6"/>
    <sheet name="BI_UR_High" sheetId="47" r:id="rId7"/>
    <sheet name="BI_R1_Low" sheetId="48" r:id="rId8"/>
    <sheet name="BI_R1_Typical" sheetId="49" r:id="rId9"/>
    <sheet name="BI_R1_Avg" sheetId="182" r:id="rId10"/>
    <sheet name="BI_R1_High" sheetId="50" r:id="rId11"/>
    <sheet name="BI_R2_Low" sheetId="51" r:id="rId12"/>
    <sheet name="BI_R2_Typical" sheetId="52" r:id="rId13"/>
    <sheet name="BI_R2_Avg" sheetId="181" r:id="rId14"/>
    <sheet name="BI_R2_High" sheetId="53" r:id="rId15"/>
    <sheet name="BI_Seas_Low" sheetId="54" r:id="rId16"/>
    <sheet name="BI_Seas_Typical" sheetId="104" r:id="rId17"/>
    <sheet name="BI_Seas_Avg" sheetId="168" r:id="rId18"/>
    <sheet name="BI_Seas_High" sheetId="56" r:id="rId19"/>
    <sheet name="BI_UGe_Low" sheetId="60" r:id="rId20"/>
    <sheet name="BI_UGe_Typical" sheetId="61" r:id="rId21"/>
    <sheet name="BI_UGe_Avg" sheetId="183" r:id="rId22"/>
    <sheet name="BI_UGe_High" sheetId="62" r:id="rId23"/>
    <sheet name="BI_GSe_Low" sheetId="57" r:id="rId24"/>
    <sheet name="BI_GSe_Typical" sheetId="58" r:id="rId25"/>
    <sheet name="BI_GSe_Avg" sheetId="184" r:id="rId26"/>
    <sheet name="BI_GSe_High" sheetId="59" r:id="rId27"/>
    <sheet name="BI_UGd_Low" sheetId="73" r:id="rId28"/>
    <sheet name="BI_UGd_Avg" sheetId="170" r:id="rId29"/>
    <sheet name="BI_UGd_High" sheetId="75" r:id="rId30"/>
    <sheet name="BI_GSd_Low" sheetId="5" r:id="rId31"/>
    <sheet name="BI_GSd_Avg" sheetId="171" r:id="rId32"/>
    <sheet name="BI_GSd_High" sheetId="72" r:id="rId33"/>
    <sheet name="BI_DGen_Low" sheetId="76" r:id="rId34"/>
    <sheet name="BI_DGen_Avg" sheetId="172" r:id="rId35"/>
    <sheet name="BI_DGen_High" sheetId="78" r:id="rId36"/>
    <sheet name="BI_ST_Low" sheetId="79" r:id="rId37"/>
    <sheet name="BI_ST_Avg" sheetId="173" r:id="rId38"/>
    <sheet name="BI_ST_High" sheetId="81" r:id="rId39"/>
    <sheet name="BI_USL_Low" sheetId="68" r:id="rId40"/>
    <sheet name="BI_USL_Avg" sheetId="175" r:id="rId41"/>
    <sheet name="BI_USL_High" sheetId="70" r:id="rId42"/>
    <sheet name="BI_SenLgt_Low" sheetId="65" r:id="rId43"/>
    <sheet name="BI_SenLgt_Avg" sheetId="174" r:id="rId44"/>
    <sheet name="BI_SenLgt_High" sheetId="67" r:id="rId45"/>
    <sheet name="BI_StLgt_Low" sheetId="25" r:id="rId46"/>
    <sheet name="BI_StLgt_Avg" sheetId="169" r:id="rId47"/>
    <sheet name="BI_StLgt_High" sheetId="64" r:id="rId48"/>
    <sheet name="BI_AUR_Low" sheetId="200" r:id="rId49"/>
    <sheet name="BI_AUR_Typical" sheetId="201" r:id="rId50"/>
    <sheet name="BI_AUR_Avg" sheetId="202" r:id="rId51"/>
    <sheet name="BI_AUR_High" sheetId="203" r:id="rId52"/>
    <sheet name="BI_AR_Low" sheetId="204" r:id="rId53"/>
    <sheet name="BI_AR_Typical" sheetId="205" r:id="rId54"/>
    <sheet name="BI_AR_Avg" sheetId="206" r:id="rId55"/>
    <sheet name="BI_AR_High" sheetId="207" r:id="rId56"/>
    <sheet name="BI_AUGe_Low" sheetId="208" r:id="rId57"/>
    <sheet name="BI_AUGe_Typical" sheetId="209" r:id="rId58"/>
    <sheet name="BI_AUGe_Avg" sheetId="210" r:id="rId59"/>
    <sheet name="BI_AUGe_High" sheetId="211" r:id="rId60"/>
    <sheet name="BI_AGSe_Low" sheetId="212" r:id="rId61"/>
    <sheet name="BI_AGSe_Typical" sheetId="213" r:id="rId62"/>
    <sheet name="BI_AGSe_Avg" sheetId="214" r:id="rId63"/>
    <sheet name="BI_AGSe_High" sheetId="215" r:id="rId64"/>
    <sheet name="BI_AUGd_Low" sheetId="216" r:id="rId65"/>
    <sheet name="BI_AUGd_Avg" sheetId="218" r:id="rId66"/>
    <sheet name="BI_AUGd_High" sheetId="219" r:id="rId67"/>
    <sheet name="BI_AGSd_Low" sheetId="220" r:id="rId68"/>
    <sheet name="BI_AGSd_Avg" sheetId="222" r:id="rId69"/>
    <sheet name="BI_AGSd_High" sheetId="223" r:id="rId70"/>
  </sheets>
  <externalReferences>
    <externalReference r:id="rId71"/>
    <externalReference r:id="rId72"/>
    <externalReference r:id="rId73"/>
    <externalReference r:id="rId74"/>
    <externalReference r:id="rId75"/>
    <externalReference r:id="rId76"/>
  </externalReferences>
  <definedNames>
    <definedName name="_xlnm.Print_Area" localSheetId="2">'Bill Impact Summary'!$A$1:$I$68</definedName>
  </definedNames>
  <calcPr calcId="145621"/>
</workbook>
</file>

<file path=xl/calcChain.xml><?xml version="1.0" encoding="utf-8"?>
<calcChain xmlns="http://schemas.openxmlformats.org/spreadsheetml/2006/main">
  <c r="S15" i="3" l="1"/>
  <c r="Q15" i="3"/>
  <c r="C47" i="7" l="1"/>
  <c r="T15" i="3" l="1"/>
  <c r="T14" i="3"/>
  <c r="T13" i="3"/>
  <c r="T12" i="3"/>
  <c r="T11" i="3"/>
  <c r="T10" i="3"/>
  <c r="T9" i="3"/>
  <c r="T8" i="3"/>
  <c r="T7" i="3"/>
  <c r="T6" i="3"/>
  <c r="T5" i="3"/>
  <c r="T4" i="3"/>
  <c r="T3" i="3"/>
  <c r="N21" i="3"/>
  <c r="M21" i="3"/>
  <c r="N20" i="3"/>
  <c r="M20" i="3"/>
  <c r="N19" i="3"/>
  <c r="M19" i="3"/>
  <c r="N18" i="3"/>
  <c r="M18" i="3"/>
  <c r="N17" i="3"/>
  <c r="M17" i="3"/>
  <c r="N16" i="3"/>
  <c r="M16" i="3"/>
  <c r="N15" i="3"/>
  <c r="M15" i="3"/>
  <c r="N14" i="3"/>
  <c r="M14" i="3"/>
  <c r="N13" i="3"/>
  <c r="M13" i="3"/>
  <c r="N12" i="3"/>
  <c r="M12" i="3"/>
  <c r="N11" i="3"/>
  <c r="M11" i="3"/>
  <c r="N10" i="3"/>
  <c r="M10" i="3"/>
  <c r="N9" i="3"/>
  <c r="M9" i="3"/>
  <c r="N8" i="3"/>
  <c r="M8" i="3"/>
  <c r="N7" i="3"/>
  <c r="M7" i="3"/>
  <c r="N6" i="3"/>
  <c r="M6" i="3"/>
  <c r="N5" i="3"/>
  <c r="M5" i="3"/>
  <c r="N4" i="3"/>
  <c r="M4" i="3"/>
  <c r="N3" i="3"/>
  <c r="M3" i="3"/>
  <c r="E44" i="167"/>
  <c r="D44" i="167"/>
  <c r="C44" i="167"/>
  <c r="A44" i="167"/>
  <c r="E43" i="167"/>
  <c r="D43" i="167"/>
  <c r="C43" i="167"/>
  <c r="A43" i="167"/>
  <c r="E42" i="167"/>
  <c r="D42" i="167"/>
  <c r="C42" i="167"/>
  <c r="A42" i="167"/>
  <c r="E41" i="167"/>
  <c r="D41" i="167"/>
  <c r="C41" i="167"/>
  <c r="A41" i="167"/>
  <c r="E40" i="167"/>
  <c r="D40" i="167"/>
  <c r="C40" i="167"/>
  <c r="A40" i="167"/>
  <c r="E39" i="167"/>
  <c r="D39" i="167"/>
  <c r="C39" i="167"/>
  <c r="A39" i="167"/>
  <c r="D38" i="167"/>
  <c r="C38" i="167"/>
  <c r="A38" i="167"/>
  <c r="E37" i="167"/>
  <c r="D37" i="167"/>
  <c r="C37" i="167"/>
  <c r="A37" i="167"/>
  <c r="E36" i="167"/>
  <c r="D36" i="167"/>
  <c r="C36" i="167"/>
  <c r="A36" i="167"/>
  <c r="E35" i="167"/>
  <c r="D35" i="167"/>
  <c r="C35" i="167"/>
  <c r="A35" i="167"/>
  <c r="E34" i="167"/>
  <c r="D34" i="167"/>
  <c r="C34" i="167"/>
  <c r="A34" i="167"/>
  <c r="E33" i="167"/>
  <c r="D33" i="167"/>
  <c r="C33" i="167"/>
  <c r="A33" i="167"/>
  <c r="E32" i="167"/>
  <c r="D32" i="167"/>
  <c r="C32" i="167"/>
  <c r="A32" i="167"/>
  <c r="E31" i="167"/>
  <c r="D31" i="167"/>
  <c r="C31" i="167"/>
  <c r="A31" i="167"/>
  <c r="E30" i="167"/>
  <c r="D30" i="167"/>
  <c r="C30" i="167"/>
  <c r="A30" i="167"/>
  <c r="E29" i="167"/>
  <c r="D29" i="167"/>
  <c r="C29" i="167"/>
  <c r="A29" i="167"/>
  <c r="E28" i="167"/>
  <c r="D28" i="167"/>
  <c r="C28" i="167"/>
  <c r="A28" i="167"/>
  <c r="E27" i="167"/>
  <c r="D27" i="167"/>
  <c r="C27" i="167"/>
  <c r="A27" i="167"/>
  <c r="E26" i="167"/>
  <c r="D26" i="167"/>
  <c r="C26" i="167"/>
  <c r="A26" i="167"/>
  <c r="E25" i="167"/>
  <c r="D25" i="167"/>
  <c r="C25" i="167"/>
  <c r="E21" i="167"/>
  <c r="C21" i="167"/>
  <c r="C20" i="167"/>
  <c r="C19" i="167"/>
  <c r="E18" i="167"/>
  <c r="C18" i="167"/>
  <c r="C17" i="167"/>
  <c r="C16" i="167"/>
  <c r="E15" i="167"/>
  <c r="C15" i="167"/>
  <c r="E14" i="167"/>
  <c r="C14" i="167"/>
  <c r="E13" i="167"/>
  <c r="C13" i="167"/>
  <c r="E12" i="167"/>
  <c r="C12" i="167"/>
  <c r="C11" i="167"/>
  <c r="C10" i="167"/>
  <c r="C9" i="167"/>
  <c r="C8" i="167"/>
  <c r="C7" i="167"/>
  <c r="C6" i="167"/>
  <c r="C5" i="167"/>
  <c r="C4" i="167"/>
  <c r="C3" i="167"/>
  <c r="Y9" i="3"/>
  <c r="X9" i="3"/>
  <c r="Y21" i="3"/>
  <c r="X21" i="3"/>
  <c r="Y20" i="3"/>
  <c r="X20" i="3"/>
  <c r="Y19" i="3"/>
  <c r="X19" i="3"/>
  <c r="Y18" i="3"/>
  <c r="X18" i="3"/>
  <c r="Y17" i="3"/>
  <c r="X17" i="3"/>
  <c r="Y16" i="3"/>
  <c r="X16" i="3"/>
  <c r="Y15" i="3"/>
  <c r="X15" i="3"/>
  <c r="Y14" i="3"/>
  <c r="X14" i="3"/>
  <c r="Y13" i="3"/>
  <c r="X13" i="3"/>
  <c r="Y12" i="3"/>
  <c r="X12" i="3"/>
  <c r="Y11" i="3"/>
  <c r="X11" i="3"/>
  <c r="Y8" i="3"/>
  <c r="X8" i="3"/>
  <c r="Y7" i="3"/>
  <c r="X7" i="3"/>
  <c r="Y6" i="3"/>
  <c r="X6" i="3"/>
  <c r="Y5" i="3"/>
  <c r="X5" i="3"/>
  <c r="Y4" i="3"/>
  <c r="X4" i="3"/>
  <c r="Y3" i="3"/>
  <c r="X3" i="3"/>
  <c r="D68" i="7" l="1"/>
  <c r="C68" i="7"/>
  <c r="D66" i="7"/>
  <c r="C66" i="7"/>
  <c r="D26" i="7"/>
  <c r="D27" i="7"/>
  <c r="D28" i="7"/>
  <c r="C65" i="7"/>
  <c r="C63" i="7"/>
  <c r="C62" i="7"/>
  <c r="D57" i="7"/>
  <c r="C57" i="7"/>
  <c r="D55" i="7"/>
  <c r="C55" i="7"/>
  <c r="D31" i="7"/>
  <c r="D30" i="7"/>
  <c r="D29" i="7"/>
  <c r="C54" i="7"/>
  <c r="C52" i="7"/>
  <c r="C51" i="7"/>
  <c r="C61" i="7"/>
  <c r="C59" i="7"/>
  <c r="C58" i="7"/>
  <c r="C50" i="7"/>
  <c r="C48" i="7"/>
  <c r="C31" i="7"/>
  <c r="C29" i="7"/>
  <c r="C28" i="7"/>
  <c r="C26" i="7"/>
  <c r="C25" i="7"/>
  <c r="C22" i="7"/>
  <c r="C21" i="7"/>
  <c r="C19" i="7"/>
  <c r="C18" i="7"/>
  <c r="C17" i="7"/>
  <c r="C15" i="7"/>
  <c r="C14" i="7"/>
  <c r="C13" i="7"/>
  <c r="C11" i="7"/>
  <c r="C10" i="7"/>
  <c r="C9" i="7"/>
  <c r="C7" i="7"/>
  <c r="C6" i="7"/>
  <c r="C5" i="7"/>
  <c r="C3" i="7"/>
  <c r="C2" i="7"/>
  <c r="C22" i="218"/>
  <c r="F18" i="218"/>
  <c r="C18" i="218"/>
  <c r="D18" i="218" s="1"/>
  <c r="C17" i="218"/>
  <c r="D17" i="218" s="1"/>
  <c r="B8" i="218"/>
  <c r="B6" i="218"/>
  <c r="C21" i="219"/>
  <c r="C20" i="219"/>
  <c r="D20" i="219" s="1"/>
  <c r="F18" i="219"/>
  <c r="C18" i="219"/>
  <c r="D18" i="219" s="1"/>
  <c r="F17" i="219"/>
  <c r="C17" i="219"/>
  <c r="D17" i="219" s="1"/>
  <c r="B8" i="219"/>
  <c r="B6" i="219"/>
  <c r="B9" i="219" s="1"/>
  <c r="B21" i="219" s="1"/>
  <c r="C22" i="220"/>
  <c r="F18" i="220"/>
  <c r="G18" i="220" s="1"/>
  <c r="C18" i="220"/>
  <c r="D18" i="220" s="1"/>
  <c r="C17" i="220"/>
  <c r="D17" i="220" s="1"/>
  <c r="H17" i="220" s="1"/>
  <c r="I17" i="220" s="1"/>
  <c r="B8" i="220"/>
  <c r="B6" i="220"/>
  <c r="B9" i="220" s="1"/>
  <c r="C22" i="222"/>
  <c r="F18" i="222"/>
  <c r="G18" i="222" s="1"/>
  <c r="C18" i="222"/>
  <c r="D18" i="222" s="1"/>
  <c r="C17" i="222"/>
  <c r="D17" i="222" s="1"/>
  <c r="B8" i="222"/>
  <c r="B6" i="222"/>
  <c r="C22" i="223"/>
  <c r="F20" i="223"/>
  <c r="G20" i="223" s="1"/>
  <c r="C20" i="223"/>
  <c r="F18" i="223"/>
  <c r="G18" i="223" s="1"/>
  <c r="C18" i="223"/>
  <c r="D18" i="223" s="1"/>
  <c r="F17" i="223"/>
  <c r="G17" i="223" s="1"/>
  <c r="C17" i="223"/>
  <c r="D17" i="223" s="1"/>
  <c r="B8" i="223"/>
  <c r="B6" i="223"/>
  <c r="B9" i="223" s="1"/>
  <c r="C22" i="216"/>
  <c r="F18" i="216"/>
  <c r="C18" i="216"/>
  <c r="D18" i="216" s="1"/>
  <c r="C17" i="216"/>
  <c r="D17" i="216" s="1"/>
  <c r="B8" i="216"/>
  <c r="B6" i="216"/>
  <c r="B9" i="216" s="1"/>
  <c r="B28" i="216" s="1"/>
  <c r="F37" i="223"/>
  <c r="F35" i="223"/>
  <c r="F33" i="223"/>
  <c r="B33" i="223"/>
  <c r="F31" i="223"/>
  <c r="E31" i="223"/>
  <c r="G31" i="223" s="1"/>
  <c r="D31" i="223"/>
  <c r="B25" i="223"/>
  <c r="B24" i="223"/>
  <c r="E24" i="223" s="1"/>
  <c r="B21" i="223"/>
  <c r="B20" i="223"/>
  <c r="E20" i="223" s="1"/>
  <c r="E19" i="223"/>
  <c r="E18" i="223"/>
  <c r="E17" i="223"/>
  <c r="E16" i="223"/>
  <c r="F14" i="223"/>
  <c r="E14" i="223"/>
  <c r="G14" i="223" s="1"/>
  <c r="D14" i="223"/>
  <c r="F13" i="223"/>
  <c r="B7" i="223"/>
  <c r="F35" i="222"/>
  <c r="F33" i="222"/>
  <c r="G31" i="222"/>
  <c r="F31" i="222"/>
  <c r="E31" i="222"/>
  <c r="D31" i="222"/>
  <c r="E19" i="222"/>
  <c r="E18" i="222"/>
  <c r="G17" i="222"/>
  <c r="E17" i="222"/>
  <c r="E16" i="222"/>
  <c r="G14" i="222"/>
  <c r="F14" i="222"/>
  <c r="E14" i="222"/>
  <c r="D14" i="222"/>
  <c r="F13" i="222"/>
  <c r="F37" i="220"/>
  <c r="F35" i="220"/>
  <c r="F33" i="220"/>
  <c r="B33" i="220"/>
  <c r="G31" i="220"/>
  <c r="F31" i="220"/>
  <c r="E31" i="220"/>
  <c r="D31" i="220"/>
  <c r="H31" i="220" s="1"/>
  <c r="I31" i="220" s="1"/>
  <c r="B25" i="220"/>
  <c r="B24" i="220"/>
  <c r="E24" i="220" s="1"/>
  <c r="B21" i="220"/>
  <c r="B20" i="220"/>
  <c r="E20" i="220" s="1"/>
  <c r="E19" i="220"/>
  <c r="E18" i="220"/>
  <c r="G17" i="220"/>
  <c r="E17" i="220"/>
  <c r="E16" i="220"/>
  <c r="G14" i="220"/>
  <c r="F14" i="220"/>
  <c r="E14" i="220"/>
  <c r="D14" i="220"/>
  <c r="F13" i="220"/>
  <c r="B7" i="220"/>
  <c r="F37" i="219"/>
  <c r="F35" i="219"/>
  <c r="F33" i="219"/>
  <c r="B33" i="219"/>
  <c r="D33" i="219" s="1"/>
  <c r="F31" i="219"/>
  <c r="G31" i="219" s="1"/>
  <c r="H31" i="219" s="1"/>
  <c r="I31" i="219" s="1"/>
  <c r="E31" i="219"/>
  <c r="D31" i="219"/>
  <c r="B25" i="219"/>
  <c r="B24" i="219"/>
  <c r="E24" i="219" s="1"/>
  <c r="E22" i="219"/>
  <c r="B22" i="219"/>
  <c r="B20" i="219"/>
  <c r="E20" i="219" s="1"/>
  <c r="E19" i="219"/>
  <c r="E18" i="219"/>
  <c r="E17" i="219"/>
  <c r="E16" i="219"/>
  <c r="F14" i="219"/>
  <c r="E14" i="219"/>
  <c r="G14" i="219" s="1"/>
  <c r="D14" i="219"/>
  <c r="F13" i="219"/>
  <c r="B7" i="219"/>
  <c r="F37" i="218"/>
  <c r="F35" i="218"/>
  <c r="F33" i="218"/>
  <c r="H31" i="218"/>
  <c r="I31" i="218" s="1"/>
  <c r="F31" i="218"/>
  <c r="E31" i="218"/>
  <c r="G31" i="218" s="1"/>
  <c r="D31" i="218"/>
  <c r="E19" i="218"/>
  <c r="E18" i="218"/>
  <c r="G17" i="218"/>
  <c r="E17" i="218"/>
  <c r="E16" i="218"/>
  <c r="F14" i="218"/>
  <c r="E14" i="218"/>
  <c r="G14" i="218" s="1"/>
  <c r="D14" i="218"/>
  <c r="F13" i="218"/>
  <c r="F37" i="216"/>
  <c r="F35" i="216"/>
  <c r="F33" i="216"/>
  <c r="E33" i="216"/>
  <c r="G33" i="216" s="1"/>
  <c r="D33" i="216"/>
  <c r="B33" i="216"/>
  <c r="F31" i="216"/>
  <c r="E31" i="216"/>
  <c r="G31" i="216" s="1"/>
  <c r="D31" i="216"/>
  <c r="E25" i="216"/>
  <c r="B25" i="216"/>
  <c r="B24" i="216"/>
  <c r="E24" i="216" s="1"/>
  <c r="E21" i="216"/>
  <c r="B21" i="216"/>
  <c r="B20" i="216"/>
  <c r="E20" i="216" s="1"/>
  <c r="E19" i="216"/>
  <c r="E18" i="216"/>
  <c r="G17" i="216"/>
  <c r="E17" i="216"/>
  <c r="E16" i="216"/>
  <c r="F14" i="216"/>
  <c r="E14" i="216"/>
  <c r="G14" i="216" s="1"/>
  <c r="D14" i="216"/>
  <c r="F13" i="216"/>
  <c r="B7" i="216"/>
  <c r="F26" i="208"/>
  <c r="G26" i="208" s="1"/>
  <c r="C26" i="208"/>
  <c r="D26" i="208" s="1"/>
  <c r="F21" i="208"/>
  <c r="G21" i="208" s="1"/>
  <c r="C21" i="208"/>
  <c r="D21" i="208" s="1"/>
  <c r="C20" i="208"/>
  <c r="D20" i="208" s="1"/>
  <c r="B9" i="208"/>
  <c r="B23" i="208" s="1"/>
  <c r="B7" i="208"/>
  <c r="C27" i="208" s="1"/>
  <c r="F27" i="208" s="1"/>
  <c r="B6" i="208"/>
  <c r="B8" i="208" s="1"/>
  <c r="B5" i="208"/>
  <c r="F26" i="210"/>
  <c r="G26" i="210" s="1"/>
  <c r="C26" i="210"/>
  <c r="D26" i="210" s="1"/>
  <c r="F21" i="210"/>
  <c r="G21" i="210" s="1"/>
  <c r="C21" i="210"/>
  <c r="D21" i="210" s="1"/>
  <c r="C20" i="210"/>
  <c r="D20" i="210" s="1"/>
  <c r="B9" i="210"/>
  <c r="B7" i="210"/>
  <c r="B6" i="210"/>
  <c r="B5" i="210"/>
  <c r="F26" i="211"/>
  <c r="G26" i="211" s="1"/>
  <c r="C26" i="211"/>
  <c r="D26" i="211" s="1"/>
  <c r="F21" i="211"/>
  <c r="G21" i="211" s="1"/>
  <c r="C21" i="211"/>
  <c r="D21" i="211" s="1"/>
  <c r="C20" i="211"/>
  <c r="D20" i="211" s="1"/>
  <c r="B9" i="211"/>
  <c r="B7" i="211"/>
  <c r="C27" i="211" s="1"/>
  <c r="F27" i="211" s="1"/>
  <c r="B6" i="211"/>
  <c r="B8" i="211" s="1"/>
  <c r="B5" i="211"/>
  <c r="F26" i="212"/>
  <c r="G26" i="212" s="1"/>
  <c r="C26" i="212"/>
  <c r="D26" i="212" s="1"/>
  <c r="F21" i="212"/>
  <c r="G21" i="212" s="1"/>
  <c r="C21" i="212"/>
  <c r="D21" i="212" s="1"/>
  <c r="C20" i="212"/>
  <c r="D20" i="212" s="1"/>
  <c r="B9" i="212"/>
  <c r="B7" i="212"/>
  <c r="C27" i="212" s="1"/>
  <c r="F27" i="212" s="1"/>
  <c r="B6" i="212"/>
  <c r="B8" i="212" s="1"/>
  <c r="B38" i="212" s="1"/>
  <c r="B5" i="212"/>
  <c r="F26" i="213"/>
  <c r="G26" i="213" s="1"/>
  <c r="C26" i="213"/>
  <c r="D26" i="213" s="1"/>
  <c r="F21" i="213"/>
  <c r="G21" i="213" s="1"/>
  <c r="C21" i="213"/>
  <c r="D21" i="213" s="1"/>
  <c r="C20" i="213"/>
  <c r="D20" i="213" s="1"/>
  <c r="B9" i="213"/>
  <c r="B23" i="213" s="1"/>
  <c r="E23" i="213" s="1"/>
  <c r="B7" i="213"/>
  <c r="C27" i="213" s="1"/>
  <c r="F27" i="213" s="1"/>
  <c r="B6" i="213"/>
  <c r="B8" i="213" s="1"/>
  <c r="B31" i="213" s="1"/>
  <c r="B5" i="213"/>
  <c r="F26" i="214"/>
  <c r="G26" i="214" s="1"/>
  <c r="C26" i="214"/>
  <c r="D26" i="214" s="1"/>
  <c r="F21" i="214"/>
  <c r="G21" i="214" s="1"/>
  <c r="C21" i="214"/>
  <c r="D21" i="214" s="1"/>
  <c r="C20" i="214"/>
  <c r="D20" i="214" s="1"/>
  <c r="B9" i="214"/>
  <c r="B7" i="214"/>
  <c r="B6" i="214"/>
  <c r="B5" i="214"/>
  <c r="F26" i="215"/>
  <c r="G26" i="215" s="1"/>
  <c r="C26" i="215"/>
  <c r="D26" i="215" s="1"/>
  <c r="F21" i="215"/>
  <c r="G21" i="215" s="1"/>
  <c r="C21" i="215"/>
  <c r="D21" i="215" s="1"/>
  <c r="C20" i="215"/>
  <c r="D20" i="215" s="1"/>
  <c r="H20" i="215" s="1"/>
  <c r="I20" i="215" s="1"/>
  <c r="B9" i="215"/>
  <c r="B23" i="215" s="1"/>
  <c r="E23" i="215" s="1"/>
  <c r="B7" i="215"/>
  <c r="C27" i="215" s="1"/>
  <c r="F27" i="215" s="1"/>
  <c r="B6" i="215"/>
  <c r="B8" i="215" s="1"/>
  <c r="B5" i="215"/>
  <c r="F26" i="209"/>
  <c r="G26" i="209" s="1"/>
  <c r="C26" i="209"/>
  <c r="D26" i="209" s="1"/>
  <c r="F21" i="209"/>
  <c r="C21" i="209"/>
  <c r="D21" i="209" s="1"/>
  <c r="C20" i="209"/>
  <c r="D20" i="209" s="1"/>
  <c r="B9" i="209"/>
  <c r="B23" i="209" s="1"/>
  <c r="B7" i="209"/>
  <c r="C27" i="209" s="1"/>
  <c r="F27" i="209" s="1"/>
  <c r="B6" i="209"/>
  <c r="B8" i="209" s="1"/>
  <c r="B5" i="209"/>
  <c r="F50" i="215"/>
  <c r="F48" i="215"/>
  <c r="F45" i="215"/>
  <c r="F43" i="215"/>
  <c r="F41" i="215"/>
  <c r="B41" i="215"/>
  <c r="F39" i="215"/>
  <c r="G39" i="215" s="1"/>
  <c r="E39" i="215"/>
  <c r="D39" i="215"/>
  <c r="C28" i="215"/>
  <c r="F28" i="215" s="1"/>
  <c r="E22" i="215"/>
  <c r="E21" i="215"/>
  <c r="G20" i="215"/>
  <c r="E20" i="215"/>
  <c r="E19" i="215"/>
  <c r="F17" i="215"/>
  <c r="E17" i="215"/>
  <c r="G17" i="215" s="1"/>
  <c r="H17" i="215" s="1"/>
  <c r="I17" i="215" s="1"/>
  <c r="D17" i="215"/>
  <c r="B17" i="215"/>
  <c r="F16" i="215"/>
  <c r="E16" i="215"/>
  <c r="G16" i="215" s="1"/>
  <c r="H16" i="215" s="1"/>
  <c r="I16" i="215" s="1"/>
  <c r="D16" i="215"/>
  <c r="B16" i="215"/>
  <c r="F15" i="215"/>
  <c r="E15" i="215"/>
  <c r="G15" i="215" s="1"/>
  <c r="D15" i="215"/>
  <c r="D18" i="215" s="1"/>
  <c r="B15" i="215"/>
  <c r="F13" i="215"/>
  <c r="F12" i="215"/>
  <c r="F50" i="214"/>
  <c r="F48" i="214"/>
  <c r="F45" i="214"/>
  <c r="F43" i="214"/>
  <c r="F41" i="214"/>
  <c r="F39" i="214"/>
  <c r="E39" i="214"/>
  <c r="G39" i="214" s="1"/>
  <c r="D39" i="214"/>
  <c r="F28" i="214"/>
  <c r="C28" i="214"/>
  <c r="E22" i="214"/>
  <c r="E21" i="214"/>
  <c r="E20" i="214"/>
  <c r="G20" i="214" s="1"/>
  <c r="E19" i="214"/>
  <c r="F17" i="214"/>
  <c r="F16" i="214"/>
  <c r="F15" i="214"/>
  <c r="F13" i="214"/>
  <c r="F12" i="214"/>
  <c r="F50" i="213"/>
  <c r="F48" i="213"/>
  <c r="F45" i="213"/>
  <c r="F43" i="213"/>
  <c r="H41" i="213"/>
  <c r="I41" i="213" s="1"/>
  <c r="F41" i="213"/>
  <c r="E41" i="213"/>
  <c r="G41" i="213" s="1"/>
  <c r="D41" i="213"/>
  <c r="B41" i="213"/>
  <c r="G39" i="213"/>
  <c r="F39" i="213"/>
  <c r="E39" i="213"/>
  <c r="D39" i="213"/>
  <c r="F28" i="213"/>
  <c r="C28" i="213"/>
  <c r="E22" i="213"/>
  <c r="E21" i="213"/>
  <c r="E20" i="213"/>
  <c r="G20" i="213" s="1"/>
  <c r="E19" i="213"/>
  <c r="F17" i="213"/>
  <c r="D17" i="213"/>
  <c r="B17" i="213"/>
  <c r="E17" i="213" s="1"/>
  <c r="F16" i="213"/>
  <c r="D16" i="213"/>
  <c r="B16" i="213"/>
  <c r="E16" i="213" s="1"/>
  <c r="F15" i="213"/>
  <c r="D15" i="213"/>
  <c r="D18" i="213" s="1"/>
  <c r="B15" i="213"/>
  <c r="E15" i="213" s="1"/>
  <c r="F13" i="213"/>
  <c r="F12" i="213"/>
  <c r="F50" i="212"/>
  <c r="F48" i="212"/>
  <c r="F45" i="212"/>
  <c r="F43" i="212"/>
  <c r="F41" i="212"/>
  <c r="B41" i="212"/>
  <c r="F39" i="212"/>
  <c r="G39" i="212" s="1"/>
  <c r="H39" i="212" s="1"/>
  <c r="I39" i="212" s="1"/>
  <c r="E39" i="212"/>
  <c r="D39" i="212"/>
  <c r="C28" i="212"/>
  <c r="F28" i="212" s="1"/>
  <c r="E22" i="212"/>
  <c r="E21" i="212"/>
  <c r="G20" i="212"/>
  <c r="E20" i="212"/>
  <c r="E19" i="212"/>
  <c r="F17" i="212"/>
  <c r="E17" i="212"/>
  <c r="G17" i="212" s="1"/>
  <c r="B17" i="212"/>
  <c r="D17" i="212" s="1"/>
  <c r="F16" i="212"/>
  <c r="E16" i="212"/>
  <c r="G16" i="212" s="1"/>
  <c r="B16" i="212"/>
  <c r="D16" i="212" s="1"/>
  <c r="F15" i="212"/>
  <c r="B15" i="212"/>
  <c r="D15" i="212" s="1"/>
  <c r="F13" i="212"/>
  <c r="F12" i="212"/>
  <c r="F50" i="211"/>
  <c r="F48" i="211"/>
  <c r="F45" i="211"/>
  <c r="F43" i="211"/>
  <c r="F41" i="211"/>
  <c r="D41" i="211"/>
  <c r="B41" i="211"/>
  <c r="E41" i="211" s="1"/>
  <c r="G41" i="211" s="1"/>
  <c r="F39" i="211"/>
  <c r="E39" i="211"/>
  <c r="G39" i="211" s="1"/>
  <c r="D39" i="211"/>
  <c r="C28" i="211"/>
  <c r="F28" i="211" s="1"/>
  <c r="E22" i="211"/>
  <c r="E21" i="211"/>
  <c r="G20" i="211"/>
  <c r="E20" i="211"/>
  <c r="E19" i="211"/>
  <c r="F17" i="211"/>
  <c r="E17" i="211"/>
  <c r="G17" i="211" s="1"/>
  <c r="B17" i="211"/>
  <c r="D17" i="211" s="1"/>
  <c r="F16" i="211"/>
  <c r="E16" i="211"/>
  <c r="G16" i="211" s="1"/>
  <c r="B16" i="211"/>
  <c r="D16" i="211" s="1"/>
  <c r="F15" i="211"/>
  <c r="E15" i="211"/>
  <c r="G15" i="211" s="1"/>
  <c r="B15" i="211"/>
  <c r="D15" i="211" s="1"/>
  <c r="D18" i="211" s="1"/>
  <c r="F13" i="211"/>
  <c r="F12" i="211"/>
  <c r="F50" i="210"/>
  <c r="F48" i="210"/>
  <c r="F45" i="210"/>
  <c r="F43" i="210"/>
  <c r="F41" i="210"/>
  <c r="F39" i="210"/>
  <c r="E39" i="210"/>
  <c r="G39" i="210" s="1"/>
  <c r="D39" i="210"/>
  <c r="C28" i="210"/>
  <c r="F28" i="210" s="1"/>
  <c r="E22" i="210"/>
  <c r="E21" i="210"/>
  <c r="G20" i="210"/>
  <c r="E20" i="210"/>
  <c r="E19" i="210"/>
  <c r="F17" i="210"/>
  <c r="F16" i="210"/>
  <c r="F15" i="210"/>
  <c r="F13" i="210"/>
  <c r="F12" i="210"/>
  <c r="F50" i="209"/>
  <c r="F48" i="209"/>
  <c r="F45" i="209"/>
  <c r="F43" i="209"/>
  <c r="G41" i="209"/>
  <c r="H41" i="209" s="1"/>
  <c r="I41" i="209" s="1"/>
  <c r="F41" i="209"/>
  <c r="D41" i="209"/>
  <c r="B41" i="209"/>
  <c r="E41" i="209" s="1"/>
  <c r="G39" i="209"/>
  <c r="H39" i="209" s="1"/>
  <c r="I39" i="209" s="1"/>
  <c r="F39" i="209"/>
  <c r="E39" i="209"/>
  <c r="D39" i="209"/>
  <c r="C28" i="209"/>
  <c r="F28" i="209" s="1"/>
  <c r="E22" i="209"/>
  <c r="E21" i="209"/>
  <c r="G20" i="209"/>
  <c r="E20" i="209"/>
  <c r="E19" i="209"/>
  <c r="F17" i="209"/>
  <c r="B17" i="209"/>
  <c r="F16" i="209"/>
  <c r="B16" i="209"/>
  <c r="F15" i="209"/>
  <c r="B15" i="209"/>
  <c r="F13" i="209"/>
  <c r="F12" i="209"/>
  <c r="F50" i="208"/>
  <c r="F48" i="208"/>
  <c r="F45" i="208"/>
  <c r="F43" i="208"/>
  <c r="F41" i="208"/>
  <c r="E41" i="208"/>
  <c r="G41" i="208" s="1"/>
  <c r="H41" i="208" s="1"/>
  <c r="I41" i="208" s="1"/>
  <c r="D41" i="208"/>
  <c r="B41" i="208"/>
  <c r="G39" i="208"/>
  <c r="F39" i="208"/>
  <c r="E39" i="208"/>
  <c r="D39" i="208"/>
  <c r="C28" i="208"/>
  <c r="F28" i="208" s="1"/>
  <c r="E22" i="208"/>
  <c r="E21" i="208"/>
  <c r="G20" i="208"/>
  <c r="E20" i="208"/>
  <c r="E19" i="208"/>
  <c r="F17" i="208"/>
  <c r="B17" i="208"/>
  <c r="F16" i="208"/>
  <c r="B16" i="208"/>
  <c r="F15" i="208"/>
  <c r="B15" i="208"/>
  <c r="F13" i="208"/>
  <c r="F12" i="208"/>
  <c r="F26" i="201"/>
  <c r="G26" i="201" s="1"/>
  <c r="C26" i="201"/>
  <c r="D26" i="201" s="1"/>
  <c r="F21" i="201"/>
  <c r="C21" i="201"/>
  <c r="D21" i="201" s="1"/>
  <c r="C20" i="201"/>
  <c r="D20" i="201" s="1"/>
  <c r="B9" i="201"/>
  <c r="B24" i="201" s="1"/>
  <c r="E24" i="201" s="1"/>
  <c r="B7" i="201"/>
  <c r="C27" i="201" s="1"/>
  <c r="F27" i="201" s="1"/>
  <c r="B6" i="201"/>
  <c r="B8" i="201" s="1"/>
  <c r="B5" i="201"/>
  <c r="F26" i="202"/>
  <c r="G26" i="202" s="1"/>
  <c r="C26" i="202"/>
  <c r="D26" i="202" s="1"/>
  <c r="F21" i="202"/>
  <c r="C21" i="202"/>
  <c r="D21" i="202" s="1"/>
  <c r="C20" i="202"/>
  <c r="D20" i="202" s="1"/>
  <c r="B9" i="202"/>
  <c r="B7" i="202"/>
  <c r="B6" i="202"/>
  <c r="B5" i="202"/>
  <c r="F26" i="203"/>
  <c r="G26" i="203" s="1"/>
  <c r="C26" i="203"/>
  <c r="D26" i="203" s="1"/>
  <c r="F21" i="203"/>
  <c r="G21" i="203" s="1"/>
  <c r="C21" i="203"/>
  <c r="D21" i="203" s="1"/>
  <c r="C20" i="203"/>
  <c r="D20" i="203" s="1"/>
  <c r="H20" i="203" s="1"/>
  <c r="I20" i="203" s="1"/>
  <c r="B9" i="203"/>
  <c r="B24" i="203" s="1"/>
  <c r="B7" i="203"/>
  <c r="B12" i="203" s="1"/>
  <c r="E12" i="203" s="1"/>
  <c r="G12" i="203" s="1"/>
  <c r="B6" i="203"/>
  <c r="B8" i="203" s="1"/>
  <c r="B5" i="203"/>
  <c r="F26" i="204"/>
  <c r="G26" i="204" s="1"/>
  <c r="C26" i="204"/>
  <c r="D26" i="204" s="1"/>
  <c r="F21" i="204"/>
  <c r="C21" i="204"/>
  <c r="D21" i="204" s="1"/>
  <c r="C20" i="204"/>
  <c r="D20" i="204" s="1"/>
  <c r="B9" i="204"/>
  <c r="B24" i="204" s="1"/>
  <c r="B7" i="204"/>
  <c r="C27" i="204" s="1"/>
  <c r="F27" i="204" s="1"/>
  <c r="B6" i="204"/>
  <c r="B8" i="204" s="1"/>
  <c r="B5" i="204"/>
  <c r="F26" i="205"/>
  <c r="G26" i="205" s="1"/>
  <c r="C26" i="205"/>
  <c r="D26" i="205" s="1"/>
  <c r="F21" i="205"/>
  <c r="C21" i="205"/>
  <c r="D21" i="205" s="1"/>
  <c r="C20" i="205"/>
  <c r="D20" i="205" s="1"/>
  <c r="B9" i="205"/>
  <c r="B7" i="205"/>
  <c r="C27" i="205" s="1"/>
  <c r="F27" i="205" s="1"/>
  <c r="B6" i="205"/>
  <c r="B8" i="205" s="1"/>
  <c r="B38" i="205" s="1"/>
  <c r="B5" i="205"/>
  <c r="F26" i="206"/>
  <c r="G26" i="206" s="1"/>
  <c r="C26" i="206"/>
  <c r="D26" i="206" s="1"/>
  <c r="F21" i="206"/>
  <c r="C21" i="206"/>
  <c r="D21" i="206" s="1"/>
  <c r="C20" i="206"/>
  <c r="D20" i="206" s="1"/>
  <c r="B9" i="206"/>
  <c r="B7" i="206"/>
  <c r="B6" i="206"/>
  <c r="B5" i="206"/>
  <c r="F26" i="207"/>
  <c r="G26" i="207" s="1"/>
  <c r="C26" i="207"/>
  <c r="D26" i="207" s="1"/>
  <c r="F21" i="207"/>
  <c r="G21" i="207" s="1"/>
  <c r="C21" i="207"/>
  <c r="D21" i="207" s="1"/>
  <c r="C20" i="207"/>
  <c r="D20" i="207" s="1"/>
  <c r="H20" i="207" s="1"/>
  <c r="I20" i="207" s="1"/>
  <c r="B9" i="207"/>
  <c r="B23" i="207" s="1"/>
  <c r="E23" i="207" s="1"/>
  <c r="B7" i="207"/>
  <c r="C27" i="207" s="1"/>
  <c r="F27" i="207" s="1"/>
  <c r="B6" i="207"/>
  <c r="B8" i="207" s="1"/>
  <c r="B5" i="207"/>
  <c r="F26" i="200"/>
  <c r="G26" i="200" s="1"/>
  <c r="C26" i="200"/>
  <c r="D26" i="200" s="1"/>
  <c r="F21" i="200"/>
  <c r="G21" i="200" s="1"/>
  <c r="C21" i="200"/>
  <c r="D21" i="200" s="1"/>
  <c r="C20" i="200"/>
  <c r="D20" i="200" s="1"/>
  <c r="H20" i="200" s="1"/>
  <c r="I20" i="200" s="1"/>
  <c r="B9" i="200"/>
  <c r="B24" i="200" s="1"/>
  <c r="B7" i="200"/>
  <c r="C27" i="200" s="1"/>
  <c r="F27" i="200" s="1"/>
  <c r="B6" i="200"/>
  <c r="B8" i="200" s="1"/>
  <c r="B5" i="200"/>
  <c r="F50" i="207"/>
  <c r="F48" i="207"/>
  <c r="F45" i="207"/>
  <c r="F43" i="207"/>
  <c r="F41" i="207"/>
  <c r="B41" i="207"/>
  <c r="F39" i="207"/>
  <c r="G39" i="207" s="1"/>
  <c r="E39" i="207"/>
  <c r="D39" i="207"/>
  <c r="C28" i="207"/>
  <c r="F28" i="207" s="1"/>
  <c r="E22" i="207"/>
  <c r="E21" i="207"/>
  <c r="G20" i="207"/>
  <c r="E20" i="207"/>
  <c r="E19" i="207"/>
  <c r="F17" i="207"/>
  <c r="D17" i="207"/>
  <c r="B17" i="207"/>
  <c r="E17" i="207" s="1"/>
  <c r="F16" i="207"/>
  <c r="D16" i="207"/>
  <c r="B16" i="207"/>
  <c r="E16" i="207" s="1"/>
  <c r="F15" i="207"/>
  <c r="D15" i="207"/>
  <c r="D18" i="207" s="1"/>
  <c r="B15" i="207"/>
  <c r="E15" i="207" s="1"/>
  <c r="F13" i="207"/>
  <c r="F12" i="207"/>
  <c r="F50" i="206"/>
  <c r="F48" i="206"/>
  <c r="F45" i="206"/>
  <c r="F43" i="206"/>
  <c r="F41" i="206"/>
  <c r="F39" i="206"/>
  <c r="E39" i="206"/>
  <c r="G39" i="206" s="1"/>
  <c r="D39" i="206"/>
  <c r="F28" i="206"/>
  <c r="C28" i="206"/>
  <c r="E22" i="206"/>
  <c r="E21" i="206"/>
  <c r="E20" i="206"/>
  <c r="G20" i="206" s="1"/>
  <c r="E19" i="206"/>
  <c r="F17" i="206"/>
  <c r="F16" i="206"/>
  <c r="F15" i="206"/>
  <c r="F13" i="206"/>
  <c r="F12" i="206"/>
  <c r="F50" i="205"/>
  <c r="F48" i="205"/>
  <c r="F45" i="205"/>
  <c r="F43" i="205"/>
  <c r="F41" i="205"/>
  <c r="E41" i="205"/>
  <c r="G41" i="205" s="1"/>
  <c r="D41" i="205"/>
  <c r="B41" i="205"/>
  <c r="F39" i="205"/>
  <c r="E39" i="205"/>
  <c r="G39" i="205" s="1"/>
  <c r="D39" i="205"/>
  <c r="H39" i="205" s="1"/>
  <c r="I39" i="205" s="1"/>
  <c r="F28" i="205"/>
  <c r="C28" i="205"/>
  <c r="E22" i="205"/>
  <c r="E21" i="205"/>
  <c r="G20" i="205"/>
  <c r="E20" i="205"/>
  <c r="E19" i="205"/>
  <c r="F17" i="205"/>
  <c r="E17" i="205"/>
  <c r="G17" i="205" s="1"/>
  <c r="D17" i="205"/>
  <c r="B17" i="205"/>
  <c r="H16" i="205"/>
  <c r="I16" i="205" s="1"/>
  <c r="F16" i="205"/>
  <c r="E16" i="205"/>
  <c r="G16" i="205" s="1"/>
  <c r="D16" i="205"/>
  <c r="B16" i="205"/>
  <c r="F15" i="205"/>
  <c r="E15" i="205"/>
  <c r="G15" i="205" s="1"/>
  <c r="D15" i="205"/>
  <c r="B15" i="205"/>
  <c r="F13" i="205"/>
  <c r="F12" i="205"/>
  <c r="F50" i="204"/>
  <c r="F48" i="204"/>
  <c r="F45" i="204"/>
  <c r="F43" i="204"/>
  <c r="F41" i="204"/>
  <c r="E41" i="204"/>
  <c r="D41" i="204"/>
  <c r="B41" i="204"/>
  <c r="H39" i="204"/>
  <c r="I39" i="204" s="1"/>
  <c r="F39" i="204"/>
  <c r="E39" i="204"/>
  <c r="G39" i="204" s="1"/>
  <c r="D39" i="204"/>
  <c r="F28" i="204"/>
  <c r="C28" i="204"/>
  <c r="E22" i="204"/>
  <c r="E21" i="204"/>
  <c r="E20" i="204"/>
  <c r="G20" i="204" s="1"/>
  <c r="E19" i="204"/>
  <c r="H17" i="204"/>
  <c r="I17" i="204" s="1"/>
  <c r="F17" i="204"/>
  <c r="E17" i="204"/>
  <c r="G17" i="204" s="1"/>
  <c r="D17" i="204"/>
  <c r="B17" i="204"/>
  <c r="F16" i="204"/>
  <c r="E16" i="204"/>
  <c r="G16" i="204" s="1"/>
  <c r="D16" i="204"/>
  <c r="B16" i="204"/>
  <c r="H15" i="204"/>
  <c r="I15" i="204" s="1"/>
  <c r="F15" i="204"/>
  <c r="E15" i="204"/>
  <c r="G15" i="204" s="1"/>
  <c r="D15" i="204"/>
  <c r="B15" i="204"/>
  <c r="F13" i="204"/>
  <c r="F12" i="204"/>
  <c r="F50" i="203"/>
  <c r="F48" i="203"/>
  <c r="F45" i="203"/>
  <c r="F43" i="203"/>
  <c r="F41" i="203"/>
  <c r="E41" i="203"/>
  <c r="G41" i="203" s="1"/>
  <c r="D41" i="203"/>
  <c r="B41" i="203"/>
  <c r="F39" i="203"/>
  <c r="E39" i="203"/>
  <c r="G39" i="203" s="1"/>
  <c r="D39" i="203"/>
  <c r="C28" i="203"/>
  <c r="F28" i="203" s="1"/>
  <c r="E22" i="203"/>
  <c r="E21" i="203"/>
  <c r="G20" i="203"/>
  <c r="E20" i="203"/>
  <c r="E19" i="203"/>
  <c r="F17" i="203"/>
  <c r="B17" i="203"/>
  <c r="F16" i="203"/>
  <c r="B16" i="203"/>
  <c r="F15" i="203"/>
  <c r="B15" i="203"/>
  <c r="F13" i="203"/>
  <c r="F12" i="203"/>
  <c r="F50" i="202"/>
  <c r="F48" i="202"/>
  <c r="F45" i="202"/>
  <c r="F43" i="202"/>
  <c r="F41" i="202"/>
  <c r="F39" i="202"/>
  <c r="G39" i="202" s="1"/>
  <c r="E39" i="202"/>
  <c r="D39" i="202"/>
  <c r="C28" i="202"/>
  <c r="F28" i="202" s="1"/>
  <c r="E22" i="202"/>
  <c r="E21" i="202"/>
  <c r="G20" i="202"/>
  <c r="E20" i="202"/>
  <c r="E19" i="202"/>
  <c r="F17" i="202"/>
  <c r="F16" i="202"/>
  <c r="F15" i="202"/>
  <c r="F13" i="202"/>
  <c r="F12" i="202"/>
  <c r="F50" i="201"/>
  <c r="F48" i="201"/>
  <c r="F45" i="201"/>
  <c r="F43" i="201"/>
  <c r="F41" i="201"/>
  <c r="B41" i="201"/>
  <c r="F39" i="201"/>
  <c r="E39" i="201"/>
  <c r="G39" i="201" s="1"/>
  <c r="D39" i="201"/>
  <c r="F28" i="201"/>
  <c r="C28" i="201"/>
  <c r="E22" i="201"/>
  <c r="E21" i="201"/>
  <c r="E20" i="201"/>
  <c r="G20" i="201" s="1"/>
  <c r="E19" i="201"/>
  <c r="F17" i="201"/>
  <c r="E17" i="201"/>
  <c r="G17" i="201" s="1"/>
  <c r="D17" i="201"/>
  <c r="B17" i="201"/>
  <c r="F16" i="201"/>
  <c r="E16" i="201"/>
  <c r="G16" i="201" s="1"/>
  <c r="D16" i="201"/>
  <c r="B16" i="201"/>
  <c r="H15" i="201"/>
  <c r="I15" i="201" s="1"/>
  <c r="F15" i="201"/>
  <c r="E15" i="201"/>
  <c r="G15" i="201" s="1"/>
  <c r="D15" i="201"/>
  <c r="B15" i="201"/>
  <c r="F13" i="201"/>
  <c r="F12" i="201"/>
  <c r="F50" i="200"/>
  <c r="F48" i="200"/>
  <c r="F45" i="200"/>
  <c r="F43" i="200"/>
  <c r="F41" i="200"/>
  <c r="E41" i="200"/>
  <c r="G41" i="200" s="1"/>
  <c r="D41" i="200"/>
  <c r="B41" i="200"/>
  <c r="H39" i="200"/>
  <c r="I39" i="200" s="1"/>
  <c r="F39" i="200"/>
  <c r="E39" i="200"/>
  <c r="G39" i="200" s="1"/>
  <c r="D39" i="200"/>
  <c r="F28" i="200"/>
  <c r="C28" i="200"/>
  <c r="E22" i="200"/>
  <c r="E21" i="200"/>
  <c r="G20" i="200"/>
  <c r="E20" i="200"/>
  <c r="E19" i="200"/>
  <c r="F17" i="200"/>
  <c r="E17" i="200"/>
  <c r="G17" i="200" s="1"/>
  <c r="D17" i="200"/>
  <c r="B17" i="200"/>
  <c r="F16" i="200"/>
  <c r="E16" i="200"/>
  <c r="G16" i="200" s="1"/>
  <c r="D16" i="200"/>
  <c r="B16" i="200"/>
  <c r="F15" i="200"/>
  <c r="E15" i="200"/>
  <c r="G15" i="200" s="1"/>
  <c r="D15" i="200"/>
  <c r="D18" i="200" s="1"/>
  <c r="B15" i="200"/>
  <c r="F13" i="200"/>
  <c r="F12" i="200"/>
  <c r="G17" i="219" l="1"/>
  <c r="H17" i="219" s="1"/>
  <c r="I17" i="219" s="1"/>
  <c r="B23" i="203"/>
  <c r="E23" i="203" s="1"/>
  <c r="B23" i="200"/>
  <c r="E23" i="200" s="1"/>
  <c r="G18" i="218"/>
  <c r="H18" i="218" s="1"/>
  <c r="I18" i="218" s="1"/>
  <c r="H18" i="223"/>
  <c r="I18" i="223" s="1"/>
  <c r="G18" i="216"/>
  <c r="H18" i="216" s="1"/>
  <c r="I18" i="216" s="1"/>
  <c r="G21" i="201"/>
  <c r="H21" i="201" s="1"/>
  <c r="I21" i="201" s="1"/>
  <c r="H18" i="220"/>
  <c r="I18" i="220" s="1"/>
  <c r="G18" i="219"/>
  <c r="H18" i="219" s="1"/>
  <c r="I18" i="219" s="1"/>
  <c r="H17" i="223"/>
  <c r="I17" i="223" s="1"/>
  <c r="B22" i="216"/>
  <c r="D22" i="216" s="1"/>
  <c r="B30" i="216"/>
  <c r="E30" i="216" s="1"/>
  <c r="G30" i="216" s="1"/>
  <c r="H31" i="216"/>
  <c r="I31" i="216" s="1"/>
  <c r="H33" i="216"/>
  <c r="I33" i="216" s="1"/>
  <c r="H14" i="218"/>
  <c r="I14" i="218" s="1"/>
  <c r="D21" i="219"/>
  <c r="E21" i="219"/>
  <c r="H14" i="216"/>
  <c r="I14" i="216" s="1"/>
  <c r="D28" i="216"/>
  <c r="E28" i="216"/>
  <c r="G28" i="216" s="1"/>
  <c r="B13" i="216"/>
  <c r="H17" i="216"/>
  <c r="I17" i="216" s="1"/>
  <c r="E25" i="219"/>
  <c r="B29" i="220"/>
  <c r="B30" i="220"/>
  <c r="B22" i="220"/>
  <c r="B28" i="220"/>
  <c r="B29" i="216"/>
  <c r="H17" i="218"/>
  <c r="I17" i="218" s="1"/>
  <c r="H14" i="219"/>
  <c r="I14" i="219" s="1"/>
  <c r="B30" i="219"/>
  <c r="B28" i="219"/>
  <c r="B13" i="219"/>
  <c r="B29" i="219"/>
  <c r="B13" i="220"/>
  <c r="E21" i="220"/>
  <c r="E25" i="220"/>
  <c r="H17" i="222"/>
  <c r="I17" i="222" s="1"/>
  <c r="H18" i="222"/>
  <c r="I18" i="222" s="1"/>
  <c r="E33" i="219"/>
  <c r="G33" i="219" s="1"/>
  <c r="H14" i="220"/>
  <c r="I14" i="220" s="1"/>
  <c r="E33" i="220"/>
  <c r="G33" i="220" s="1"/>
  <c r="D33" i="220"/>
  <c r="H31" i="222"/>
  <c r="I31" i="222" s="1"/>
  <c r="B29" i="223"/>
  <c r="B30" i="223"/>
  <c r="B22" i="223"/>
  <c r="B28" i="223"/>
  <c r="B13" i="223"/>
  <c r="E25" i="223"/>
  <c r="E33" i="223"/>
  <c r="G33" i="223" s="1"/>
  <c r="D33" i="223"/>
  <c r="H31" i="223"/>
  <c r="I31" i="223" s="1"/>
  <c r="H14" i="222"/>
  <c r="I14" i="222" s="1"/>
  <c r="H14" i="223"/>
  <c r="I14" i="223" s="1"/>
  <c r="E21" i="223"/>
  <c r="D20" i="223"/>
  <c r="H26" i="215"/>
  <c r="I26" i="215" s="1"/>
  <c r="H21" i="208"/>
  <c r="I21" i="208" s="1"/>
  <c r="H20" i="213"/>
  <c r="I20" i="213" s="1"/>
  <c r="H26" i="214"/>
  <c r="I26" i="214" s="1"/>
  <c r="B31" i="209"/>
  <c r="E31" i="209" s="1"/>
  <c r="B32" i="209"/>
  <c r="B13" i="211"/>
  <c r="E13" i="211" s="1"/>
  <c r="G13" i="211" s="1"/>
  <c r="G21" i="209"/>
  <c r="H21" i="209" s="1"/>
  <c r="I21" i="209" s="1"/>
  <c r="B12" i="213"/>
  <c r="E12" i="213" s="1"/>
  <c r="G12" i="213" s="1"/>
  <c r="B12" i="215"/>
  <c r="D12" i="215" s="1"/>
  <c r="B12" i="211"/>
  <c r="E12" i="211" s="1"/>
  <c r="G12" i="211" s="1"/>
  <c r="B12" i="212"/>
  <c r="E12" i="212" s="1"/>
  <c r="G12" i="212" s="1"/>
  <c r="B24" i="215"/>
  <c r="E24" i="215" s="1"/>
  <c r="B13" i="213"/>
  <c r="D13" i="213" s="1"/>
  <c r="B24" i="213"/>
  <c r="E24" i="213" s="1"/>
  <c r="B13" i="215"/>
  <c r="D13" i="215" s="1"/>
  <c r="E15" i="209"/>
  <c r="G15" i="209" s="1"/>
  <c r="D15" i="209"/>
  <c r="E17" i="208"/>
  <c r="G17" i="208" s="1"/>
  <c r="D17" i="208"/>
  <c r="B13" i="209"/>
  <c r="B12" i="209"/>
  <c r="E17" i="209"/>
  <c r="G17" i="209" s="1"/>
  <c r="D17" i="209"/>
  <c r="E15" i="208"/>
  <c r="G15" i="208" s="1"/>
  <c r="D15" i="208"/>
  <c r="B38" i="208"/>
  <c r="B37" i="208"/>
  <c r="B36" i="208"/>
  <c r="B32" i="208"/>
  <c r="B28" i="208"/>
  <c r="B31" i="208"/>
  <c r="B27" i="208"/>
  <c r="B13" i="208"/>
  <c r="B12" i="208"/>
  <c r="E16" i="208"/>
  <c r="G16" i="208" s="1"/>
  <c r="D16" i="208"/>
  <c r="E23" i="208"/>
  <c r="H39" i="208"/>
  <c r="I39" i="208" s="1"/>
  <c r="E16" i="209"/>
  <c r="G16" i="209" s="1"/>
  <c r="D16" i="209"/>
  <c r="E23" i="209"/>
  <c r="B24" i="212"/>
  <c r="B23" i="212"/>
  <c r="H20" i="208"/>
  <c r="I20" i="208" s="1"/>
  <c r="B24" i="208"/>
  <c r="H26" i="208"/>
  <c r="I26" i="208" s="1"/>
  <c r="H20" i="209"/>
  <c r="I20" i="209" s="1"/>
  <c r="B24" i="209"/>
  <c r="H26" i="209"/>
  <c r="I26" i="209" s="1"/>
  <c r="B27" i="209"/>
  <c r="H26" i="210"/>
  <c r="I26" i="210" s="1"/>
  <c r="G18" i="211"/>
  <c r="H15" i="211"/>
  <c r="I15" i="211" s="1"/>
  <c r="H16" i="211"/>
  <c r="I16" i="211" s="1"/>
  <c r="H17" i="211"/>
  <c r="I17" i="211" s="1"/>
  <c r="B38" i="213"/>
  <c r="B37" i="213"/>
  <c r="B36" i="213"/>
  <c r="B32" i="213"/>
  <c r="B28" i="213"/>
  <c r="B27" i="213"/>
  <c r="H39" i="210"/>
  <c r="I39" i="210" s="1"/>
  <c r="H26" i="211"/>
  <c r="I26" i="211" s="1"/>
  <c r="B38" i="209"/>
  <c r="B37" i="209"/>
  <c r="B28" i="209"/>
  <c r="H20" i="210"/>
  <c r="I20" i="210" s="1"/>
  <c r="H21" i="210"/>
  <c r="I21" i="210" s="1"/>
  <c r="H39" i="211"/>
  <c r="I39" i="211" s="1"/>
  <c r="H41" i="211"/>
  <c r="I41" i="211" s="1"/>
  <c r="E31" i="213"/>
  <c r="B38" i="211"/>
  <c r="B37" i="211"/>
  <c r="B36" i="211"/>
  <c r="B32" i="211"/>
  <c r="B28" i="211"/>
  <c r="B31" i="211"/>
  <c r="B27" i="211"/>
  <c r="H16" i="212"/>
  <c r="I16" i="212" s="1"/>
  <c r="B36" i="209"/>
  <c r="B23" i="211"/>
  <c r="B24" i="211"/>
  <c r="H20" i="211"/>
  <c r="I20" i="211" s="1"/>
  <c r="H21" i="211"/>
  <c r="I21" i="211" s="1"/>
  <c r="D38" i="212"/>
  <c r="E38" i="212"/>
  <c r="G38" i="212" s="1"/>
  <c r="D18" i="212"/>
  <c r="H17" i="212"/>
  <c r="I17" i="212" s="1"/>
  <c r="H26" i="212"/>
  <c r="I26" i="212" s="1"/>
  <c r="B37" i="212"/>
  <c r="B31" i="212"/>
  <c r="B27" i="212"/>
  <c r="B32" i="212"/>
  <c r="B28" i="212"/>
  <c r="E15" i="212"/>
  <c r="G15" i="212" s="1"/>
  <c r="B36" i="212"/>
  <c r="D41" i="212"/>
  <c r="E41" i="212"/>
  <c r="G41" i="212" s="1"/>
  <c r="B13" i="212"/>
  <c r="H20" i="212"/>
  <c r="I20" i="212" s="1"/>
  <c r="H21" i="212"/>
  <c r="I21" i="212" s="1"/>
  <c r="H26" i="213"/>
  <c r="I26" i="213" s="1"/>
  <c r="G15" i="213"/>
  <c r="G16" i="213"/>
  <c r="G17" i="213"/>
  <c r="H21" i="213"/>
  <c r="I21" i="213" s="1"/>
  <c r="H39" i="213"/>
  <c r="I39" i="213" s="1"/>
  <c r="G18" i="215"/>
  <c r="H15" i="215"/>
  <c r="I15" i="215" s="1"/>
  <c r="H39" i="215"/>
  <c r="I39" i="215" s="1"/>
  <c r="H20" i="214"/>
  <c r="I20" i="214" s="1"/>
  <c r="H21" i="214"/>
  <c r="I21" i="214" s="1"/>
  <c r="B38" i="215"/>
  <c r="B37" i="215"/>
  <c r="B36" i="215"/>
  <c r="B32" i="215"/>
  <c r="B28" i="215"/>
  <c r="H21" i="215"/>
  <c r="I21" i="215" s="1"/>
  <c r="B31" i="215"/>
  <c r="E41" i="215"/>
  <c r="G41" i="215" s="1"/>
  <c r="D41" i="215"/>
  <c r="H39" i="214"/>
  <c r="I39" i="214" s="1"/>
  <c r="B27" i="215"/>
  <c r="G21" i="206"/>
  <c r="H21" i="206" s="1"/>
  <c r="I21" i="206" s="1"/>
  <c r="C27" i="203"/>
  <c r="F27" i="203" s="1"/>
  <c r="H26" i="207"/>
  <c r="I26" i="207" s="1"/>
  <c r="H26" i="200"/>
  <c r="I26" i="200" s="1"/>
  <c r="B13" i="200"/>
  <c r="E13" i="200" s="1"/>
  <c r="G13" i="200" s="1"/>
  <c r="B12" i="200"/>
  <c r="E12" i="200" s="1"/>
  <c r="G12" i="200" s="1"/>
  <c r="B37" i="204"/>
  <c r="D37" i="204" s="1"/>
  <c r="B36" i="204"/>
  <c r="E36" i="204" s="1"/>
  <c r="G36" i="204" s="1"/>
  <c r="B38" i="204"/>
  <c r="E38" i="204" s="1"/>
  <c r="G38" i="204" s="1"/>
  <c r="B13" i="207"/>
  <c r="D13" i="207" s="1"/>
  <c r="B13" i="203"/>
  <c r="E13" i="203" s="1"/>
  <c r="G13" i="203" s="1"/>
  <c r="G14" i="203" s="1"/>
  <c r="B24" i="207"/>
  <c r="E24" i="207" s="1"/>
  <c r="D12" i="203"/>
  <c r="H12" i="203" s="1"/>
  <c r="I12" i="203" s="1"/>
  <c r="B23" i="204"/>
  <c r="E23" i="204" s="1"/>
  <c r="E24" i="204"/>
  <c r="H21" i="203"/>
  <c r="I21" i="203" s="1"/>
  <c r="B32" i="205"/>
  <c r="E32" i="205" s="1"/>
  <c r="B12" i="207"/>
  <c r="E12" i="207" s="1"/>
  <c r="G12" i="207" s="1"/>
  <c r="B23" i="201"/>
  <c r="H16" i="200"/>
  <c r="I16" i="200" s="1"/>
  <c r="B31" i="200"/>
  <c r="B38" i="200"/>
  <c r="B37" i="200"/>
  <c r="B36" i="200"/>
  <c r="B32" i="200"/>
  <c r="B28" i="200"/>
  <c r="B27" i="200"/>
  <c r="G18" i="200"/>
  <c r="H15" i="200"/>
  <c r="I15" i="200" s="1"/>
  <c r="H17" i="200"/>
  <c r="I17" i="200" s="1"/>
  <c r="E24" i="200"/>
  <c r="B38" i="201"/>
  <c r="B37" i="201"/>
  <c r="B36" i="201"/>
  <c r="B31" i="201"/>
  <c r="B27" i="201"/>
  <c r="G18" i="201"/>
  <c r="H20" i="201"/>
  <c r="I20" i="201" s="1"/>
  <c r="H26" i="201"/>
  <c r="I26" i="201" s="1"/>
  <c r="B28" i="201"/>
  <c r="E41" i="201"/>
  <c r="G41" i="201" s="1"/>
  <c r="D41" i="201"/>
  <c r="H21" i="200"/>
  <c r="I21" i="200" s="1"/>
  <c r="H41" i="200"/>
  <c r="I41" i="200" s="1"/>
  <c r="D18" i="201"/>
  <c r="H16" i="201"/>
  <c r="I16" i="201" s="1"/>
  <c r="H16" i="204"/>
  <c r="I16" i="204" s="1"/>
  <c r="H17" i="205"/>
  <c r="I17" i="205" s="1"/>
  <c r="G18" i="205"/>
  <c r="H17" i="201"/>
  <c r="I17" i="201" s="1"/>
  <c r="B32" i="201"/>
  <c r="B24" i="205"/>
  <c r="B23" i="205"/>
  <c r="H39" i="201"/>
  <c r="I39" i="201" s="1"/>
  <c r="E16" i="203"/>
  <c r="G16" i="203" s="1"/>
  <c r="D16" i="203"/>
  <c r="H26" i="203"/>
  <c r="I26" i="203" s="1"/>
  <c r="H20" i="205"/>
  <c r="I20" i="205" s="1"/>
  <c r="B12" i="201"/>
  <c r="B13" i="201"/>
  <c r="G21" i="202"/>
  <c r="B38" i="203"/>
  <c r="B37" i="203"/>
  <c r="B36" i="203"/>
  <c r="B32" i="203"/>
  <c r="B28" i="203"/>
  <c r="B27" i="203"/>
  <c r="H20" i="202"/>
  <c r="I20" i="202" s="1"/>
  <c r="H39" i="202"/>
  <c r="I39" i="202" s="1"/>
  <c r="E15" i="203"/>
  <c r="G15" i="203" s="1"/>
  <c r="D15" i="203"/>
  <c r="D18" i="203" s="1"/>
  <c r="E17" i="203"/>
  <c r="G17" i="203" s="1"/>
  <c r="D17" i="203"/>
  <c r="B31" i="203"/>
  <c r="H20" i="204"/>
  <c r="I20" i="204" s="1"/>
  <c r="E38" i="205"/>
  <c r="G38" i="205" s="1"/>
  <c r="D38" i="205"/>
  <c r="G21" i="205"/>
  <c r="H26" i="205"/>
  <c r="I26" i="205" s="1"/>
  <c r="H39" i="203"/>
  <c r="I39" i="203" s="1"/>
  <c r="H26" i="204"/>
  <c r="I26" i="204" s="1"/>
  <c r="B28" i="204"/>
  <c r="D18" i="205"/>
  <c r="H26" i="202"/>
  <c r="I26" i="202" s="1"/>
  <c r="E24" i="203"/>
  <c r="B31" i="204"/>
  <c r="B27" i="204"/>
  <c r="B32" i="204"/>
  <c r="G41" i="204"/>
  <c r="H15" i="205"/>
  <c r="I15" i="205" s="1"/>
  <c r="H41" i="205"/>
  <c r="I41" i="205" s="1"/>
  <c r="H20" i="206"/>
  <c r="I20" i="206" s="1"/>
  <c r="H41" i="203"/>
  <c r="I41" i="203" s="1"/>
  <c r="D18" i="204"/>
  <c r="G21" i="204"/>
  <c r="G18" i="204"/>
  <c r="B31" i="205"/>
  <c r="B27" i="205"/>
  <c r="B28" i="205"/>
  <c r="B36" i="205"/>
  <c r="B37" i="205"/>
  <c r="H26" i="206"/>
  <c r="I26" i="206" s="1"/>
  <c r="B12" i="204"/>
  <c r="B13" i="204"/>
  <c r="B12" i="205"/>
  <c r="B13" i="205"/>
  <c r="H21" i="207"/>
  <c r="I21" i="207" s="1"/>
  <c r="B38" i="207"/>
  <c r="B37" i="207"/>
  <c r="B36" i="207"/>
  <c r="B32" i="207"/>
  <c r="B28" i="207"/>
  <c r="B31" i="207"/>
  <c r="B27" i="207"/>
  <c r="H39" i="207"/>
  <c r="I39" i="207" s="1"/>
  <c r="H39" i="206"/>
  <c r="I39" i="206" s="1"/>
  <c r="G15" i="207"/>
  <c r="G16" i="207"/>
  <c r="G17" i="207"/>
  <c r="E41" i="207"/>
  <c r="G41" i="207" s="1"/>
  <c r="D41" i="207"/>
  <c r="U16" i="3"/>
  <c r="U17" i="3"/>
  <c r="U18" i="3"/>
  <c r="U19" i="3"/>
  <c r="U20" i="3"/>
  <c r="U21" i="3"/>
  <c r="F22" i="220" s="1"/>
  <c r="F22" i="223" l="1"/>
  <c r="F22" i="216"/>
  <c r="F20" i="219"/>
  <c r="G20" i="219" s="1"/>
  <c r="H20" i="219" s="1"/>
  <c r="I20" i="219" s="1"/>
  <c r="F21" i="219"/>
  <c r="G21" i="219" s="1"/>
  <c r="H21" i="219" s="1"/>
  <c r="I21" i="219" s="1"/>
  <c r="F22" i="222"/>
  <c r="F22" i="218"/>
  <c r="D13" i="211"/>
  <c r="H13" i="211" s="1"/>
  <c r="I13" i="211" s="1"/>
  <c r="E13" i="207"/>
  <c r="G13" i="207" s="1"/>
  <c r="H13" i="207" s="1"/>
  <c r="I13" i="207" s="1"/>
  <c r="D12" i="207"/>
  <c r="H12" i="207" s="1"/>
  <c r="I12" i="207" s="1"/>
  <c r="D36" i="204"/>
  <c r="H36" i="204" s="1"/>
  <c r="I36" i="204" s="1"/>
  <c r="D12" i="200"/>
  <c r="H12" i="200" s="1"/>
  <c r="I12" i="200" s="1"/>
  <c r="E12" i="215"/>
  <c r="G12" i="215" s="1"/>
  <c r="H12" i="215" s="1"/>
  <c r="I12" i="215" s="1"/>
  <c r="D12" i="212"/>
  <c r="H12" i="212" s="1"/>
  <c r="I12" i="212" s="1"/>
  <c r="W21" i="3"/>
  <c r="F21" i="220" s="1"/>
  <c r="G21" i="220" s="1"/>
  <c r="C21" i="220"/>
  <c r="D21" i="220" s="1"/>
  <c r="V18" i="3"/>
  <c r="C19" i="218"/>
  <c r="D19" i="218" s="1"/>
  <c r="C19" i="223"/>
  <c r="D19" i="223" s="1"/>
  <c r="C19" i="216"/>
  <c r="D19" i="216" s="1"/>
  <c r="C19" i="219"/>
  <c r="D19" i="219" s="1"/>
  <c r="C19" i="222"/>
  <c r="D19" i="222" s="1"/>
  <c r="W20" i="3"/>
  <c r="C24" i="215"/>
  <c r="D24" i="215" s="1"/>
  <c r="C24" i="212"/>
  <c r="D24" i="212" s="1"/>
  <c r="C24" i="214"/>
  <c r="C24" i="213"/>
  <c r="D24" i="213" s="1"/>
  <c r="D12" i="213"/>
  <c r="H12" i="213" s="1"/>
  <c r="I12" i="213" s="1"/>
  <c r="V20" i="3"/>
  <c r="C22" i="213"/>
  <c r="D22" i="213" s="1"/>
  <c r="C22" i="215"/>
  <c r="D22" i="215" s="1"/>
  <c r="C22" i="212"/>
  <c r="D22" i="212" s="1"/>
  <c r="C22" i="214"/>
  <c r="D22" i="214" s="1"/>
  <c r="E37" i="204"/>
  <c r="G37" i="204" s="1"/>
  <c r="G40" i="204" s="1"/>
  <c r="V19" i="3"/>
  <c r="C22" i="207"/>
  <c r="D22" i="207" s="1"/>
  <c r="C22" i="204"/>
  <c r="D22" i="204" s="1"/>
  <c r="C22" i="206"/>
  <c r="D22" i="206" s="1"/>
  <c r="C22" i="205"/>
  <c r="D22" i="205" s="1"/>
  <c r="V21" i="3"/>
  <c r="F19" i="220" s="1"/>
  <c r="G19" i="220" s="1"/>
  <c r="C19" i="220"/>
  <c r="D19" i="220" s="1"/>
  <c r="V17" i="3"/>
  <c r="C22" i="211"/>
  <c r="D22" i="211" s="1"/>
  <c r="C22" i="209"/>
  <c r="D22" i="209" s="1"/>
  <c r="C22" i="210"/>
  <c r="D22" i="210" s="1"/>
  <c r="C22" i="208"/>
  <c r="D22" i="208" s="1"/>
  <c r="W19" i="3"/>
  <c r="C24" i="206"/>
  <c r="C24" i="205"/>
  <c r="D24" i="205" s="1"/>
  <c r="C24" i="204"/>
  <c r="D24" i="204" s="1"/>
  <c r="C24" i="207"/>
  <c r="D24" i="207" s="1"/>
  <c r="V16" i="3"/>
  <c r="C22" i="202"/>
  <c r="D22" i="202" s="1"/>
  <c r="C22" i="201"/>
  <c r="D22" i="201" s="1"/>
  <c r="C22" i="200"/>
  <c r="D22" i="200" s="1"/>
  <c r="C22" i="203"/>
  <c r="D22" i="203" s="1"/>
  <c r="W18" i="3"/>
  <c r="C21" i="216"/>
  <c r="D21" i="216" s="1"/>
  <c r="C21" i="222"/>
  <c r="C21" i="218"/>
  <c r="C22" i="219"/>
  <c r="D22" i="219" s="1"/>
  <c r="C21" i="223"/>
  <c r="D21" i="223" s="1"/>
  <c r="W16" i="3"/>
  <c r="C24" i="203"/>
  <c r="D24" i="203" s="1"/>
  <c r="C24" i="200"/>
  <c r="D24" i="200" s="1"/>
  <c r="C24" i="202"/>
  <c r="C24" i="201"/>
  <c r="D24" i="201" s="1"/>
  <c r="W17" i="3"/>
  <c r="C24" i="208"/>
  <c r="D24" i="208" s="1"/>
  <c r="C24" i="211"/>
  <c r="D24" i="211" s="1"/>
  <c r="C24" i="210"/>
  <c r="C24" i="209"/>
  <c r="D24" i="209" s="1"/>
  <c r="D13" i="200"/>
  <c r="H13" i="200" s="1"/>
  <c r="I13" i="200" s="1"/>
  <c r="E22" i="216"/>
  <c r="D30" i="216"/>
  <c r="H30" i="216" s="1"/>
  <c r="I30" i="216" s="1"/>
  <c r="H33" i="223"/>
  <c r="I33" i="223" s="1"/>
  <c r="E28" i="223"/>
  <c r="G28" i="223" s="1"/>
  <c r="D28" i="223"/>
  <c r="E29" i="219"/>
  <c r="G29" i="219" s="1"/>
  <c r="D29" i="219"/>
  <c r="E13" i="219"/>
  <c r="G13" i="219" s="1"/>
  <c r="D13" i="219"/>
  <c r="D15" i="219" s="1"/>
  <c r="D30" i="220"/>
  <c r="E30" i="220"/>
  <c r="G30" i="220" s="1"/>
  <c r="D22" i="223"/>
  <c r="E22" i="223"/>
  <c r="E28" i="219"/>
  <c r="G28" i="219" s="1"/>
  <c r="D28" i="219"/>
  <c r="D29" i="220"/>
  <c r="E29" i="220"/>
  <c r="G29" i="220" s="1"/>
  <c r="H20" i="223"/>
  <c r="I20" i="223" s="1"/>
  <c r="D30" i="223"/>
  <c r="E30" i="223"/>
  <c r="G30" i="223" s="1"/>
  <c r="D30" i="219"/>
  <c r="E30" i="219"/>
  <c r="G30" i="219" s="1"/>
  <c r="E28" i="220"/>
  <c r="G28" i="220" s="1"/>
  <c r="D28" i="220"/>
  <c r="E13" i="216"/>
  <c r="G13" i="216" s="1"/>
  <c r="D13" i="216"/>
  <c r="D15" i="216" s="1"/>
  <c r="H33" i="219"/>
  <c r="I33" i="219" s="1"/>
  <c r="D29" i="216"/>
  <c r="E29" i="216"/>
  <c r="G29" i="216" s="1"/>
  <c r="H28" i="216"/>
  <c r="I28" i="216" s="1"/>
  <c r="E13" i="223"/>
  <c r="G13" i="223" s="1"/>
  <c r="D13" i="223"/>
  <c r="D15" i="223" s="1"/>
  <c r="D29" i="223"/>
  <c r="E29" i="223"/>
  <c r="G29" i="223" s="1"/>
  <c r="H33" i="220"/>
  <c r="I33" i="220" s="1"/>
  <c r="E13" i="220"/>
  <c r="G13" i="220" s="1"/>
  <c r="D13" i="220"/>
  <c r="D15" i="220" s="1"/>
  <c r="D22" i="220"/>
  <c r="E22" i="220"/>
  <c r="G22" i="220" s="1"/>
  <c r="E13" i="213"/>
  <c r="G13" i="213" s="1"/>
  <c r="G14" i="213" s="1"/>
  <c r="E32" i="209"/>
  <c r="E13" i="215"/>
  <c r="G13" i="215" s="1"/>
  <c r="H13" i="215" s="1"/>
  <c r="I13" i="215" s="1"/>
  <c r="D14" i="215"/>
  <c r="D12" i="211"/>
  <c r="H12" i="211" s="1"/>
  <c r="I12" i="211" s="1"/>
  <c r="D36" i="209"/>
  <c r="E36" i="209"/>
  <c r="G36" i="209" s="1"/>
  <c r="E37" i="211"/>
  <c r="G37" i="211" s="1"/>
  <c r="D37" i="211"/>
  <c r="E28" i="213"/>
  <c r="G28" i="213" s="1"/>
  <c r="D28" i="213"/>
  <c r="D38" i="213"/>
  <c r="E38" i="213"/>
  <c r="G38" i="213" s="1"/>
  <c r="E27" i="208"/>
  <c r="G27" i="208" s="1"/>
  <c r="D27" i="208"/>
  <c r="D18" i="209"/>
  <c r="E31" i="215"/>
  <c r="D36" i="215"/>
  <c r="E36" i="215"/>
  <c r="G36" i="215" s="1"/>
  <c r="G18" i="213"/>
  <c r="H15" i="213"/>
  <c r="I15" i="213" s="1"/>
  <c r="E13" i="212"/>
  <c r="G13" i="212" s="1"/>
  <c r="D13" i="212"/>
  <c r="D36" i="212"/>
  <c r="E36" i="212"/>
  <c r="G36" i="212" s="1"/>
  <c r="E32" i="212"/>
  <c r="H38" i="212"/>
  <c r="I38" i="212" s="1"/>
  <c r="E28" i="211"/>
  <c r="G28" i="211" s="1"/>
  <c r="D28" i="211"/>
  <c r="E38" i="211"/>
  <c r="G38" i="211" s="1"/>
  <c r="D38" i="211"/>
  <c r="D37" i="209"/>
  <c r="E37" i="209"/>
  <c r="G37" i="209" s="1"/>
  <c r="E32" i="213"/>
  <c r="E23" i="212"/>
  <c r="E12" i="208"/>
  <c r="G12" i="208" s="1"/>
  <c r="D12" i="208"/>
  <c r="E31" i="208"/>
  <c r="D37" i="208"/>
  <c r="E37" i="208"/>
  <c r="G37" i="208" s="1"/>
  <c r="D18" i="208"/>
  <c r="H17" i="209"/>
  <c r="I17" i="209" s="1"/>
  <c r="G18" i="209"/>
  <c r="H15" i="209"/>
  <c r="I15" i="209" s="1"/>
  <c r="E28" i="212"/>
  <c r="G28" i="212" s="1"/>
  <c r="D28" i="212"/>
  <c r="E31" i="211"/>
  <c r="D37" i="215"/>
  <c r="E37" i="215"/>
  <c r="G37" i="215" s="1"/>
  <c r="G18" i="212"/>
  <c r="H15" i="212"/>
  <c r="I15" i="212" s="1"/>
  <c r="D27" i="212"/>
  <c r="E27" i="212"/>
  <c r="G27" i="212" s="1"/>
  <c r="E32" i="211"/>
  <c r="D28" i="209"/>
  <c r="E28" i="209"/>
  <c r="G28" i="209" s="1"/>
  <c r="D38" i="209"/>
  <c r="E38" i="209"/>
  <c r="G38" i="209" s="1"/>
  <c r="D36" i="213"/>
  <c r="E36" i="213"/>
  <c r="G36" i="213" s="1"/>
  <c r="H18" i="211"/>
  <c r="I18" i="211" s="1"/>
  <c r="E27" i="209"/>
  <c r="G27" i="209" s="1"/>
  <c r="D27" i="209"/>
  <c r="E24" i="212"/>
  <c r="H16" i="209"/>
  <c r="I16" i="209" s="1"/>
  <c r="E13" i="208"/>
  <c r="G13" i="208" s="1"/>
  <c r="D13" i="208"/>
  <c r="D28" i="208"/>
  <c r="E28" i="208"/>
  <c r="G28" i="208" s="1"/>
  <c r="D38" i="208"/>
  <c r="E38" i="208"/>
  <c r="G38" i="208" s="1"/>
  <c r="G18" i="208"/>
  <c r="H15" i="208"/>
  <c r="I15" i="208" s="1"/>
  <c r="E12" i="209"/>
  <c r="G12" i="209" s="1"/>
  <c r="D12" i="209"/>
  <c r="H17" i="208"/>
  <c r="I17" i="208" s="1"/>
  <c r="H41" i="215"/>
  <c r="I41" i="215" s="1"/>
  <c r="E32" i="215"/>
  <c r="H18" i="215"/>
  <c r="I18" i="215" s="1"/>
  <c r="H16" i="213"/>
  <c r="I16" i="213" s="1"/>
  <c r="D37" i="212"/>
  <c r="E37" i="212"/>
  <c r="G37" i="212" s="1"/>
  <c r="E23" i="211"/>
  <c r="E24" i="209"/>
  <c r="H16" i="208"/>
  <c r="I16" i="208" s="1"/>
  <c r="D36" i="208"/>
  <c r="E36" i="208"/>
  <c r="G36" i="208" s="1"/>
  <c r="D27" i="215"/>
  <c r="E27" i="215"/>
  <c r="G27" i="215" s="1"/>
  <c r="E28" i="215"/>
  <c r="G28" i="215" s="1"/>
  <c r="D28" i="215"/>
  <c r="D38" i="215"/>
  <c r="E38" i="215"/>
  <c r="G38" i="215" s="1"/>
  <c r="H17" i="213"/>
  <c r="I17" i="213" s="1"/>
  <c r="H41" i="212"/>
  <c r="I41" i="212" s="1"/>
  <c r="E31" i="212"/>
  <c r="E24" i="211"/>
  <c r="D27" i="211"/>
  <c r="E27" i="211"/>
  <c r="G27" i="211" s="1"/>
  <c r="E36" i="211"/>
  <c r="G36" i="211" s="1"/>
  <c r="D36" i="211"/>
  <c r="E27" i="213"/>
  <c r="G27" i="213" s="1"/>
  <c r="D27" i="213"/>
  <c r="D37" i="213"/>
  <c r="E37" i="213"/>
  <c r="G37" i="213" s="1"/>
  <c r="G14" i="211"/>
  <c r="E24" i="208"/>
  <c r="E32" i="208"/>
  <c r="E13" i="209"/>
  <c r="G13" i="209" s="1"/>
  <c r="D13" i="209"/>
  <c r="D13" i="203"/>
  <c r="D14" i="203" s="1"/>
  <c r="H14" i="203" s="1"/>
  <c r="I14" i="203" s="1"/>
  <c r="E23" i="201"/>
  <c r="G14" i="200"/>
  <c r="D38" i="204"/>
  <c r="H38" i="204" s="1"/>
  <c r="I38" i="204" s="1"/>
  <c r="D27" i="207"/>
  <c r="E27" i="207"/>
  <c r="G27" i="207" s="1"/>
  <c r="D36" i="207"/>
  <c r="E36" i="207"/>
  <c r="G36" i="207" s="1"/>
  <c r="D27" i="205"/>
  <c r="E27" i="205"/>
  <c r="G27" i="205" s="1"/>
  <c r="H21" i="204"/>
  <c r="I21" i="204" s="1"/>
  <c r="H16" i="207"/>
  <c r="I16" i="207" s="1"/>
  <c r="G18" i="207"/>
  <c r="H15" i="207"/>
  <c r="I15" i="207" s="1"/>
  <c r="E32" i="207"/>
  <c r="D13" i="204"/>
  <c r="E13" i="204"/>
  <c r="G13" i="204" s="1"/>
  <c r="E36" i="205"/>
  <c r="G36" i="205" s="1"/>
  <c r="D36" i="205"/>
  <c r="E27" i="204"/>
  <c r="G27" i="204" s="1"/>
  <c r="D27" i="204"/>
  <c r="H38" i="205"/>
  <c r="I38" i="205" s="1"/>
  <c r="H17" i="203"/>
  <c r="I17" i="203" s="1"/>
  <c r="D36" i="203"/>
  <c r="E36" i="203"/>
  <c r="G36" i="203" s="1"/>
  <c r="D13" i="201"/>
  <c r="E13" i="201"/>
  <c r="G13" i="201" s="1"/>
  <c r="E24" i="205"/>
  <c r="E32" i="201"/>
  <c r="H18" i="205"/>
  <c r="I18" i="205" s="1"/>
  <c r="H18" i="201"/>
  <c r="I18" i="201" s="1"/>
  <c r="E36" i="201"/>
  <c r="G36" i="201" s="1"/>
  <c r="D36" i="201"/>
  <c r="H18" i="200"/>
  <c r="I18" i="200" s="1"/>
  <c r="E36" i="200"/>
  <c r="G36" i="200" s="1"/>
  <c r="D36" i="200"/>
  <c r="D12" i="204"/>
  <c r="E12" i="204"/>
  <c r="G12" i="204" s="1"/>
  <c r="E28" i="205"/>
  <c r="G28" i="205" s="1"/>
  <c r="D28" i="205"/>
  <c r="E27" i="203"/>
  <c r="G27" i="203" s="1"/>
  <c r="D27" i="203"/>
  <c r="D12" i="201"/>
  <c r="E12" i="201"/>
  <c r="G12" i="201" s="1"/>
  <c r="H41" i="207"/>
  <c r="I41" i="207" s="1"/>
  <c r="H17" i="207"/>
  <c r="I17" i="207" s="1"/>
  <c r="E31" i="207"/>
  <c r="D37" i="207"/>
  <c r="E37" i="207"/>
  <c r="G37" i="207" s="1"/>
  <c r="D13" i="205"/>
  <c r="E13" i="205"/>
  <c r="G13" i="205" s="1"/>
  <c r="E31" i="205"/>
  <c r="E28" i="204"/>
  <c r="G28" i="204" s="1"/>
  <c r="D28" i="204"/>
  <c r="H21" i="205"/>
  <c r="I21" i="205" s="1"/>
  <c r="G18" i="203"/>
  <c r="H15" i="203"/>
  <c r="I15" i="203" s="1"/>
  <c r="D28" i="203"/>
  <c r="E28" i="203"/>
  <c r="G28" i="203" s="1"/>
  <c r="E38" i="203"/>
  <c r="G38" i="203" s="1"/>
  <c r="D38" i="203"/>
  <c r="H41" i="201"/>
  <c r="I41" i="201" s="1"/>
  <c r="E27" i="201"/>
  <c r="G27" i="201" s="1"/>
  <c r="D27" i="201"/>
  <c r="E38" i="201"/>
  <c r="G38" i="201" s="1"/>
  <c r="D38" i="201"/>
  <c r="D28" i="200"/>
  <c r="E28" i="200"/>
  <c r="G28" i="200" s="1"/>
  <c r="E38" i="200"/>
  <c r="G38" i="200" s="1"/>
  <c r="D38" i="200"/>
  <c r="E31" i="204"/>
  <c r="E31" i="203"/>
  <c r="D37" i="203"/>
  <c r="E37" i="203"/>
  <c r="G37" i="203" s="1"/>
  <c r="H16" i="203"/>
  <c r="I16" i="203" s="1"/>
  <c r="E37" i="201"/>
  <c r="G37" i="201" s="1"/>
  <c r="D37" i="201"/>
  <c r="D27" i="200"/>
  <c r="E27" i="200"/>
  <c r="G27" i="200" s="1"/>
  <c r="E37" i="200"/>
  <c r="G37" i="200" s="1"/>
  <c r="D37" i="200"/>
  <c r="E28" i="207"/>
  <c r="G28" i="207" s="1"/>
  <c r="D28" i="207"/>
  <c r="D38" i="207"/>
  <c r="E38" i="207"/>
  <c r="G38" i="207" s="1"/>
  <c r="D12" i="205"/>
  <c r="E12" i="205"/>
  <c r="G12" i="205" s="1"/>
  <c r="E37" i="205"/>
  <c r="G37" i="205" s="1"/>
  <c r="D37" i="205"/>
  <c r="H18" i="204"/>
  <c r="I18" i="204" s="1"/>
  <c r="H41" i="204"/>
  <c r="I41" i="204" s="1"/>
  <c r="E32" i="204"/>
  <c r="E32" i="203"/>
  <c r="H21" i="202"/>
  <c r="I21" i="202" s="1"/>
  <c r="E23" i="205"/>
  <c r="E28" i="201"/>
  <c r="G28" i="201" s="1"/>
  <c r="D28" i="201"/>
  <c r="E31" i="201"/>
  <c r="E32" i="200"/>
  <c r="E31" i="200"/>
  <c r="G22" i="216" l="1"/>
  <c r="H22" i="216" s="1"/>
  <c r="I22" i="216" s="1"/>
  <c r="G22" i="223"/>
  <c r="H22" i="223" s="1"/>
  <c r="I22" i="223" s="1"/>
  <c r="H37" i="204"/>
  <c r="I37" i="204" s="1"/>
  <c r="G14" i="207"/>
  <c r="D14" i="200"/>
  <c r="H14" i="200" s="1"/>
  <c r="I14" i="200" s="1"/>
  <c r="H13" i="213"/>
  <c r="I13" i="213" s="1"/>
  <c r="H21" i="220"/>
  <c r="I21" i="220" s="1"/>
  <c r="D14" i="207"/>
  <c r="D14" i="212"/>
  <c r="D32" i="216"/>
  <c r="D14" i="211"/>
  <c r="H14" i="211" s="1"/>
  <c r="I14" i="211" s="1"/>
  <c r="D14" i="213"/>
  <c r="H14" i="213" s="1"/>
  <c r="I14" i="213" s="1"/>
  <c r="D40" i="211"/>
  <c r="F19" i="218"/>
  <c r="G19" i="218" s="1"/>
  <c r="H19" i="218" s="1"/>
  <c r="I19" i="218" s="1"/>
  <c r="F19" i="223"/>
  <c r="G19" i="223" s="1"/>
  <c r="H19" i="223" s="1"/>
  <c r="I19" i="223" s="1"/>
  <c r="F19" i="219"/>
  <c r="G19" i="219" s="1"/>
  <c r="H19" i="219" s="1"/>
  <c r="I19" i="219" s="1"/>
  <c r="F19" i="222"/>
  <c r="G19" i="222" s="1"/>
  <c r="H19" i="222" s="1"/>
  <c r="I19" i="222" s="1"/>
  <c r="F19" i="216"/>
  <c r="G19" i="216" s="1"/>
  <c r="H19" i="216" s="1"/>
  <c r="I19" i="216" s="1"/>
  <c r="F22" i="209"/>
  <c r="G22" i="209" s="1"/>
  <c r="H22" i="209" s="1"/>
  <c r="I22" i="209" s="1"/>
  <c r="F22" i="210"/>
  <c r="G22" i="210" s="1"/>
  <c r="H22" i="210" s="1"/>
  <c r="I22" i="210" s="1"/>
  <c r="F22" i="211"/>
  <c r="G22" i="211" s="1"/>
  <c r="H22" i="211" s="1"/>
  <c r="I22" i="211" s="1"/>
  <c r="F22" i="208"/>
  <c r="G22" i="208" s="1"/>
  <c r="H22" i="208" s="1"/>
  <c r="I22" i="208" s="1"/>
  <c r="F21" i="216"/>
  <c r="G21" i="216" s="1"/>
  <c r="H21" i="216" s="1"/>
  <c r="I21" i="216" s="1"/>
  <c r="F21" i="222"/>
  <c r="F21" i="218"/>
  <c r="F22" i="219"/>
  <c r="G22" i="219" s="1"/>
  <c r="H22" i="219" s="1"/>
  <c r="I22" i="219" s="1"/>
  <c r="F21" i="223"/>
  <c r="G21" i="223" s="1"/>
  <c r="H21" i="223" s="1"/>
  <c r="I21" i="223" s="1"/>
  <c r="F24" i="208"/>
  <c r="G24" i="208" s="1"/>
  <c r="H24" i="208" s="1"/>
  <c r="I24" i="208" s="1"/>
  <c r="F24" i="211"/>
  <c r="G24" i="211" s="1"/>
  <c r="H24" i="211" s="1"/>
  <c r="I24" i="211" s="1"/>
  <c r="F24" i="210"/>
  <c r="F24" i="209"/>
  <c r="G24" i="209" s="1"/>
  <c r="F24" i="205"/>
  <c r="G24" i="205" s="1"/>
  <c r="H24" i="205" s="1"/>
  <c r="I24" i="205" s="1"/>
  <c r="F24" i="206"/>
  <c r="F24" i="207"/>
  <c r="G24" i="207" s="1"/>
  <c r="H24" i="207" s="1"/>
  <c r="I24" i="207" s="1"/>
  <c r="F24" i="204"/>
  <c r="G24" i="204" s="1"/>
  <c r="H24" i="204" s="1"/>
  <c r="I24" i="204" s="1"/>
  <c r="F24" i="212"/>
  <c r="G24" i="212" s="1"/>
  <c r="H24" i="212" s="1"/>
  <c r="I24" i="212" s="1"/>
  <c r="F24" i="214"/>
  <c r="F24" i="213"/>
  <c r="G24" i="213" s="1"/>
  <c r="F24" i="215"/>
  <c r="G24" i="215" s="1"/>
  <c r="H24" i="215" s="1"/>
  <c r="I24" i="215" s="1"/>
  <c r="D40" i="204"/>
  <c r="H40" i="204" s="1"/>
  <c r="I40" i="204" s="1"/>
  <c r="F22" i="213"/>
  <c r="G22" i="213" s="1"/>
  <c r="H22" i="213" s="1"/>
  <c r="I22" i="213" s="1"/>
  <c r="F22" i="215"/>
  <c r="G22" i="215" s="1"/>
  <c r="H22" i="215" s="1"/>
  <c r="I22" i="215" s="1"/>
  <c r="F22" i="212"/>
  <c r="G22" i="212" s="1"/>
  <c r="H22" i="212" s="1"/>
  <c r="I22" i="212" s="1"/>
  <c r="F22" i="214"/>
  <c r="G22" i="214" s="1"/>
  <c r="H22" i="214" s="1"/>
  <c r="I22" i="214" s="1"/>
  <c r="F22" i="201"/>
  <c r="G22" i="201" s="1"/>
  <c r="H22" i="201" s="1"/>
  <c r="I22" i="201" s="1"/>
  <c r="F22" i="200"/>
  <c r="G22" i="200" s="1"/>
  <c r="H22" i="200" s="1"/>
  <c r="I22" i="200" s="1"/>
  <c r="F22" i="202"/>
  <c r="G22" i="202" s="1"/>
  <c r="H22" i="202" s="1"/>
  <c r="I22" i="202" s="1"/>
  <c r="F22" i="203"/>
  <c r="G22" i="203" s="1"/>
  <c r="H22" i="203" s="1"/>
  <c r="I22" i="203" s="1"/>
  <c r="D14" i="205"/>
  <c r="F24" i="203"/>
  <c r="G24" i="203" s="1"/>
  <c r="F24" i="200"/>
  <c r="G24" i="200" s="1"/>
  <c r="F24" i="202"/>
  <c r="F24" i="201"/>
  <c r="G24" i="201" s="1"/>
  <c r="H24" i="201" s="1"/>
  <c r="I24" i="201" s="1"/>
  <c r="H19" i="220"/>
  <c r="I19" i="220" s="1"/>
  <c r="F22" i="207"/>
  <c r="G22" i="207" s="1"/>
  <c r="H22" i="207" s="1"/>
  <c r="I22" i="207" s="1"/>
  <c r="F22" i="204"/>
  <c r="G22" i="204" s="1"/>
  <c r="H22" i="204" s="1"/>
  <c r="I22" i="204" s="1"/>
  <c r="F22" i="206"/>
  <c r="G22" i="206" s="1"/>
  <c r="H22" i="206" s="1"/>
  <c r="I22" i="206" s="1"/>
  <c r="F22" i="205"/>
  <c r="G22" i="205" s="1"/>
  <c r="H22" i="205" s="1"/>
  <c r="I22" i="205" s="1"/>
  <c r="D32" i="223"/>
  <c r="H29" i="216"/>
  <c r="I29" i="216" s="1"/>
  <c r="H28" i="220"/>
  <c r="I28" i="220" s="1"/>
  <c r="G32" i="220"/>
  <c r="G32" i="219"/>
  <c r="H28" i="219"/>
  <c r="I28" i="219" s="1"/>
  <c r="H30" i="220"/>
  <c r="I30" i="220" s="1"/>
  <c r="H29" i="220"/>
  <c r="I29" i="220" s="1"/>
  <c r="G15" i="220"/>
  <c r="H13" i="220"/>
  <c r="I13" i="220" s="1"/>
  <c r="H30" i="219"/>
  <c r="I30" i="219" s="1"/>
  <c r="H30" i="223"/>
  <c r="I30" i="223" s="1"/>
  <c r="H28" i="223"/>
  <c r="I28" i="223" s="1"/>
  <c r="G32" i="223"/>
  <c r="G15" i="223"/>
  <c r="H13" i="223"/>
  <c r="I13" i="223" s="1"/>
  <c r="H22" i="220"/>
  <c r="I22" i="220" s="1"/>
  <c r="H29" i="223"/>
  <c r="I29" i="223" s="1"/>
  <c r="H13" i="216"/>
  <c r="I13" i="216" s="1"/>
  <c r="G15" i="216"/>
  <c r="G15" i="219"/>
  <c r="H13" i="219"/>
  <c r="I13" i="219" s="1"/>
  <c r="G32" i="216"/>
  <c r="D32" i="220"/>
  <c r="D32" i="219"/>
  <c r="H29" i="219"/>
  <c r="I29" i="219" s="1"/>
  <c r="G14" i="215"/>
  <c r="H14" i="215" s="1"/>
  <c r="I14" i="215" s="1"/>
  <c r="D14" i="209"/>
  <c r="H27" i="215"/>
  <c r="I27" i="215" s="1"/>
  <c r="H37" i="212"/>
  <c r="I37" i="212" s="1"/>
  <c r="H28" i="209"/>
  <c r="I28" i="209" s="1"/>
  <c r="H13" i="212"/>
  <c r="I13" i="212" s="1"/>
  <c r="G14" i="212"/>
  <c r="G40" i="211"/>
  <c r="H36" i="211"/>
  <c r="I36" i="211" s="1"/>
  <c r="H38" i="215"/>
  <c r="I38" i="215" s="1"/>
  <c r="G40" i="208"/>
  <c r="H36" i="208"/>
  <c r="I36" i="208" s="1"/>
  <c r="G14" i="209"/>
  <c r="H12" i="209"/>
  <c r="I12" i="209" s="1"/>
  <c r="H38" i="208"/>
  <c r="I38" i="208" s="1"/>
  <c r="G40" i="213"/>
  <c r="H36" i="213"/>
  <c r="I36" i="213" s="1"/>
  <c r="H27" i="212"/>
  <c r="I27" i="212" s="1"/>
  <c r="H18" i="212"/>
  <c r="I18" i="212" s="1"/>
  <c r="H37" i="215"/>
  <c r="I37" i="215" s="1"/>
  <c r="H28" i="212"/>
  <c r="I28" i="212" s="1"/>
  <c r="H37" i="209"/>
  <c r="I37" i="209" s="1"/>
  <c r="H38" i="211"/>
  <c r="I38" i="211" s="1"/>
  <c r="G40" i="212"/>
  <c r="H36" i="212"/>
  <c r="I36" i="212" s="1"/>
  <c r="H36" i="215"/>
  <c r="I36" i="215" s="1"/>
  <c r="G40" i="215"/>
  <c r="H28" i="213"/>
  <c r="I28" i="213" s="1"/>
  <c r="D40" i="209"/>
  <c r="H13" i="209"/>
  <c r="I13" i="209" s="1"/>
  <c r="H37" i="213"/>
  <c r="I37" i="213" s="1"/>
  <c r="H28" i="215"/>
  <c r="I28" i="215" s="1"/>
  <c r="G14" i="208"/>
  <c r="H12" i="208"/>
  <c r="I12" i="208" s="1"/>
  <c r="D40" i="208"/>
  <c r="H13" i="208"/>
  <c r="I13" i="208" s="1"/>
  <c r="D40" i="213"/>
  <c r="H38" i="209"/>
  <c r="I38" i="209" s="1"/>
  <c r="D40" i="212"/>
  <c r="D40" i="215"/>
  <c r="H38" i="213"/>
  <c r="I38" i="213" s="1"/>
  <c r="H18" i="208"/>
  <c r="I18" i="208" s="1"/>
  <c r="H27" i="209"/>
  <c r="I27" i="209" s="1"/>
  <c r="G40" i="209"/>
  <c r="H36" i="209"/>
  <c r="I36" i="209" s="1"/>
  <c r="H27" i="211"/>
  <c r="I27" i="211" s="1"/>
  <c r="H27" i="213"/>
  <c r="I27" i="213" s="1"/>
  <c r="H28" i="208"/>
  <c r="I28" i="208" s="1"/>
  <c r="H18" i="209"/>
  <c r="I18" i="209" s="1"/>
  <c r="H37" i="208"/>
  <c r="I37" i="208" s="1"/>
  <c r="D14" i="208"/>
  <c r="H28" i="211"/>
  <c r="I28" i="211" s="1"/>
  <c r="H18" i="213"/>
  <c r="I18" i="213" s="1"/>
  <c r="H27" i="208"/>
  <c r="I27" i="208" s="1"/>
  <c r="H37" i="211"/>
  <c r="I37" i="211" s="1"/>
  <c r="D14" i="204"/>
  <c r="H13" i="203"/>
  <c r="I13" i="203" s="1"/>
  <c r="D14" i="201"/>
  <c r="H37" i="207"/>
  <c r="I37" i="207" s="1"/>
  <c r="H18" i="207"/>
  <c r="I18" i="207" s="1"/>
  <c r="G14" i="205"/>
  <c r="H12" i="205"/>
  <c r="I12" i="205" s="1"/>
  <c r="H38" i="201"/>
  <c r="I38" i="201" s="1"/>
  <c r="D40" i="201"/>
  <c r="H28" i="207"/>
  <c r="I28" i="207" s="1"/>
  <c r="H38" i="200"/>
  <c r="I38" i="200" s="1"/>
  <c r="H13" i="205"/>
  <c r="I13" i="205" s="1"/>
  <c r="H27" i="203"/>
  <c r="I27" i="203" s="1"/>
  <c r="H36" i="201"/>
  <c r="I36" i="201" s="1"/>
  <c r="G40" i="201"/>
  <c r="H36" i="203"/>
  <c r="I36" i="203" s="1"/>
  <c r="G40" i="203"/>
  <c r="H27" i="207"/>
  <c r="I27" i="207" s="1"/>
  <c r="H37" i="205"/>
  <c r="I37" i="205" s="1"/>
  <c r="H27" i="200"/>
  <c r="I27" i="200" s="1"/>
  <c r="H37" i="203"/>
  <c r="I37" i="203" s="1"/>
  <c r="H38" i="203"/>
  <c r="I38" i="203" s="1"/>
  <c r="H28" i="205"/>
  <c r="I28" i="205" s="1"/>
  <c r="G40" i="200"/>
  <c r="H36" i="200"/>
  <c r="I36" i="200" s="1"/>
  <c r="G40" i="205"/>
  <c r="H36" i="205"/>
  <c r="I36" i="205" s="1"/>
  <c r="H36" i="207"/>
  <c r="I36" i="207" s="1"/>
  <c r="G40" i="207"/>
  <c r="H28" i="203"/>
  <c r="I28" i="203" s="1"/>
  <c r="G14" i="204"/>
  <c r="H12" i="204"/>
  <c r="I12" i="204" s="1"/>
  <c r="H13" i="201"/>
  <c r="I13" i="201" s="1"/>
  <c r="H13" i="204"/>
  <c r="I13" i="204" s="1"/>
  <c r="D40" i="207"/>
  <c r="H28" i="201"/>
  <c r="I28" i="201" s="1"/>
  <c r="H38" i="207"/>
  <c r="I38" i="207" s="1"/>
  <c r="H37" i="200"/>
  <c r="I37" i="200" s="1"/>
  <c r="H37" i="201"/>
  <c r="I37" i="201" s="1"/>
  <c r="H28" i="200"/>
  <c r="I28" i="200" s="1"/>
  <c r="H27" i="201"/>
  <c r="I27" i="201" s="1"/>
  <c r="H18" i="203"/>
  <c r="I18" i="203" s="1"/>
  <c r="H28" i="204"/>
  <c r="I28" i="204" s="1"/>
  <c r="G14" i="201"/>
  <c r="H12" i="201"/>
  <c r="I12" i="201" s="1"/>
  <c r="D40" i="200"/>
  <c r="D40" i="203"/>
  <c r="H27" i="204"/>
  <c r="I27" i="204" s="1"/>
  <c r="D40" i="205"/>
  <c r="H27" i="205"/>
  <c r="I27" i="205" s="1"/>
  <c r="H14" i="207" l="1"/>
  <c r="I14" i="207" s="1"/>
  <c r="H24" i="209"/>
  <c r="I24" i="209" s="1"/>
  <c r="H24" i="200"/>
  <c r="I24" i="200" s="1"/>
  <c r="H24" i="203"/>
  <c r="I24" i="203" s="1"/>
  <c r="H24" i="213"/>
  <c r="I24" i="213" s="1"/>
  <c r="H32" i="220"/>
  <c r="I32" i="220" s="1"/>
  <c r="H32" i="216"/>
  <c r="I32" i="216" s="1"/>
  <c r="H15" i="223"/>
  <c r="I15" i="223" s="1"/>
  <c r="H15" i="216"/>
  <c r="I15" i="216" s="1"/>
  <c r="H15" i="220"/>
  <c r="I15" i="220" s="1"/>
  <c r="H32" i="219"/>
  <c r="I32" i="219" s="1"/>
  <c r="H15" i="219"/>
  <c r="I15" i="219" s="1"/>
  <c r="H32" i="223"/>
  <c r="I32" i="223" s="1"/>
  <c r="H14" i="209"/>
  <c r="I14" i="209" s="1"/>
  <c r="H40" i="215"/>
  <c r="I40" i="215" s="1"/>
  <c r="H14" i="212"/>
  <c r="I14" i="212" s="1"/>
  <c r="H14" i="208"/>
  <c r="I14" i="208" s="1"/>
  <c r="H40" i="212"/>
  <c r="I40" i="212" s="1"/>
  <c r="H40" i="209"/>
  <c r="I40" i="209" s="1"/>
  <c r="H40" i="213"/>
  <c r="I40" i="213" s="1"/>
  <c r="H40" i="208"/>
  <c r="I40" i="208" s="1"/>
  <c r="H40" i="211"/>
  <c r="I40" i="211" s="1"/>
  <c r="H40" i="201"/>
  <c r="I40" i="201" s="1"/>
  <c r="H14" i="205"/>
  <c r="I14" i="205" s="1"/>
  <c r="H14" i="201"/>
  <c r="I14" i="201" s="1"/>
  <c r="H40" i="205"/>
  <c r="I40" i="205" s="1"/>
  <c r="H40" i="200"/>
  <c r="I40" i="200" s="1"/>
  <c r="H40" i="203"/>
  <c r="I40" i="203" s="1"/>
  <c r="H14" i="204"/>
  <c r="I14" i="204" s="1"/>
  <c r="H40" i="207"/>
  <c r="I40" i="207" s="1"/>
  <c r="E10" i="167" l="1"/>
  <c r="E4" i="167"/>
  <c r="E11" i="167"/>
  <c r="E9" i="167"/>
  <c r="E7" i="167"/>
  <c r="E6" i="167"/>
  <c r="E3" i="167"/>
  <c r="E5" i="167"/>
  <c r="E8" i="167"/>
  <c r="F43" i="167" l="1"/>
  <c r="B4" i="214" s="1"/>
  <c r="F42" i="167"/>
  <c r="B4" i="206" s="1"/>
  <c r="F40" i="167"/>
  <c r="B4" i="210" s="1"/>
  <c r="F39" i="167"/>
  <c r="B4" i="202" s="1"/>
  <c r="F38" i="167"/>
  <c r="F36" i="167"/>
  <c r="F35" i="167"/>
  <c r="F34" i="167"/>
  <c r="F32" i="167"/>
  <c r="F30" i="167"/>
  <c r="F29" i="167"/>
  <c r="F28" i="167"/>
  <c r="F27" i="167"/>
  <c r="F26" i="167"/>
  <c r="C53" i="7" l="1"/>
  <c r="B13" i="210"/>
  <c r="B15" i="210"/>
  <c r="B8" i="210"/>
  <c r="B17" i="210"/>
  <c r="B16" i="210"/>
  <c r="C27" i="210"/>
  <c r="F27" i="210" s="1"/>
  <c r="B41" i="210"/>
  <c r="B23" i="210"/>
  <c r="B12" i="210"/>
  <c r="B24" i="210"/>
  <c r="C49" i="7"/>
  <c r="B15" i="202"/>
  <c r="B23" i="202"/>
  <c r="B24" i="202"/>
  <c r="C27" i="202"/>
  <c r="F27" i="202" s="1"/>
  <c r="B41" i="202"/>
  <c r="B16" i="202"/>
  <c r="B13" i="202"/>
  <c r="B8" i="202"/>
  <c r="B12" i="202"/>
  <c r="B17" i="202"/>
  <c r="C60" i="7"/>
  <c r="B24" i="206"/>
  <c r="B17" i="206"/>
  <c r="B8" i="206"/>
  <c r="C27" i="206"/>
  <c r="F27" i="206" s="1"/>
  <c r="B23" i="206"/>
  <c r="B15" i="206"/>
  <c r="B13" i="206"/>
  <c r="B16" i="206"/>
  <c r="B12" i="206"/>
  <c r="B41" i="206"/>
  <c r="B41" i="214"/>
  <c r="B13" i="214"/>
  <c r="C64" i="7"/>
  <c r="B12" i="214"/>
  <c r="B24" i="214"/>
  <c r="B15" i="214"/>
  <c r="C27" i="214"/>
  <c r="F27" i="214" s="1"/>
  <c r="B16" i="214"/>
  <c r="B17" i="214"/>
  <c r="B23" i="214"/>
  <c r="B8" i="214"/>
  <c r="G31" i="167"/>
  <c r="F31" i="167"/>
  <c r="F44" i="167"/>
  <c r="G44" i="167"/>
  <c r="F33" i="167"/>
  <c r="G33" i="167"/>
  <c r="F37" i="167"/>
  <c r="G37" i="167"/>
  <c r="F41" i="167"/>
  <c r="G41" i="167"/>
  <c r="E24" i="202" l="1"/>
  <c r="G24" i="202" s="1"/>
  <c r="D24" i="202"/>
  <c r="D15" i="206"/>
  <c r="E15" i="206"/>
  <c r="G15" i="206" s="1"/>
  <c r="E23" i="206"/>
  <c r="B36" i="202"/>
  <c r="B32" i="202"/>
  <c r="B38" i="202"/>
  <c r="B28" i="202"/>
  <c r="B31" i="202"/>
  <c r="B27" i="202"/>
  <c r="B37" i="202"/>
  <c r="B32" i="210"/>
  <c r="B38" i="210"/>
  <c r="B28" i="210"/>
  <c r="B37" i="210"/>
  <c r="B31" i="210"/>
  <c r="B27" i="210"/>
  <c r="B36" i="210"/>
  <c r="E12" i="206"/>
  <c r="G12" i="206" s="1"/>
  <c r="D12" i="206"/>
  <c r="D24" i="206"/>
  <c r="E24" i="206"/>
  <c r="G24" i="206" s="1"/>
  <c r="E41" i="210"/>
  <c r="G41" i="210" s="1"/>
  <c r="D41" i="210"/>
  <c r="B4" i="218"/>
  <c r="B4" i="222"/>
  <c r="E23" i="214"/>
  <c r="D13" i="214"/>
  <c r="E13" i="214"/>
  <c r="G13" i="214" s="1"/>
  <c r="D13" i="202"/>
  <c r="E13" i="202"/>
  <c r="G13" i="202" s="1"/>
  <c r="D24" i="210"/>
  <c r="E24" i="210"/>
  <c r="G24" i="210" s="1"/>
  <c r="D15" i="210"/>
  <c r="E15" i="210"/>
  <c r="G15" i="210" s="1"/>
  <c r="D15" i="214"/>
  <c r="E15" i="214"/>
  <c r="G15" i="214" s="1"/>
  <c r="E16" i="206"/>
  <c r="G16" i="206" s="1"/>
  <c r="D16" i="206"/>
  <c r="E24" i="214"/>
  <c r="G24" i="214" s="1"/>
  <c r="D24" i="214"/>
  <c r="E23" i="202"/>
  <c r="E12" i="214"/>
  <c r="G12" i="214" s="1"/>
  <c r="D12" i="214"/>
  <c r="D17" i="214"/>
  <c r="E17" i="214"/>
  <c r="G17" i="214" s="1"/>
  <c r="E41" i="214"/>
  <c r="G41" i="214" s="1"/>
  <c r="D41" i="214"/>
  <c r="B38" i="206"/>
  <c r="B31" i="206"/>
  <c r="B27" i="206"/>
  <c r="B36" i="206"/>
  <c r="B32" i="206"/>
  <c r="B37" i="206"/>
  <c r="B28" i="206"/>
  <c r="E16" i="202"/>
  <c r="G16" i="202" s="1"/>
  <c r="D16" i="202"/>
  <c r="E12" i="210"/>
  <c r="G12" i="210" s="1"/>
  <c r="D12" i="210"/>
  <c r="E13" i="210"/>
  <c r="G13" i="210" s="1"/>
  <c r="D13" i="210"/>
  <c r="B5" i="222"/>
  <c r="B5" i="218"/>
  <c r="D13" i="206"/>
  <c r="E13" i="206"/>
  <c r="G13" i="206" s="1"/>
  <c r="D17" i="202"/>
  <c r="E17" i="202"/>
  <c r="G17" i="202" s="1"/>
  <c r="D16" i="210"/>
  <c r="E16" i="210"/>
  <c r="G16" i="210" s="1"/>
  <c r="D12" i="202"/>
  <c r="E12" i="202"/>
  <c r="G12" i="202" s="1"/>
  <c r="E15" i="202"/>
  <c r="G15" i="202" s="1"/>
  <c r="D15" i="202"/>
  <c r="D17" i="210"/>
  <c r="E17" i="210"/>
  <c r="G17" i="210" s="1"/>
  <c r="B37" i="214"/>
  <c r="B27" i="214"/>
  <c r="B32" i="214"/>
  <c r="B36" i="214"/>
  <c r="B28" i="214"/>
  <c r="B38" i="214"/>
  <c r="B31" i="214"/>
  <c r="E16" i="214"/>
  <c r="G16" i="214" s="1"/>
  <c r="D16" i="214"/>
  <c r="E41" i="206"/>
  <c r="G41" i="206" s="1"/>
  <c r="D41" i="206"/>
  <c r="D17" i="206"/>
  <c r="E17" i="206"/>
  <c r="G17" i="206" s="1"/>
  <c r="D41" i="202"/>
  <c r="E41" i="202"/>
  <c r="G41" i="202" s="1"/>
  <c r="E23" i="210"/>
  <c r="D14" i="202" l="1"/>
  <c r="D14" i="206"/>
  <c r="D14" i="214"/>
  <c r="E37" i="214"/>
  <c r="G37" i="214" s="1"/>
  <c r="D37" i="214"/>
  <c r="D36" i="206"/>
  <c r="E36" i="206"/>
  <c r="G36" i="206" s="1"/>
  <c r="H24" i="206"/>
  <c r="I24" i="206" s="1"/>
  <c r="H17" i="210"/>
  <c r="I17" i="210" s="1"/>
  <c r="G14" i="214"/>
  <c r="H12" i="214"/>
  <c r="I12" i="214" s="1"/>
  <c r="H41" i="202"/>
  <c r="I41" i="202" s="1"/>
  <c r="E31" i="206"/>
  <c r="H15" i="210"/>
  <c r="I15" i="210" s="1"/>
  <c r="G18" i="210"/>
  <c r="E32" i="210"/>
  <c r="H13" i="206"/>
  <c r="I13" i="206" s="1"/>
  <c r="D18" i="210"/>
  <c r="G14" i="206"/>
  <c r="H12" i="206"/>
  <c r="I12" i="206" s="1"/>
  <c r="H17" i="206"/>
  <c r="I17" i="206" s="1"/>
  <c r="H15" i="202"/>
  <c r="I15" i="202" s="1"/>
  <c r="G18" i="202"/>
  <c r="H16" i="202"/>
  <c r="I16" i="202" s="1"/>
  <c r="H24" i="210"/>
  <c r="I24" i="210" s="1"/>
  <c r="C67" i="7"/>
  <c r="B9" i="222"/>
  <c r="B7" i="222"/>
  <c r="B33" i="222"/>
  <c r="E36" i="210"/>
  <c r="G36" i="210" s="1"/>
  <c r="D36" i="210"/>
  <c r="E27" i="202"/>
  <c r="G27" i="202" s="1"/>
  <c r="D27" i="202"/>
  <c r="G18" i="206"/>
  <c r="H15" i="206"/>
  <c r="I15" i="206" s="1"/>
  <c r="H13" i="214"/>
  <c r="I13" i="214" s="1"/>
  <c r="E32" i="202"/>
  <c r="H17" i="202"/>
  <c r="I17" i="202" s="1"/>
  <c r="D27" i="206"/>
  <c r="E27" i="206"/>
  <c r="G27" i="206" s="1"/>
  <c r="E36" i="202"/>
  <c r="G36" i="202" s="1"/>
  <c r="D36" i="202"/>
  <c r="G14" i="210"/>
  <c r="D18" i="202"/>
  <c r="B24" i="218"/>
  <c r="B21" i="218"/>
  <c r="B20" i="218"/>
  <c r="D56" i="7"/>
  <c r="B25" i="218"/>
  <c r="H41" i="214"/>
  <c r="I41" i="214" s="1"/>
  <c r="C56" i="7"/>
  <c r="B33" i="218"/>
  <c r="B9" i="218"/>
  <c r="B7" i="218"/>
  <c r="E31" i="202"/>
  <c r="D18" i="206"/>
  <c r="E32" i="214"/>
  <c r="B20" i="222"/>
  <c r="B25" i="222"/>
  <c r="B24" i="222"/>
  <c r="D67" i="7"/>
  <c r="B21" i="222"/>
  <c r="E37" i="206"/>
  <c r="G37" i="206" s="1"/>
  <c r="D37" i="206"/>
  <c r="H17" i="214"/>
  <c r="I17" i="214" s="1"/>
  <c r="H13" i="202"/>
  <c r="I13" i="202" s="1"/>
  <c r="E31" i="210"/>
  <c r="D28" i="202"/>
  <c r="E28" i="202"/>
  <c r="G28" i="202" s="1"/>
  <c r="H13" i="210"/>
  <c r="I13" i="210" s="1"/>
  <c r="G18" i="214"/>
  <c r="H15" i="214"/>
  <c r="I15" i="214" s="1"/>
  <c r="E28" i="210"/>
  <c r="G28" i="210" s="1"/>
  <c r="D28" i="210"/>
  <c r="H16" i="214"/>
  <c r="I16" i="214" s="1"/>
  <c r="H12" i="210"/>
  <c r="I12" i="210" s="1"/>
  <c r="D14" i="210"/>
  <c r="D18" i="214"/>
  <c r="E38" i="210"/>
  <c r="G38" i="210" s="1"/>
  <c r="D38" i="210"/>
  <c r="E31" i="214"/>
  <c r="E38" i="214"/>
  <c r="G38" i="214" s="1"/>
  <c r="D38" i="214"/>
  <c r="D38" i="206"/>
  <c r="E38" i="206"/>
  <c r="G38" i="206" s="1"/>
  <c r="E37" i="202"/>
  <c r="G37" i="202" s="1"/>
  <c r="D37" i="202"/>
  <c r="D28" i="214"/>
  <c r="E28" i="214"/>
  <c r="G28" i="214" s="1"/>
  <c r="D36" i="214"/>
  <c r="E36" i="214"/>
  <c r="G36" i="214" s="1"/>
  <c r="G14" i="202"/>
  <c r="H12" i="202"/>
  <c r="I12" i="202" s="1"/>
  <c r="D28" i="206"/>
  <c r="E28" i="206"/>
  <c r="G28" i="206" s="1"/>
  <c r="H24" i="214"/>
  <c r="I24" i="214" s="1"/>
  <c r="D27" i="210"/>
  <c r="E27" i="210"/>
  <c r="G27" i="210" s="1"/>
  <c r="H41" i="206"/>
  <c r="I41" i="206" s="1"/>
  <c r="D27" i="214"/>
  <c r="E27" i="214"/>
  <c r="G27" i="214" s="1"/>
  <c r="H16" i="210"/>
  <c r="I16" i="210" s="1"/>
  <c r="E32" i="206"/>
  <c r="H16" i="206"/>
  <c r="I16" i="206" s="1"/>
  <c r="H41" i="210"/>
  <c r="I41" i="210" s="1"/>
  <c r="D37" i="210"/>
  <c r="E37" i="210"/>
  <c r="G37" i="210" s="1"/>
  <c r="E38" i="202"/>
  <c r="G38" i="202" s="1"/>
  <c r="D38" i="202"/>
  <c r="H24" i="202"/>
  <c r="I24" i="202" s="1"/>
  <c r="D40" i="210" l="1"/>
  <c r="D40" i="214"/>
  <c r="D40" i="202"/>
  <c r="H14" i="202"/>
  <c r="I14" i="202" s="1"/>
  <c r="H27" i="206"/>
  <c r="I27" i="206" s="1"/>
  <c r="G40" i="206"/>
  <c r="H36" i="206"/>
  <c r="I36" i="206" s="1"/>
  <c r="B29" i="222"/>
  <c r="B28" i="222"/>
  <c r="B22" i="222"/>
  <c r="B13" i="222"/>
  <c r="B30" i="222"/>
  <c r="H38" i="202"/>
  <c r="I38" i="202" s="1"/>
  <c r="H37" i="202"/>
  <c r="I37" i="202" s="1"/>
  <c r="D21" i="218"/>
  <c r="E21" i="218"/>
  <c r="G21" i="218" s="1"/>
  <c r="H37" i="210"/>
  <c r="I37" i="210" s="1"/>
  <c r="H27" i="210"/>
  <c r="I27" i="210" s="1"/>
  <c r="H28" i="202"/>
  <c r="I28" i="202" s="1"/>
  <c r="E24" i="218"/>
  <c r="G40" i="214"/>
  <c r="H36" i="214"/>
  <c r="I36" i="214" s="1"/>
  <c r="H28" i="210"/>
  <c r="I28" i="210" s="1"/>
  <c r="H14" i="206"/>
  <c r="I14" i="206" s="1"/>
  <c r="H14" i="214"/>
  <c r="I14" i="214" s="1"/>
  <c r="H27" i="214"/>
  <c r="I27" i="214" s="1"/>
  <c r="H38" i="210"/>
  <c r="I38" i="210" s="1"/>
  <c r="H28" i="214"/>
  <c r="I28" i="214" s="1"/>
  <c r="H38" i="214"/>
  <c r="I38" i="214" s="1"/>
  <c r="E24" i="222"/>
  <c r="E25" i="218"/>
  <c r="H18" i="206"/>
  <c r="I18" i="206" s="1"/>
  <c r="H18" i="202"/>
  <c r="I18" i="202" s="1"/>
  <c r="H37" i="214"/>
  <c r="I37" i="214" s="1"/>
  <c r="E33" i="218"/>
  <c r="G33" i="218" s="1"/>
  <c r="D33" i="218"/>
  <c r="H38" i="206"/>
  <c r="I38" i="206" s="1"/>
  <c r="H37" i="206"/>
  <c r="I37" i="206" s="1"/>
  <c r="D33" i="222"/>
  <c r="E33" i="222"/>
  <c r="G33" i="222" s="1"/>
  <c r="H18" i="210"/>
  <c r="I18" i="210" s="1"/>
  <c r="D21" i="222"/>
  <c r="E21" i="222"/>
  <c r="G21" i="222" s="1"/>
  <c r="D40" i="206"/>
  <c r="H28" i="206"/>
  <c r="I28" i="206" s="1"/>
  <c r="H14" i="210"/>
  <c r="I14" i="210" s="1"/>
  <c r="H18" i="214"/>
  <c r="I18" i="214" s="1"/>
  <c r="E25" i="222"/>
  <c r="H36" i="202"/>
  <c r="I36" i="202" s="1"/>
  <c r="G40" i="202"/>
  <c r="H36" i="210"/>
  <c r="I36" i="210" s="1"/>
  <c r="G40" i="210"/>
  <c r="E20" i="222"/>
  <c r="B29" i="218"/>
  <c r="B22" i="218"/>
  <c r="B30" i="218"/>
  <c r="B28" i="218"/>
  <c r="B13" i="218"/>
  <c r="E20" i="218"/>
  <c r="H27" i="202"/>
  <c r="I27" i="202" s="1"/>
  <c r="E29" i="222" l="1"/>
  <c r="G29" i="222" s="1"/>
  <c r="D29" i="222"/>
  <c r="D22" i="218"/>
  <c r="E22" i="218"/>
  <c r="G22" i="218" s="1"/>
  <c r="H21" i="222"/>
  <c r="I21" i="222" s="1"/>
  <c r="D29" i="218"/>
  <c r="E29" i="218"/>
  <c r="G29" i="218" s="1"/>
  <c r="H33" i="218"/>
  <c r="I33" i="218" s="1"/>
  <c r="H21" i="218"/>
  <c r="I21" i="218" s="1"/>
  <c r="D30" i="222"/>
  <c r="E30" i="222"/>
  <c r="G30" i="222" s="1"/>
  <c r="D28" i="222"/>
  <c r="E28" i="222"/>
  <c r="G28" i="222" s="1"/>
  <c r="H40" i="206"/>
  <c r="I40" i="206" s="1"/>
  <c r="D13" i="222"/>
  <c r="D15" i="222" s="1"/>
  <c r="E13" i="222"/>
  <c r="G13" i="222" s="1"/>
  <c r="D28" i="218"/>
  <c r="E28" i="218"/>
  <c r="G28" i="218" s="1"/>
  <c r="H33" i="222"/>
  <c r="I33" i="222" s="1"/>
  <c r="D30" i="218"/>
  <c r="E30" i="218"/>
  <c r="G30" i="218" s="1"/>
  <c r="H40" i="202"/>
  <c r="I40" i="202" s="1"/>
  <c r="H40" i="214"/>
  <c r="I40" i="214" s="1"/>
  <c r="E13" i="218"/>
  <c r="G13" i="218" s="1"/>
  <c r="D13" i="218"/>
  <c r="D15" i="218" s="1"/>
  <c r="H40" i="210"/>
  <c r="I40" i="210" s="1"/>
  <c r="E22" i="222"/>
  <c r="G22" i="222" s="1"/>
  <c r="D22" i="222"/>
  <c r="D32" i="218" l="1"/>
  <c r="H29" i="218"/>
  <c r="I29" i="218" s="1"/>
  <c r="H30" i="222"/>
  <c r="I30" i="222" s="1"/>
  <c r="H13" i="218"/>
  <c r="I13" i="218" s="1"/>
  <c r="G15" i="218"/>
  <c r="G32" i="222"/>
  <c r="H28" i="222"/>
  <c r="I28" i="222" s="1"/>
  <c r="H30" i="218"/>
  <c r="I30" i="218" s="1"/>
  <c r="H22" i="218"/>
  <c r="I22" i="218" s="1"/>
  <c r="H13" i="222"/>
  <c r="I13" i="222" s="1"/>
  <c r="G15" i="222"/>
  <c r="D32" i="222"/>
  <c r="H29" i="222"/>
  <c r="I29" i="222" s="1"/>
  <c r="H22" i="222"/>
  <c r="I22" i="222" s="1"/>
  <c r="H28" i="218"/>
  <c r="I28" i="218" s="1"/>
  <c r="G32" i="218"/>
  <c r="H15" i="218" l="1"/>
  <c r="I15" i="218" s="1"/>
  <c r="H32" i="222"/>
  <c r="I32" i="222" s="1"/>
  <c r="H32" i="218"/>
  <c r="I32" i="218" s="1"/>
  <c r="H15" i="222"/>
  <c r="I15" i="222" s="1"/>
  <c r="C23" i="7"/>
  <c r="F37" i="72" l="1"/>
  <c r="F35" i="72"/>
  <c r="F33" i="72"/>
  <c r="B33" i="72"/>
  <c r="D33" i="72" s="1"/>
  <c r="E33" i="72" l="1"/>
  <c r="G33" i="72" s="1"/>
  <c r="H33" i="72" l="1"/>
  <c r="I33" i="72" s="1"/>
  <c r="B33" i="75" l="1"/>
  <c r="F37" i="75"/>
  <c r="F35" i="75"/>
  <c r="F33" i="75"/>
  <c r="E33" i="75"/>
  <c r="G33" i="75" s="1"/>
  <c r="F37" i="170"/>
  <c r="F35" i="170"/>
  <c r="F33" i="170"/>
  <c r="F20" i="72"/>
  <c r="F25" i="220"/>
  <c r="G25" i="220" s="1"/>
  <c r="F24" i="220"/>
  <c r="G24" i="220" s="1"/>
  <c r="F25" i="219" l="1"/>
  <c r="G25" i="219" s="1"/>
  <c r="F25" i="216"/>
  <c r="G25" i="216" s="1"/>
  <c r="F25" i="222"/>
  <c r="G25" i="222" s="1"/>
  <c r="F25" i="223"/>
  <c r="G25" i="223" s="1"/>
  <c r="F25" i="218"/>
  <c r="G25" i="218" s="1"/>
  <c r="G26" i="220"/>
  <c r="F24" i="218"/>
  <c r="G24" i="218" s="1"/>
  <c r="F24" i="223"/>
  <c r="G24" i="223" s="1"/>
  <c r="F24" i="219"/>
  <c r="G24" i="219" s="1"/>
  <c r="F24" i="216"/>
  <c r="G24" i="216" s="1"/>
  <c r="F24" i="222"/>
  <c r="G24" i="222" s="1"/>
  <c r="D33" i="75"/>
  <c r="G26" i="218" l="1"/>
  <c r="G26" i="219"/>
  <c r="G26" i="216"/>
  <c r="G26" i="223"/>
  <c r="G26" i="222"/>
  <c r="H33" i="75"/>
  <c r="I33" i="75" s="1"/>
  <c r="F18" i="79" l="1"/>
  <c r="F18" i="173"/>
  <c r="F18" i="81"/>
  <c r="F18" i="170"/>
  <c r="F17" i="75"/>
  <c r="F18" i="5"/>
  <c r="F18" i="171"/>
  <c r="F17" i="72"/>
  <c r="F18" i="76"/>
  <c r="F18" i="172"/>
  <c r="F18" i="78"/>
  <c r="F18" i="73"/>
  <c r="F21" i="61"/>
  <c r="F21" i="183"/>
  <c r="F21" i="62"/>
  <c r="F21" i="57"/>
  <c r="F21" i="58"/>
  <c r="F21" i="184"/>
  <c r="F21" i="59"/>
  <c r="F21" i="60"/>
  <c r="F21" i="46"/>
  <c r="F21" i="180"/>
  <c r="F21" i="47"/>
  <c r="F21" i="48"/>
  <c r="F21" i="49"/>
  <c r="F21" i="50"/>
  <c r="F21" i="182"/>
  <c r="F21" i="51"/>
  <c r="F21" i="52"/>
  <c r="F21" i="181"/>
  <c r="F21" i="53"/>
  <c r="F21" i="54"/>
  <c r="F21" i="104"/>
  <c r="F21" i="168"/>
  <c r="F21" i="56"/>
  <c r="F21" i="4"/>
  <c r="C20" i="46"/>
  <c r="C20" i="180"/>
  <c r="C20" i="47"/>
  <c r="C20" i="48"/>
  <c r="C20" i="49"/>
  <c r="C20" i="50"/>
  <c r="C20" i="182"/>
  <c r="C20" i="51"/>
  <c r="C20" i="52"/>
  <c r="C20" i="181"/>
  <c r="C20" i="53"/>
  <c r="C20" i="54"/>
  <c r="C20" i="104"/>
  <c r="C20" i="168"/>
  <c r="C20" i="56"/>
  <c r="C20" i="4"/>
  <c r="F31" i="201" l="1"/>
  <c r="G31" i="201" s="1"/>
  <c r="F31" i="203"/>
  <c r="G31" i="203" s="1"/>
  <c r="F31" i="200"/>
  <c r="G31" i="200" s="1"/>
  <c r="F31" i="202"/>
  <c r="G31" i="202" s="1"/>
  <c r="F31" i="207"/>
  <c r="G31" i="207" s="1"/>
  <c r="F31" i="204"/>
  <c r="G31" i="204" s="1"/>
  <c r="F31" i="206"/>
  <c r="G31" i="206" s="1"/>
  <c r="F31" i="205"/>
  <c r="G31" i="205" s="1"/>
  <c r="F32" i="201"/>
  <c r="G32" i="201" s="1"/>
  <c r="F32" i="203"/>
  <c r="G32" i="203" s="1"/>
  <c r="F32" i="200"/>
  <c r="G32" i="200" s="1"/>
  <c r="F32" i="202"/>
  <c r="G32" i="202" s="1"/>
  <c r="F32" i="206"/>
  <c r="G32" i="206" s="1"/>
  <c r="F32" i="207"/>
  <c r="G32" i="207" s="1"/>
  <c r="F32" i="205"/>
  <c r="G32" i="205" s="1"/>
  <c r="F32" i="204"/>
  <c r="G32" i="204" s="1"/>
  <c r="F32" i="215"/>
  <c r="G32" i="215" s="1"/>
  <c r="F32" i="212"/>
  <c r="G32" i="212" s="1"/>
  <c r="F32" i="214"/>
  <c r="G32" i="214" s="1"/>
  <c r="F32" i="213"/>
  <c r="G32" i="213" s="1"/>
  <c r="F31" i="209"/>
  <c r="G31" i="209" s="1"/>
  <c r="F31" i="210"/>
  <c r="G31" i="210" s="1"/>
  <c r="F31" i="208"/>
  <c r="G31" i="208" s="1"/>
  <c r="F31" i="211"/>
  <c r="G31" i="211" s="1"/>
  <c r="F31" i="213"/>
  <c r="G31" i="213" s="1"/>
  <c r="F31" i="215"/>
  <c r="G31" i="215" s="1"/>
  <c r="F31" i="214"/>
  <c r="G31" i="214" s="1"/>
  <c r="F31" i="212"/>
  <c r="G31" i="212" s="1"/>
  <c r="F32" i="210"/>
  <c r="G32" i="210" s="1"/>
  <c r="F32" i="208"/>
  <c r="G32" i="208" s="1"/>
  <c r="F32" i="209"/>
  <c r="G32" i="209" s="1"/>
  <c r="F32" i="211"/>
  <c r="G32" i="211" s="1"/>
  <c r="G33" i="206" l="1"/>
  <c r="G33" i="203"/>
  <c r="G33" i="215"/>
  <c r="G33" i="204"/>
  <c r="G33" i="201"/>
  <c r="G33" i="209"/>
  <c r="G33" i="214"/>
  <c r="G33" i="200"/>
  <c r="G33" i="211"/>
  <c r="G33" i="208"/>
  <c r="G33" i="212"/>
  <c r="G33" i="205"/>
  <c r="G33" i="213"/>
  <c r="G33" i="202"/>
  <c r="G33" i="207"/>
  <c r="G33" i="210"/>
  <c r="D45" i="7" l="1"/>
  <c r="D42" i="7"/>
  <c r="F50" i="184" l="1"/>
  <c r="F48" i="184"/>
  <c r="F45" i="184"/>
  <c r="F43" i="184"/>
  <c r="F41" i="184"/>
  <c r="F39" i="184"/>
  <c r="E39" i="184"/>
  <c r="G39" i="184" s="1"/>
  <c r="H39" i="184" s="1"/>
  <c r="I39" i="184" s="1"/>
  <c r="D39" i="184"/>
  <c r="C28" i="184"/>
  <c r="F28" i="184" s="1"/>
  <c r="F26" i="184"/>
  <c r="G26" i="184" s="1"/>
  <c r="C26" i="184"/>
  <c r="D26" i="184" s="1"/>
  <c r="E22" i="184"/>
  <c r="E21" i="184"/>
  <c r="C21" i="184"/>
  <c r="D21" i="184" s="1"/>
  <c r="E20" i="184"/>
  <c r="G20" i="184" s="1"/>
  <c r="C20" i="184"/>
  <c r="D20" i="184" s="1"/>
  <c r="E19" i="184"/>
  <c r="F17" i="184"/>
  <c r="F16" i="184"/>
  <c r="F15" i="184"/>
  <c r="F13" i="184"/>
  <c r="F12" i="184"/>
  <c r="B9" i="184"/>
  <c r="B7" i="184"/>
  <c r="B6" i="184"/>
  <c r="B5" i="184"/>
  <c r="F50" i="183"/>
  <c r="F48" i="183"/>
  <c r="F45" i="183"/>
  <c r="F43" i="183"/>
  <c r="F41" i="183"/>
  <c r="F39" i="183"/>
  <c r="E39" i="183"/>
  <c r="G39" i="183" s="1"/>
  <c r="D39" i="183"/>
  <c r="C28" i="183"/>
  <c r="F28" i="183" s="1"/>
  <c r="F26" i="183"/>
  <c r="G26" i="183" s="1"/>
  <c r="C26" i="183"/>
  <c r="D26" i="183" s="1"/>
  <c r="E22" i="183"/>
  <c r="E21" i="183"/>
  <c r="C21" i="183"/>
  <c r="D21" i="183" s="1"/>
  <c r="E20" i="183"/>
  <c r="G20" i="183" s="1"/>
  <c r="C20" i="183"/>
  <c r="D20" i="183" s="1"/>
  <c r="E19" i="183"/>
  <c r="F17" i="183"/>
  <c r="F16" i="183"/>
  <c r="F15" i="183"/>
  <c r="F13" i="183"/>
  <c r="F12" i="183"/>
  <c r="B9" i="183"/>
  <c r="B7" i="183"/>
  <c r="B6" i="183"/>
  <c r="B5" i="183"/>
  <c r="F50" i="181"/>
  <c r="F48" i="181"/>
  <c r="F45" i="181"/>
  <c r="F43" i="181"/>
  <c r="F41" i="181"/>
  <c r="F39" i="181"/>
  <c r="E39" i="181"/>
  <c r="G39" i="181" s="1"/>
  <c r="D39" i="181"/>
  <c r="C28" i="181"/>
  <c r="F28" i="181" s="1"/>
  <c r="F26" i="181"/>
  <c r="G26" i="181" s="1"/>
  <c r="C26" i="181"/>
  <c r="D26" i="181" s="1"/>
  <c r="E22" i="181"/>
  <c r="E21" i="181"/>
  <c r="C21" i="181"/>
  <c r="D21" i="181" s="1"/>
  <c r="E20" i="181"/>
  <c r="G20" i="181" s="1"/>
  <c r="D20" i="181"/>
  <c r="E19" i="181"/>
  <c r="F17" i="181"/>
  <c r="F16" i="181"/>
  <c r="F15" i="181"/>
  <c r="F13" i="181"/>
  <c r="F12" i="181"/>
  <c r="B9" i="181"/>
  <c r="B7" i="181"/>
  <c r="B6" i="181"/>
  <c r="B5" i="181"/>
  <c r="F50" i="182"/>
  <c r="F48" i="182"/>
  <c r="F45" i="182"/>
  <c r="F43" i="182"/>
  <c r="F41" i="182"/>
  <c r="F39" i="182"/>
  <c r="E39" i="182"/>
  <c r="D39" i="182"/>
  <c r="C28" i="182"/>
  <c r="F28" i="182" s="1"/>
  <c r="F26" i="182"/>
  <c r="G26" i="182" s="1"/>
  <c r="C26" i="182"/>
  <c r="D26" i="182" s="1"/>
  <c r="E22" i="182"/>
  <c r="E21" i="182"/>
  <c r="C21" i="182"/>
  <c r="D21" i="182" s="1"/>
  <c r="E20" i="182"/>
  <c r="G20" i="182" s="1"/>
  <c r="D20" i="182"/>
  <c r="E19" i="182"/>
  <c r="F17" i="182"/>
  <c r="F16" i="182"/>
  <c r="F15" i="182"/>
  <c r="F13" i="182"/>
  <c r="F12" i="182"/>
  <c r="B9" i="182"/>
  <c r="B7" i="182"/>
  <c r="B6" i="182"/>
  <c r="B5" i="182"/>
  <c r="F50" i="180"/>
  <c r="F48" i="180"/>
  <c r="F45" i="180"/>
  <c r="F43" i="180"/>
  <c r="F41" i="180"/>
  <c r="F39" i="180"/>
  <c r="E39" i="180"/>
  <c r="D39" i="180"/>
  <c r="C28" i="180"/>
  <c r="F28" i="180" s="1"/>
  <c r="F26" i="180"/>
  <c r="G26" i="180" s="1"/>
  <c r="C26" i="180"/>
  <c r="D26" i="180" s="1"/>
  <c r="E22" i="180"/>
  <c r="E21" i="180"/>
  <c r="C21" i="180"/>
  <c r="D21" i="180" s="1"/>
  <c r="E20" i="180"/>
  <c r="G20" i="180" s="1"/>
  <c r="D20" i="180"/>
  <c r="E19" i="180"/>
  <c r="F17" i="180"/>
  <c r="F16" i="180"/>
  <c r="F15" i="180"/>
  <c r="F13" i="180"/>
  <c r="F12" i="180"/>
  <c r="B9" i="180"/>
  <c r="B7" i="180"/>
  <c r="B6" i="180"/>
  <c r="B5" i="180"/>
  <c r="G21" i="184" l="1"/>
  <c r="H21" i="184" s="1"/>
  <c r="I21" i="184" s="1"/>
  <c r="G39" i="182"/>
  <c r="G39" i="180"/>
  <c r="G21" i="182"/>
  <c r="H21" i="182" s="1"/>
  <c r="I21" i="182" s="1"/>
  <c r="H26" i="183"/>
  <c r="I26" i="183" s="1"/>
  <c r="G21" i="181"/>
  <c r="H21" i="181" s="1"/>
  <c r="I21" i="181" s="1"/>
  <c r="H26" i="184"/>
  <c r="I26" i="184" s="1"/>
  <c r="G21" i="180"/>
  <c r="H21" i="180" s="1"/>
  <c r="I21" i="180" s="1"/>
  <c r="H26" i="180"/>
  <c r="I26" i="180" s="1"/>
  <c r="G21" i="183"/>
  <c r="H21" i="183" s="1"/>
  <c r="I21" i="183" s="1"/>
  <c r="H20" i="184"/>
  <c r="I20" i="184" s="1"/>
  <c r="H20" i="183"/>
  <c r="I20" i="183" s="1"/>
  <c r="H39" i="183"/>
  <c r="I39" i="183" s="1"/>
  <c r="H20" i="181"/>
  <c r="I20" i="181" s="1"/>
  <c r="H39" i="181"/>
  <c r="I39" i="181" s="1"/>
  <c r="H26" i="181"/>
  <c r="I26" i="181" s="1"/>
  <c r="H20" i="182"/>
  <c r="I20" i="182" s="1"/>
  <c r="H26" i="182"/>
  <c r="I26" i="182" s="1"/>
  <c r="H39" i="182"/>
  <c r="I39" i="182" s="1"/>
  <c r="H39" i="180"/>
  <c r="I39" i="180" s="1"/>
  <c r="H20" i="180"/>
  <c r="I20" i="180" s="1"/>
  <c r="F38" i="175" l="1"/>
  <c r="F36" i="175"/>
  <c r="F34" i="175"/>
  <c r="F32" i="175"/>
  <c r="E32" i="175"/>
  <c r="G32" i="175" s="1"/>
  <c r="D32" i="175"/>
  <c r="E18" i="175"/>
  <c r="E17" i="175"/>
  <c r="D17" i="175"/>
  <c r="E16" i="175"/>
  <c r="G16" i="175" s="1"/>
  <c r="D16" i="175"/>
  <c r="E15" i="175"/>
  <c r="F13" i="175"/>
  <c r="F12" i="175"/>
  <c r="B9" i="175"/>
  <c r="B7" i="175"/>
  <c r="B6" i="175"/>
  <c r="B5" i="175"/>
  <c r="F38" i="174"/>
  <c r="F36" i="174"/>
  <c r="F34" i="174"/>
  <c r="F32" i="174"/>
  <c r="E32" i="174"/>
  <c r="D32" i="174"/>
  <c r="E18" i="174"/>
  <c r="E17" i="174"/>
  <c r="D17" i="174"/>
  <c r="E16" i="174"/>
  <c r="G16" i="174" s="1"/>
  <c r="D16" i="174"/>
  <c r="E15" i="174"/>
  <c r="F13" i="174"/>
  <c r="F12" i="174"/>
  <c r="B9" i="174"/>
  <c r="B7" i="174"/>
  <c r="B6" i="174"/>
  <c r="B5" i="174"/>
  <c r="F37" i="173"/>
  <c r="F35" i="173"/>
  <c r="F33" i="173"/>
  <c r="F31" i="173"/>
  <c r="E31" i="173"/>
  <c r="G31" i="173" s="1"/>
  <c r="D31" i="173"/>
  <c r="B25" i="173"/>
  <c r="B24" i="173"/>
  <c r="E24" i="173" s="1"/>
  <c r="B21" i="173"/>
  <c r="E21" i="173" s="1"/>
  <c r="B20" i="173"/>
  <c r="E20" i="173" s="1"/>
  <c r="E19" i="173"/>
  <c r="E18" i="173"/>
  <c r="C18" i="173"/>
  <c r="D18" i="173" s="1"/>
  <c r="E17" i="173"/>
  <c r="G17" i="173" s="1"/>
  <c r="C17" i="173"/>
  <c r="D17" i="173" s="1"/>
  <c r="E16" i="173"/>
  <c r="F14" i="173"/>
  <c r="E14" i="173"/>
  <c r="G14" i="173" s="1"/>
  <c r="D14" i="173"/>
  <c r="F13" i="173"/>
  <c r="B8" i="173"/>
  <c r="B6" i="173"/>
  <c r="F37" i="172"/>
  <c r="F35" i="172"/>
  <c r="F33" i="172"/>
  <c r="F31" i="172"/>
  <c r="E31" i="172"/>
  <c r="D31" i="172"/>
  <c r="E25" i="172"/>
  <c r="B25" i="172"/>
  <c r="B24" i="172"/>
  <c r="E24" i="172" s="1"/>
  <c r="B21" i="172"/>
  <c r="E21" i="172" s="1"/>
  <c r="B20" i="172"/>
  <c r="E20" i="172" s="1"/>
  <c r="E19" i="172"/>
  <c r="E18" i="172"/>
  <c r="C18" i="172"/>
  <c r="D18" i="172" s="1"/>
  <c r="E17" i="172"/>
  <c r="G17" i="172" s="1"/>
  <c r="C17" i="172"/>
  <c r="D17" i="172" s="1"/>
  <c r="E16" i="172"/>
  <c r="F14" i="172"/>
  <c r="E14" i="172"/>
  <c r="D14" i="172"/>
  <c r="F13" i="172"/>
  <c r="B8" i="172"/>
  <c r="B6" i="172"/>
  <c r="F35" i="171"/>
  <c r="F33" i="171"/>
  <c r="F31" i="171"/>
  <c r="E31" i="171"/>
  <c r="D31" i="171"/>
  <c r="B25" i="171"/>
  <c r="E25" i="171" s="1"/>
  <c r="B24" i="171"/>
  <c r="B21" i="171"/>
  <c r="B20" i="171"/>
  <c r="E19" i="171"/>
  <c r="E18" i="171"/>
  <c r="C18" i="171"/>
  <c r="D18" i="171" s="1"/>
  <c r="E17" i="171"/>
  <c r="G17" i="171" s="1"/>
  <c r="C17" i="171"/>
  <c r="D17" i="171" s="1"/>
  <c r="E16" i="171"/>
  <c r="F14" i="171"/>
  <c r="E14" i="171"/>
  <c r="D14" i="171"/>
  <c r="F13" i="171"/>
  <c r="B8" i="171"/>
  <c r="B6" i="171"/>
  <c r="F31" i="170"/>
  <c r="E31" i="170"/>
  <c r="G31" i="170" s="1"/>
  <c r="D31" i="170"/>
  <c r="B25" i="170"/>
  <c r="B24" i="170"/>
  <c r="E24" i="170" s="1"/>
  <c r="B21" i="170"/>
  <c r="E21" i="170" s="1"/>
  <c r="B20" i="170"/>
  <c r="E20" i="170" s="1"/>
  <c r="E19" i="170"/>
  <c r="E18" i="170"/>
  <c r="C18" i="170"/>
  <c r="D18" i="170" s="1"/>
  <c r="E17" i="170"/>
  <c r="G17" i="170" s="1"/>
  <c r="C17" i="170"/>
  <c r="D17" i="170" s="1"/>
  <c r="E16" i="170"/>
  <c r="F14" i="170"/>
  <c r="E14" i="170"/>
  <c r="G14" i="170" s="1"/>
  <c r="D14" i="170"/>
  <c r="F13" i="170"/>
  <c r="B8" i="170"/>
  <c r="B6" i="170"/>
  <c r="F38" i="169"/>
  <c r="F36" i="169"/>
  <c r="F34" i="169"/>
  <c r="F32" i="169"/>
  <c r="E32" i="169"/>
  <c r="D32" i="169"/>
  <c r="E18" i="169"/>
  <c r="C18" i="169"/>
  <c r="D18" i="169" s="1"/>
  <c r="E17" i="169"/>
  <c r="D17" i="169"/>
  <c r="E16" i="169"/>
  <c r="G16" i="169" s="1"/>
  <c r="D16" i="169"/>
  <c r="E15" i="169"/>
  <c r="F13" i="169"/>
  <c r="F12" i="169"/>
  <c r="B9" i="169"/>
  <c r="B7" i="169"/>
  <c r="B6" i="169"/>
  <c r="B5" i="169"/>
  <c r="F50" i="168"/>
  <c r="F48" i="168"/>
  <c r="F45" i="168"/>
  <c r="F43" i="168"/>
  <c r="F41" i="168"/>
  <c r="F39" i="168"/>
  <c r="E39" i="168"/>
  <c r="G39" i="168" s="1"/>
  <c r="D39" i="168"/>
  <c r="C28" i="168"/>
  <c r="F28" i="168" s="1"/>
  <c r="F26" i="168"/>
  <c r="G26" i="168" s="1"/>
  <c r="C26" i="168"/>
  <c r="D26" i="168" s="1"/>
  <c r="E22" i="168"/>
  <c r="E21" i="168"/>
  <c r="C21" i="168"/>
  <c r="D21" i="168" s="1"/>
  <c r="E20" i="168"/>
  <c r="G20" i="168" s="1"/>
  <c r="D20" i="168"/>
  <c r="E19" i="168"/>
  <c r="F17" i="168"/>
  <c r="F16" i="168"/>
  <c r="F15" i="168"/>
  <c r="F13" i="168"/>
  <c r="F12" i="168"/>
  <c r="B9" i="168"/>
  <c r="B7" i="168"/>
  <c r="B6" i="168"/>
  <c r="B5" i="168"/>
  <c r="G32" i="169" l="1"/>
  <c r="G32" i="174"/>
  <c r="H32" i="174" s="1"/>
  <c r="I32" i="174" s="1"/>
  <c r="G18" i="173"/>
  <c r="H18" i="173" s="1"/>
  <c r="I18" i="173" s="1"/>
  <c r="G31" i="172"/>
  <c r="G14" i="172"/>
  <c r="G18" i="171"/>
  <c r="H18" i="171" s="1"/>
  <c r="I18" i="171" s="1"/>
  <c r="G14" i="171"/>
  <c r="H14" i="171" s="1"/>
  <c r="I14" i="171" s="1"/>
  <c r="G31" i="171"/>
  <c r="H31" i="171" s="1"/>
  <c r="I31" i="171" s="1"/>
  <c r="G18" i="170"/>
  <c r="H18" i="170" s="1"/>
  <c r="I18" i="170" s="1"/>
  <c r="G18" i="172"/>
  <c r="H18" i="172" s="1"/>
  <c r="I18" i="172" s="1"/>
  <c r="H16" i="175"/>
  <c r="I16" i="175" s="1"/>
  <c r="G17" i="169"/>
  <c r="H17" i="169" s="1"/>
  <c r="I17" i="169" s="1"/>
  <c r="G21" i="168"/>
  <c r="H21" i="168" s="1"/>
  <c r="I21" i="168" s="1"/>
  <c r="G17" i="174"/>
  <c r="H17" i="174" s="1"/>
  <c r="I17" i="174" s="1"/>
  <c r="G17" i="175"/>
  <c r="H17" i="175" s="1"/>
  <c r="I17" i="175" s="1"/>
  <c r="H32" i="175"/>
  <c r="I32" i="175" s="1"/>
  <c r="H16" i="174"/>
  <c r="I16" i="174" s="1"/>
  <c r="E21" i="171"/>
  <c r="E25" i="170"/>
  <c r="E25" i="173"/>
  <c r="H14" i="173"/>
  <c r="I14" i="173" s="1"/>
  <c r="H17" i="173"/>
  <c r="I17" i="173" s="1"/>
  <c r="H31" i="173"/>
  <c r="I31" i="173" s="1"/>
  <c r="H14" i="172"/>
  <c r="I14" i="172" s="1"/>
  <c r="H17" i="172"/>
  <c r="I17" i="172" s="1"/>
  <c r="H31" i="172"/>
  <c r="I31" i="172" s="1"/>
  <c r="H17" i="171"/>
  <c r="I17" i="171" s="1"/>
  <c r="E24" i="171"/>
  <c r="E20" i="171"/>
  <c r="H14" i="170"/>
  <c r="I14" i="170" s="1"/>
  <c r="H31" i="170"/>
  <c r="I31" i="170" s="1"/>
  <c r="H17" i="170"/>
  <c r="I17" i="170" s="1"/>
  <c r="H16" i="169"/>
  <c r="I16" i="169" s="1"/>
  <c r="H32" i="169"/>
  <c r="I32" i="169" s="1"/>
  <c r="H39" i="168"/>
  <c r="I39" i="168" s="1"/>
  <c r="H20" i="168"/>
  <c r="I20" i="168" s="1"/>
  <c r="H26" i="168"/>
  <c r="I26" i="168" s="1"/>
  <c r="F25" i="172"/>
  <c r="G25" i="172" s="1"/>
  <c r="F24" i="172"/>
  <c r="G24" i="172" s="1"/>
  <c r="F25" i="170"/>
  <c r="F24" i="170"/>
  <c r="G24" i="170" s="1"/>
  <c r="F25" i="171"/>
  <c r="G25" i="171" s="1"/>
  <c r="F24" i="171"/>
  <c r="F32" i="183"/>
  <c r="F31" i="183"/>
  <c r="F32" i="184"/>
  <c r="F31" i="184"/>
  <c r="F32" i="168"/>
  <c r="F31" i="168"/>
  <c r="F32" i="181"/>
  <c r="F31" i="181"/>
  <c r="F32" i="182"/>
  <c r="F31" i="182"/>
  <c r="F32" i="180"/>
  <c r="F31" i="180"/>
  <c r="F25" i="175" l="1"/>
  <c r="F26" i="175"/>
  <c r="F24" i="173"/>
  <c r="G24" i="173" s="1"/>
  <c r="F25" i="173"/>
  <c r="G25" i="173" s="1"/>
  <c r="G26" i="172"/>
  <c r="X10" i="3"/>
  <c r="F25" i="169"/>
  <c r="Y10" i="3"/>
  <c r="F26" i="169"/>
  <c r="G24" i="171"/>
  <c r="G26" i="171" s="1"/>
  <c r="G25" i="170"/>
  <c r="G26" i="173" l="1"/>
  <c r="F26" i="174"/>
  <c r="F25" i="174"/>
  <c r="G26" i="170"/>
  <c r="F43" i="60" l="1"/>
  <c r="F45" i="60"/>
  <c r="F48" i="60"/>
  <c r="C28" i="59" l="1"/>
  <c r="C28" i="58"/>
  <c r="C28" i="57"/>
  <c r="C28" i="62"/>
  <c r="C28" i="61"/>
  <c r="C28" i="60"/>
  <c r="C28" i="56"/>
  <c r="C28" i="104"/>
  <c r="C28" i="54"/>
  <c r="C28" i="53"/>
  <c r="C28" i="52"/>
  <c r="C28" i="51"/>
  <c r="C28" i="50"/>
  <c r="C28" i="49"/>
  <c r="C28" i="48"/>
  <c r="C28" i="47"/>
  <c r="C28" i="46"/>
  <c r="C28" i="4"/>
  <c r="B16" i="59" l="1"/>
  <c r="B15" i="59"/>
  <c r="B16" i="58"/>
  <c r="B15" i="58"/>
  <c r="B16" i="57"/>
  <c r="B15" i="57"/>
  <c r="B16" i="62"/>
  <c r="B15" i="62"/>
  <c r="B16" i="61"/>
  <c r="B15" i="61"/>
  <c r="B16" i="60"/>
  <c r="B15" i="60"/>
  <c r="B16" i="56"/>
  <c r="B15" i="56"/>
  <c r="B16" i="104"/>
  <c r="B15" i="104"/>
  <c r="B16" i="54"/>
  <c r="B15" i="54"/>
  <c r="B16" i="53"/>
  <c r="B15" i="53"/>
  <c r="B16" i="52"/>
  <c r="B15" i="52"/>
  <c r="B16" i="51"/>
  <c r="B15" i="51"/>
  <c r="B16" i="50"/>
  <c r="B15" i="50"/>
  <c r="B16" i="49"/>
  <c r="B15" i="49"/>
  <c r="B16" i="48"/>
  <c r="B15" i="48"/>
  <c r="B16" i="47"/>
  <c r="B15" i="47"/>
  <c r="B16" i="46"/>
  <c r="B15" i="46"/>
  <c r="B16" i="4"/>
  <c r="B15" i="4"/>
  <c r="F50" i="59" l="1"/>
  <c r="F45" i="59"/>
  <c r="F50" i="62"/>
  <c r="F45" i="62"/>
  <c r="F50" i="4" l="1"/>
  <c r="F50" i="58"/>
  <c r="F50" i="57"/>
  <c r="F50" i="61"/>
  <c r="F50" i="60"/>
  <c r="F50" i="56"/>
  <c r="F50" i="104"/>
  <c r="F50" i="54"/>
  <c r="F50" i="53"/>
  <c r="F50" i="52"/>
  <c r="F50" i="51"/>
  <c r="F50" i="50"/>
  <c r="F50" i="49"/>
  <c r="F50" i="48"/>
  <c r="F50" i="47"/>
  <c r="F50" i="46"/>
  <c r="F48" i="104" l="1"/>
  <c r="F45" i="104"/>
  <c r="F43" i="104"/>
  <c r="F41" i="104"/>
  <c r="B41" i="104"/>
  <c r="D41" i="104" s="1"/>
  <c r="F39" i="104"/>
  <c r="E39" i="104"/>
  <c r="G39" i="104" s="1"/>
  <c r="D39" i="104"/>
  <c r="F28" i="104"/>
  <c r="F26" i="104"/>
  <c r="G26" i="104" s="1"/>
  <c r="C26" i="104"/>
  <c r="D26" i="104" s="1"/>
  <c r="E22" i="104"/>
  <c r="E21" i="104"/>
  <c r="C21" i="104"/>
  <c r="D21" i="104" s="1"/>
  <c r="E20" i="104"/>
  <c r="G20" i="104" s="1"/>
  <c r="D20" i="104"/>
  <c r="E19" i="104"/>
  <c r="F17" i="104"/>
  <c r="B17" i="104"/>
  <c r="D17" i="104" s="1"/>
  <c r="F16" i="104"/>
  <c r="D16" i="104"/>
  <c r="F15" i="104"/>
  <c r="D15" i="104"/>
  <c r="F13" i="104"/>
  <c r="F12" i="104"/>
  <c r="B9" i="104"/>
  <c r="B7" i="104"/>
  <c r="B6" i="104"/>
  <c r="B8" i="104" s="1"/>
  <c r="B38" i="104" s="1"/>
  <c r="B5" i="104"/>
  <c r="G21" i="104" l="1"/>
  <c r="H21" i="104" s="1"/>
  <c r="I21" i="104" s="1"/>
  <c r="E41" i="104"/>
  <c r="G41" i="104" s="1"/>
  <c r="D18" i="104"/>
  <c r="E38" i="104"/>
  <c r="G38" i="104" s="1"/>
  <c r="D38" i="104"/>
  <c r="H41" i="104"/>
  <c r="I41" i="104" s="1"/>
  <c r="B13" i="104"/>
  <c r="B12" i="104"/>
  <c r="H39" i="104"/>
  <c r="I39" i="104" s="1"/>
  <c r="E15" i="104"/>
  <c r="G15" i="104" s="1"/>
  <c r="E16" i="104"/>
  <c r="G16" i="104" s="1"/>
  <c r="H26" i="104"/>
  <c r="I26" i="104" s="1"/>
  <c r="B37" i="104"/>
  <c r="B36" i="104"/>
  <c r="B32" i="104"/>
  <c r="B28" i="104"/>
  <c r="B31" i="104"/>
  <c r="B27" i="104"/>
  <c r="E17" i="104"/>
  <c r="G17" i="104" s="1"/>
  <c r="H20" i="104"/>
  <c r="I20" i="104" s="1"/>
  <c r="B24" i="104"/>
  <c r="B23" i="104"/>
  <c r="C27" i="104"/>
  <c r="F27" i="104" s="1"/>
  <c r="H38" i="104" l="1"/>
  <c r="I38" i="104" s="1"/>
  <c r="H17" i="104"/>
  <c r="I17" i="104" s="1"/>
  <c r="E32" i="104"/>
  <c r="E12" i="104"/>
  <c r="G12" i="104" s="1"/>
  <c r="D12" i="104"/>
  <c r="D27" i="104"/>
  <c r="E27" i="104"/>
  <c r="G27" i="104" s="1"/>
  <c r="E36" i="104"/>
  <c r="G36" i="104" s="1"/>
  <c r="D36" i="104"/>
  <c r="G18" i="104"/>
  <c r="H15" i="104"/>
  <c r="I15" i="104" s="1"/>
  <c r="E13" i="104"/>
  <c r="G13" i="104" s="1"/>
  <c r="D13" i="104"/>
  <c r="E23" i="104"/>
  <c r="E31" i="104"/>
  <c r="E37" i="104"/>
  <c r="G37" i="104" s="1"/>
  <c r="D37" i="104"/>
  <c r="E24" i="104"/>
  <c r="D28" i="104"/>
  <c r="E28" i="104"/>
  <c r="G28" i="104" s="1"/>
  <c r="H16" i="104"/>
  <c r="I16" i="104" s="1"/>
  <c r="D40" i="104" l="1"/>
  <c r="H18" i="104"/>
  <c r="I18" i="104" s="1"/>
  <c r="H27" i="104"/>
  <c r="I27" i="104" s="1"/>
  <c r="H13" i="104"/>
  <c r="I13" i="104" s="1"/>
  <c r="D14" i="104"/>
  <c r="H28" i="104"/>
  <c r="I28" i="104" s="1"/>
  <c r="H36" i="104"/>
  <c r="I36" i="104" s="1"/>
  <c r="G40" i="104"/>
  <c r="H12" i="104"/>
  <c r="I12" i="104" s="1"/>
  <c r="G14" i="104"/>
  <c r="H37" i="104"/>
  <c r="I37" i="104" s="1"/>
  <c r="F32" i="104"/>
  <c r="G32" i="104" s="1"/>
  <c r="F31" i="104"/>
  <c r="G31" i="104" s="1"/>
  <c r="G33" i="104" l="1"/>
  <c r="H40" i="104"/>
  <c r="I40" i="104" s="1"/>
  <c r="H14" i="104"/>
  <c r="I14" i="104" s="1"/>
  <c r="C17" i="72" l="1"/>
  <c r="C17" i="73"/>
  <c r="C17" i="75"/>
  <c r="C17" i="76"/>
  <c r="C17" i="78"/>
  <c r="C17" i="79"/>
  <c r="C17" i="81"/>
  <c r="C17" i="5"/>
  <c r="C18" i="64"/>
  <c r="B17" i="62" l="1"/>
  <c r="B17" i="61"/>
  <c r="B17" i="60"/>
  <c r="B17" i="59"/>
  <c r="B17" i="58"/>
  <c r="B17" i="57"/>
  <c r="B17" i="56"/>
  <c r="B17" i="54"/>
  <c r="B17" i="53"/>
  <c r="B17" i="52"/>
  <c r="B17" i="51"/>
  <c r="B17" i="50"/>
  <c r="B17" i="49"/>
  <c r="B17" i="48"/>
  <c r="B17" i="47"/>
  <c r="B17" i="46"/>
  <c r="B17" i="4"/>
  <c r="D46" i="7" l="1"/>
  <c r="D44" i="7"/>
  <c r="C46" i="7"/>
  <c r="C44" i="7"/>
  <c r="D43" i="7"/>
  <c r="D41" i="7"/>
  <c r="C43" i="7"/>
  <c r="C41" i="7"/>
  <c r="C40" i="7"/>
  <c r="C38" i="7"/>
  <c r="C37" i="7"/>
  <c r="C35" i="7"/>
  <c r="C34" i="7"/>
  <c r="C32" i="7"/>
  <c r="F33" i="81" l="1"/>
  <c r="F31" i="81"/>
  <c r="E31" i="81"/>
  <c r="G31" i="81" s="1"/>
  <c r="D31" i="81"/>
  <c r="E19" i="81"/>
  <c r="E18" i="81"/>
  <c r="G17" i="81"/>
  <c r="E17" i="81"/>
  <c r="D17" i="81"/>
  <c r="E16" i="81"/>
  <c r="F33" i="79"/>
  <c r="F31" i="79"/>
  <c r="E31" i="79"/>
  <c r="D31" i="79"/>
  <c r="E19" i="79"/>
  <c r="E18" i="79"/>
  <c r="E17" i="79"/>
  <c r="G17" i="79" s="1"/>
  <c r="D17" i="79"/>
  <c r="E16" i="79"/>
  <c r="F33" i="78"/>
  <c r="F31" i="78"/>
  <c r="E31" i="78"/>
  <c r="G31" i="78" s="1"/>
  <c r="D31" i="78"/>
  <c r="E19" i="78"/>
  <c r="E18" i="78"/>
  <c r="E17" i="78"/>
  <c r="G17" i="78" s="1"/>
  <c r="D17" i="78"/>
  <c r="E16" i="78"/>
  <c r="F33" i="76"/>
  <c r="F31" i="76"/>
  <c r="E31" i="76"/>
  <c r="G31" i="76" s="1"/>
  <c r="D31" i="76"/>
  <c r="E19" i="76"/>
  <c r="E18" i="76"/>
  <c r="E17" i="76"/>
  <c r="G17" i="76" s="1"/>
  <c r="D17" i="76"/>
  <c r="E16" i="76"/>
  <c r="F31" i="75"/>
  <c r="E31" i="75"/>
  <c r="D31" i="75"/>
  <c r="E19" i="75"/>
  <c r="E18" i="75"/>
  <c r="E17" i="75"/>
  <c r="G17" i="75" s="1"/>
  <c r="D17" i="75"/>
  <c r="E16" i="75"/>
  <c r="F33" i="73"/>
  <c r="F31" i="73"/>
  <c r="E31" i="73"/>
  <c r="D31" i="73"/>
  <c r="E19" i="73"/>
  <c r="E18" i="73"/>
  <c r="E17" i="73"/>
  <c r="G17" i="73" s="1"/>
  <c r="D17" i="73"/>
  <c r="E16" i="73"/>
  <c r="F31" i="72"/>
  <c r="E31" i="72"/>
  <c r="D31" i="72"/>
  <c r="E19" i="72"/>
  <c r="E18" i="72"/>
  <c r="E17" i="72"/>
  <c r="G17" i="72" s="1"/>
  <c r="D17" i="72"/>
  <c r="E16" i="72"/>
  <c r="F33" i="5"/>
  <c r="F31" i="5"/>
  <c r="E31" i="5"/>
  <c r="G31" i="5" s="1"/>
  <c r="D31" i="5"/>
  <c r="E19" i="5"/>
  <c r="E18" i="5"/>
  <c r="E17" i="5"/>
  <c r="G17" i="5" s="1"/>
  <c r="D17" i="5"/>
  <c r="E16" i="5"/>
  <c r="F34" i="70"/>
  <c r="F32" i="70"/>
  <c r="E32" i="70"/>
  <c r="G32" i="70" s="1"/>
  <c r="D32" i="70"/>
  <c r="E18" i="70"/>
  <c r="E17" i="70"/>
  <c r="E16" i="70"/>
  <c r="G16" i="70" s="1"/>
  <c r="D16" i="70"/>
  <c r="E15" i="70"/>
  <c r="F34" i="68"/>
  <c r="F32" i="68"/>
  <c r="E32" i="68"/>
  <c r="G32" i="68" s="1"/>
  <c r="D32" i="68"/>
  <c r="E18" i="68"/>
  <c r="E17" i="68"/>
  <c r="E16" i="68"/>
  <c r="G16" i="68" s="1"/>
  <c r="D16" i="68"/>
  <c r="E15" i="68"/>
  <c r="F34" i="67"/>
  <c r="F32" i="67"/>
  <c r="E32" i="67"/>
  <c r="G32" i="67" s="1"/>
  <c r="D32" i="67"/>
  <c r="E18" i="67"/>
  <c r="E17" i="67"/>
  <c r="E16" i="67"/>
  <c r="G16" i="67" s="1"/>
  <c r="D16" i="67"/>
  <c r="E15" i="67"/>
  <c r="F34" i="65"/>
  <c r="F32" i="65"/>
  <c r="E32" i="65"/>
  <c r="D32" i="65"/>
  <c r="E18" i="65"/>
  <c r="E17" i="65"/>
  <c r="E16" i="65"/>
  <c r="G16" i="65" s="1"/>
  <c r="D16" i="65"/>
  <c r="E15" i="65"/>
  <c r="F34" i="64"/>
  <c r="F32" i="64"/>
  <c r="E32" i="64"/>
  <c r="D32" i="64"/>
  <c r="E18" i="64"/>
  <c r="E17" i="64"/>
  <c r="E16" i="64"/>
  <c r="G16" i="64" s="1"/>
  <c r="D16" i="64"/>
  <c r="E15" i="64"/>
  <c r="F41" i="62"/>
  <c r="F39" i="62"/>
  <c r="E39" i="62"/>
  <c r="G39" i="62" s="1"/>
  <c r="D39" i="62"/>
  <c r="F28" i="62"/>
  <c r="F26" i="62"/>
  <c r="G26" i="62" s="1"/>
  <c r="C26" i="62"/>
  <c r="D26" i="62" s="1"/>
  <c r="E22" i="62"/>
  <c r="E21" i="62"/>
  <c r="E20" i="62"/>
  <c r="G20" i="62" s="1"/>
  <c r="C20" i="62"/>
  <c r="D20" i="62" s="1"/>
  <c r="E19" i="62"/>
  <c r="F41" i="61"/>
  <c r="F39" i="61"/>
  <c r="E39" i="61"/>
  <c r="G39" i="61" s="1"/>
  <c r="D39" i="61"/>
  <c r="F28" i="61"/>
  <c r="F26" i="61"/>
  <c r="G26" i="61" s="1"/>
  <c r="C26" i="61"/>
  <c r="D26" i="61" s="1"/>
  <c r="E22" i="61"/>
  <c r="E21" i="61"/>
  <c r="E20" i="61"/>
  <c r="G20" i="61" s="1"/>
  <c r="C20" i="61"/>
  <c r="D20" i="61" s="1"/>
  <c r="E19" i="61"/>
  <c r="F41" i="60"/>
  <c r="F39" i="60"/>
  <c r="E39" i="60"/>
  <c r="G39" i="60" s="1"/>
  <c r="D39" i="60"/>
  <c r="F28" i="60"/>
  <c r="F26" i="60"/>
  <c r="G26" i="60" s="1"/>
  <c r="C26" i="60"/>
  <c r="D26" i="60" s="1"/>
  <c r="E22" i="60"/>
  <c r="E21" i="60"/>
  <c r="E20" i="60"/>
  <c r="G20" i="60" s="1"/>
  <c r="C20" i="60"/>
  <c r="D20" i="60" s="1"/>
  <c r="E19" i="60"/>
  <c r="F41" i="59"/>
  <c r="F39" i="59"/>
  <c r="E39" i="59"/>
  <c r="G39" i="59" s="1"/>
  <c r="D39" i="59"/>
  <c r="F28" i="59"/>
  <c r="F26" i="59"/>
  <c r="G26" i="59" s="1"/>
  <c r="C26" i="59"/>
  <c r="D26" i="59" s="1"/>
  <c r="E22" i="59"/>
  <c r="E21" i="59"/>
  <c r="E20" i="59"/>
  <c r="G20" i="59" s="1"/>
  <c r="C20" i="59"/>
  <c r="D20" i="59" s="1"/>
  <c r="E19" i="59"/>
  <c r="F41" i="58"/>
  <c r="F39" i="58"/>
  <c r="E39" i="58"/>
  <c r="G39" i="58" s="1"/>
  <c r="D39" i="58"/>
  <c r="F28" i="58"/>
  <c r="F26" i="58"/>
  <c r="G26" i="58" s="1"/>
  <c r="C26" i="58"/>
  <c r="D26" i="58" s="1"/>
  <c r="E22" i="58"/>
  <c r="E21" i="58"/>
  <c r="E20" i="58"/>
  <c r="G20" i="58" s="1"/>
  <c r="C20" i="58"/>
  <c r="D20" i="58" s="1"/>
  <c r="E19" i="58"/>
  <c r="F41" i="57"/>
  <c r="F39" i="57"/>
  <c r="E39" i="57"/>
  <c r="D39" i="57"/>
  <c r="F28" i="57"/>
  <c r="F26" i="57"/>
  <c r="G26" i="57" s="1"/>
  <c r="C26" i="57"/>
  <c r="D26" i="57" s="1"/>
  <c r="E22" i="57"/>
  <c r="E21" i="57"/>
  <c r="E20" i="57"/>
  <c r="G20" i="57" s="1"/>
  <c r="C20" i="57"/>
  <c r="D20" i="57" s="1"/>
  <c r="E19" i="57"/>
  <c r="F41" i="56"/>
  <c r="F39" i="56"/>
  <c r="E39" i="56"/>
  <c r="G39" i="56" s="1"/>
  <c r="D39" i="56"/>
  <c r="F28" i="56"/>
  <c r="F26" i="56"/>
  <c r="G26" i="56" s="1"/>
  <c r="C26" i="56"/>
  <c r="D26" i="56" s="1"/>
  <c r="E22" i="56"/>
  <c r="E21" i="56"/>
  <c r="E20" i="56"/>
  <c r="G20" i="56" s="1"/>
  <c r="D20" i="56"/>
  <c r="E19" i="56"/>
  <c r="F41" i="54"/>
  <c r="F39" i="54"/>
  <c r="E39" i="54"/>
  <c r="D39" i="54"/>
  <c r="F28" i="54"/>
  <c r="F26" i="54"/>
  <c r="G26" i="54" s="1"/>
  <c r="C26" i="54"/>
  <c r="D26" i="54" s="1"/>
  <c r="E22" i="54"/>
  <c r="E21" i="54"/>
  <c r="E20" i="54"/>
  <c r="G20" i="54" s="1"/>
  <c r="D20" i="54"/>
  <c r="E19" i="54"/>
  <c r="F41" i="53"/>
  <c r="F39" i="53"/>
  <c r="E39" i="53"/>
  <c r="G39" i="53" s="1"/>
  <c r="D39" i="53"/>
  <c r="F28" i="53"/>
  <c r="F26" i="53"/>
  <c r="G26" i="53" s="1"/>
  <c r="C26" i="53"/>
  <c r="D26" i="53" s="1"/>
  <c r="E22" i="53"/>
  <c r="E21" i="53"/>
  <c r="E20" i="53"/>
  <c r="G20" i="53" s="1"/>
  <c r="D20" i="53"/>
  <c r="E19" i="53"/>
  <c r="F41" i="52"/>
  <c r="F39" i="52"/>
  <c r="E39" i="52"/>
  <c r="D39" i="52"/>
  <c r="F28" i="52"/>
  <c r="F26" i="52"/>
  <c r="G26" i="52" s="1"/>
  <c r="C26" i="52"/>
  <c r="D26" i="52" s="1"/>
  <c r="E22" i="52"/>
  <c r="E21" i="52"/>
  <c r="E20" i="52"/>
  <c r="G20" i="52" s="1"/>
  <c r="D20" i="52"/>
  <c r="E19" i="52"/>
  <c r="F41" i="51"/>
  <c r="F39" i="51"/>
  <c r="E39" i="51"/>
  <c r="D39" i="51"/>
  <c r="F28" i="51"/>
  <c r="F26" i="51"/>
  <c r="G26" i="51" s="1"/>
  <c r="C26" i="51"/>
  <c r="D26" i="51" s="1"/>
  <c r="E22" i="51"/>
  <c r="E21" i="51"/>
  <c r="E20" i="51"/>
  <c r="G20" i="51" s="1"/>
  <c r="D20" i="51"/>
  <c r="E19" i="51"/>
  <c r="F41" i="50"/>
  <c r="F39" i="50"/>
  <c r="E39" i="50"/>
  <c r="D39" i="50"/>
  <c r="F28" i="50"/>
  <c r="F26" i="50"/>
  <c r="G26" i="50" s="1"/>
  <c r="C26" i="50"/>
  <c r="D26" i="50" s="1"/>
  <c r="E22" i="50"/>
  <c r="E21" i="50"/>
  <c r="E20" i="50"/>
  <c r="G20" i="50" s="1"/>
  <c r="D20" i="50"/>
  <c r="E19" i="50"/>
  <c r="F41" i="49"/>
  <c r="F39" i="49"/>
  <c r="E39" i="49"/>
  <c r="G39" i="49" s="1"/>
  <c r="D39" i="49"/>
  <c r="F28" i="49"/>
  <c r="F26" i="49"/>
  <c r="G26" i="49" s="1"/>
  <c r="C26" i="49"/>
  <c r="D26" i="49" s="1"/>
  <c r="E22" i="49"/>
  <c r="E21" i="49"/>
  <c r="E20" i="49"/>
  <c r="G20" i="49" s="1"/>
  <c r="D20" i="49"/>
  <c r="E19" i="49"/>
  <c r="F41" i="48"/>
  <c r="F39" i="48"/>
  <c r="E39" i="48"/>
  <c r="D39" i="48"/>
  <c r="F28" i="48"/>
  <c r="F26" i="48"/>
  <c r="G26" i="48" s="1"/>
  <c r="C26" i="48"/>
  <c r="D26" i="48" s="1"/>
  <c r="E22" i="48"/>
  <c r="E21" i="48"/>
  <c r="E20" i="48"/>
  <c r="G20" i="48" s="1"/>
  <c r="D20" i="48"/>
  <c r="E19" i="48"/>
  <c r="F41" i="47"/>
  <c r="F39" i="47"/>
  <c r="E39" i="47"/>
  <c r="G39" i="47" s="1"/>
  <c r="D39" i="47"/>
  <c r="F28" i="47"/>
  <c r="F26" i="47"/>
  <c r="G26" i="47" s="1"/>
  <c r="C26" i="47"/>
  <c r="D26" i="47" s="1"/>
  <c r="E22" i="47"/>
  <c r="E21" i="47"/>
  <c r="E20" i="47"/>
  <c r="G20" i="47" s="1"/>
  <c r="D20" i="47"/>
  <c r="E19" i="47"/>
  <c r="F41" i="46"/>
  <c r="F39" i="46"/>
  <c r="E39" i="46"/>
  <c r="D39" i="46"/>
  <c r="F28" i="46"/>
  <c r="F26" i="46"/>
  <c r="G26" i="46" s="1"/>
  <c r="C26" i="46"/>
  <c r="D26" i="46" s="1"/>
  <c r="E22" i="46"/>
  <c r="E21" i="46"/>
  <c r="E20" i="46"/>
  <c r="G20" i="46" s="1"/>
  <c r="D20" i="46"/>
  <c r="E19" i="46"/>
  <c r="F26" i="4"/>
  <c r="F32" i="46"/>
  <c r="F31" i="46"/>
  <c r="G32" i="65" l="1"/>
  <c r="G32" i="64"/>
  <c r="G31" i="79"/>
  <c r="G31" i="72"/>
  <c r="G39" i="57"/>
  <c r="G39" i="46"/>
  <c r="G39" i="48"/>
  <c r="G39" i="50"/>
  <c r="G39" i="52"/>
  <c r="G39" i="54"/>
  <c r="G39" i="51"/>
  <c r="G31" i="75"/>
  <c r="G31" i="73"/>
  <c r="F32" i="4"/>
  <c r="F31" i="47"/>
  <c r="F32" i="47"/>
  <c r="F31" i="4"/>
  <c r="F25" i="81" l="1"/>
  <c r="F25" i="79"/>
  <c r="F25" i="75"/>
  <c r="F25" i="73"/>
  <c r="F26" i="70"/>
  <c r="F26" i="68"/>
  <c r="F26" i="64"/>
  <c r="F26" i="25"/>
  <c r="F32" i="58"/>
  <c r="F32" i="59"/>
  <c r="F32" i="57"/>
  <c r="F32" i="52"/>
  <c r="F32" i="53"/>
  <c r="F32" i="51"/>
  <c r="F24" i="78"/>
  <c r="F24" i="76"/>
  <c r="F24" i="72"/>
  <c r="F24" i="5"/>
  <c r="F25" i="67"/>
  <c r="F25" i="65"/>
  <c r="F31" i="62"/>
  <c r="F31" i="60"/>
  <c r="F31" i="61"/>
  <c r="F31" i="56"/>
  <c r="F31" i="54"/>
  <c r="F31" i="50"/>
  <c r="F31" i="48"/>
  <c r="F31" i="49"/>
  <c r="F25" i="78"/>
  <c r="F25" i="76"/>
  <c r="F25" i="72"/>
  <c r="F25" i="5"/>
  <c r="F26" i="67"/>
  <c r="F26" i="65"/>
  <c r="F32" i="62"/>
  <c r="F32" i="60"/>
  <c r="F32" i="61"/>
  <c r="F32" i="56"/>
  <c r="F32" i="54"/>
  <c r="F32" i="50"/>
  <c r="F32" i="48"/>
  <c r="F32" i="49"/>
  <c r="F24" i="81"/>
  <c r="F24" i="79"/>
  <c r="F24" i="75"/>
  <c r="F24" i="73"/>
  <c r="F25" i="70"/>
  <c r="F25" i="68"/>
  <c r="F25" i="64"/>
  <c r="F25" i="25"/>
  <c r="F31" i="58"/>
  <c r="F31" i="59"/>
  <c r="F31" i="57"/>
  <c r="F31" i="52"/>
  <c r="F31" i="53"/>
  <c r="F31" i="51"/>
  <c r="F37" i="81" l="1"/>
  <c r="F35" i="81"/>
  <c r="B33" i="81"/>
  <c r="B25" i="81"/>
  <c r="B24" i="81"/>
  <c r="B21" i="81"/>
  <c r="B20" i="81"/>
  <c r="F14" i="81"/>
  <c r="E14" i="81"/>
  <c r="D14" i="81"/>
  <c r="F13" i="81"/>
  <c r="B8" i="81"/>
  <c r="B7" i="81"/>
  <c r="B6" i="81"/>
  <c r="B9" i="81" s="1"/>
  <c r="B22" i="81" s="1"/>
  <c r="F37" i="79"/>
  <c r="F35" i="79"/>
  <c r="B33" i="79"/>
  <c r="B25" i="79"/>
  <c r="B24" i="79"/>
  <c r="B21" i="79"/>
  <c r="B20" i="79"/>
  <c r="F14" i="79"/>
  <c r="E14" i="79"/>
  <c r="D14" i="79"/>
  <c r="F13" i="79"/>
  <c r="B8" i="79"/>
  <c r="B7" i="79"/>
  <c r="B6" i="79"/>
  <c r="B9" i="79" s="1"/>
  <c r="B22" i="79" s="1"/>
  <c r="F37" i="78"/>
  <c r="F35" i="78"/>
  <c r="B33" i="78"/>
  <c r="B25" i="78"/>
  <c r="B24" i="78"/>
  <c r="B21" i="78"/>
  <c r="B20" i="78"/>
  <c r="F14" i="78"/>
  <c r="E14" i="78"/>
  <c r="D14" i="78"/>
  <c r="F13" i="78"/>
  <c r="B8" i="78"/>
  <c r="B7" i="78"/>
  <c r="B6" i="78"/>
  <c r="B9" i="78" s="1"/>
  <c r="B22" i="78" s="1"/>
  <c r="F35" i="76"/>
  <c r="B33" i="76"/>
  <c r="B25" i="76"/>
  <c r="B24" i="76"/>
  <c r="B21" i="76"/>
  <c r="B20" i="76"/>
  <c r="F14" i="76"/>
  <c r="E14" i="76"/>
  <c r="D14" i="76"/>
  <c r="F13" i="76"/>
  <c r="B8" i="76"/>
  <c r="B7" i="76"/>
  <c r="B6" i="76"/>
  <c r="B9" i="76" s="1"/>
  <c r="B22" i="76" s="1"/>
  <c r="E22" i="76" s="1"/>
  <c r="B25" i="75"/>
  <c r="B24" i="75"/>
  <c r="B22" i="75"/>
  <c r="B20" i="75"/>
  <c r="F14" i="75"/>
  <c r="E14" i="75"/>
  <c r="D14" i="75"/>
  <c r="F13" i="75"/>
  <c r="B8" i="75"/>
  <c r="B7" i="75"/>
  <c r="B6" i="75"/>
  <c r="B9" i="75" s="1"/>
  <c r="B21" i="75" s="1"/>
  <c r="F37" i="73"/>
  <c r="F35" i="73"/>
  <c r="B33" i="73"/>
  <c r="B25" i="73"/>
  <c r="B24" i="73"/>
  <c r="B21" i="73"/>
  <c r="B20" i="73"/>
  <c r="F14" i="73"/>
  <c r="E14" i="73"/>
  <c r="D14" i="73"/>
  <c r="F13" i="73"/>
  <c r="B8" i="73"/>
  <c r="B7" i="73"/>
  <c r="B6" i="73"/>
  <c r="B9" i="73" s="1"/>
  <c r="B22" i="73" s="1"/>
  <c r="E22" i="73" s="1"/>
  <c r="B7" i="72"/>
  <c r="B7" i="5"/>
  <c r="B25" i="72"/>
  <c r="B24" i="72"/>
  <c r="B21" i="72"/>
  <c r="B20" i="72"/>
  <c r="F14" i="72"/>
  <c r="E14" i="72"/>
  <c r="D14" i="72"/>
  <c r="F13" i="72"/>
  <c r="B8" i="72"/>
  <c r="B6" i="72"/>
  <c r="F38" i="70"/>
  <c r="F36" i="70"/>
  <c r="B34" i="70"/>
  <c r="H16" i="70"/>
  <c r="I16" i="70" s="1"/>
  <c r="F13" i="70"/>
  <c r="F12" i="70"/>
  <c r="B9" i="70"/>
  <c r="B20" i="70" s="1"/>
  <c r="B7" i="70"/>
  <c r="B6" i="70"/>
  <c r="B8" i="70" s="1"/>
  <c r="B31" i="70" s="1"/>
  <c r="B5" i="70"/>
  <c r="F38" i="68"/>
  <c r="F36" i="68"/>
  <c r="B34" i="68"/>
  <c r="H16" i="68"/>
  <c r="I16" i="68" s="1"/>
  <c r="F13" i="68"/>
  <c r="F12" i="68"/>
  <c r="B9" i="68"/>
  <c r="B20" i="68" s="1"/>
  <c r="B7" i="68"/>
  <c r="B6" i="68"/>
  <c r="B8" i="68" s="1"/>
  <c r="B31" i="68" s="1"/>
  <c r="B5" i="68"/>
  <c r="F38" i="67"/>
  <c r="F36" i="67"/>
  <c r="B34" i="67"/>
  <c r="H16" i="67"/>
  <c r="I16" i="67" s="1"/>
  <c r="F13" i="67"/>
  <c r="F12" i="67"/>
  <c r="B9" i="67"/>
  <c r="B20" i="67" s="1"/>
  <c r="B7" i="67"/>
  <c r="B6" i="67"/>
  <c r="B8" i="67" s="1"/>
  <c r="B31" i="67" s="1"/>
  <c r="B5" i="67"/>
  <c r="F38" i="65"/>
  <c r="F36" i="65"/>
  <c r="B34" i="65"/>
  <c r="H16" i="65"/>
  <c r="I16" i="65" s="1"/>
  <c r="F13" i="65"/>
  <c r="F12" i="65"/>
  <c r="B9" i="65"/>
  <c r="B20" i="65" s="1"/>
  <c r="B7" i="65"/>
  <c r="B6" i="65"/>
  <c r="B8" i="65" s="1"/>
  <c r="B31" i="65" s="1"/>
  <c r="B5" i="65"/>
  <c r="F38" i="64"/>
  <c r="F36" i="64"/>
  <c r="B34" i="64"/>
  <c r="H16" i="64"/>
  <c r="I16" i="64" s="1"/>
  <c r="F13" i="64"/>
  <c r="F12" i="64"/>
  <c r="B9" i="64"/>
  <c r="B20" i="64" s="1"/>
  <c r="B7" i="64"/>
  <c r="B6" i="64"/>
  <c r="B8" i="64" s="1"/>
  <c r="B31" i="64" s="1"/>
  <c r="B5" i="64"/>
  <c r="E17" i="25"/>
  <c r="E18" i="25"/>
  <c r="F48" i="62"/>
  <c r="F43" i="62"/>
  <c r="B41" i="62"/>
  <c r="F17" i="62"/>
  <c r="F16" i="62"/>
  <c r="F15" i="62"/>
  <c r="F13" i="62"/>
  <c r="F12" i="62"/>
  <c r="B9" i="62"/>
  <c r="B24" i="62" s="1"/>
  <c r="B7" i="62"/>
  <c r="B6" i="62"/>
  <c r="B8" i="62" s="1"/>
  <c r="B38" i="62" s="1"/>
  <c r="B5" i="62"/>
  <c r="F48" i="61"/>
  <c r="F45" i="61"/>
  <c r="F43" i="61"/>
  <c r="B41" i="61"/>
  <c r="F17" i="61"/>
  <c r="F16" i="61"/>
  <c r="F15" i="61"/>
  <c r="F13" i="61"/>
  <c r="F12" i="61"/>
  <c r="B9" i="61"/>
  <c r="B24" i="61" s="1"/>
  <c r="B7" i="61"/>
  <c r="B6" i="61"/>
  <c r="B5" i="61"/>
  <c r="B41" i="60"/>
  <c r="F17" i="60"/>
  <c r="F16" i="60"/>
  <c r="F15" i="60"/>
  <c r="F13" i="60"/>
  <c r="F12" i="60"/>
  <c r="B9" i="60"/>
  <c r="B24" i="60" s="1"/>
  <c r="B7" i="60"/>
  <c r="B6" i="60"/>
  <c r="B5" i="60"/>
  <c r="F48" i="59"/>
  <c r="F43" i="59"/>
  <c r="B41" i="59"/>
  <c r="F17" i="59"/>
  <c r="F16" i="59"/>
  <c r="F15" i="59"/>
  <c r="F13" i="59"/>
  <c r="F12" i="59"/>
  <c r="B9" i="59"/>
  <c r="B24" i="59" s="1"/>
  <c r="B7" i="59"/>
  <c r="B6" i="59"/>
  <c r="B8" i="59" s="1"/>
  <c r="B38" i="59" s="1"/>
  <c r="B5" i="59"/>
  <c r="F48" i="58"/>
  <c r="F45" i="58"/>
  <c r="F43" i="58"/>
  <c r="B41" i="58"/>
  <c r="F17" i="58"/>
  <c r="F16" i="58"/>
  <c r="F15" i="58"/>
  <c r="F13" i="58"/>
  <c r="F12" i="58"/>
  <c r="B9" i="58"/>
  <c r="B24" i="58" s="1"/>
  <c r="B7" i="58"/>
  <c r="B6" i="58"/>
  <c r="B5" i="58"/>
  <c r="F48" i="57"/>
  <c r="F45" i="57"/>
  <c r="F43" i="57"/>
  <c r="B41" i="57"/>
  <c r="F17" i="57"/>
  <c r="F16" i="57"/>
  <c r="F15" i="57"/>
  <c r="F13" i="57"/>
  <c r="F12" i="57"/>
  <c r="B9" i="57"/>
  <c r="B24" i="57" s="1"/>
  <c r="B7" i="57"/>
  <c r="B6" i="57"/>
  <c r="B8" i="57" s="1"/>
  <c r="B38" i="57" s="1"/>
  <c r="B5" i="57"/>
  <c r="F48" i="56"/>
  <c r="F45" i="56"/>
  <c r="F43" i="56"/>
  <c r="B41" i="56"/>
  <c r="F17" i="56"/>
  <c r="F16" i="56"/>
  <c r="F15" i="56"/>
  <c r="F13" i="56"/>
  <c r="F12" i="56"/>
  <c r="B9" i="56"/>
  <c r="B24" i="56" s="1"/>
  <c r="B7" i="56"/>
  <c r="B6" i="56"/>
  <c r="B5" i="56"/>
  <c r="F48" i="54"/>
  <c r="F45" i="54"/>
  <c r="F43" i="54"/>
  <c r="B41" i="54"/>
  <c r="F17" i="54"/>
  <c r="F16" i="54"/>
  <c r="F15" i="54"/>
  <c r="F13" i="54"/>
  <c r="F12" i="54"/>
  <c r="B9" i="54"/>
  <c r="B24" i="54" s="1"/>
  <c r="B7" i="54"/>
  <c r="B6" i="54"/>
  <c r="B5" i="54"/>
  <c r="F48" i="53"/>
  <c r="F45" i="53"/>
  <c r="F43" i="53"/>
  <c r="B41" i="53"/>
  <c r="F17" i="53"/>
  <c r="F16" i="53"/>
  <c r="F15" i="53"/>
  <c r="F13" i="53"/>
  <c r="F12" i="53"/>
  <c r="B9" i="53"/>
  <c r="B24" i="53" s="1"/>
  <c r="B7" i="53"/>
  <c r="B6" i="53"/>
  <c r="B8" i="53" s="1"/>
  <c r="B38" i="53" s="1"/>
  <c r="B5" i="53"/>
  <c r="F48" i="52"/>
  <c r="F45" i="52"/>
  <c r="F43" i="52"/>
  <c r="B41" i="52"/>
  <c r="F17" i="52"/>
  <c r="F16" i="52"/>
  <c r="F15" i="52"/>
  <c r="F13" i="52"/>
  <c r="F12" i="52"/>
  <c r="B9" i="52"/>
  <c r="B24" i="52" s="1"/>
  <c r="B7" i="52"/>
  <c r="B6" i="52"/>
  <c r="B5" i="52"/>
  <c r="F48" i="51"/>
  <c r="F45" i="51"/>
  <c r="F43" i="51"/>
  <c r="B41" i="51"/>
  <c r="F17" i="51"/>
  <c r="F16" i="51"/>
  <c r="F15" i="51"/>
  <c r="F13" i="51"/>
  <c r="F12" i="51"/>
  <c r="B9" i="51"/>
  <c r="B7" i="51"/>
  <c r="B6" i="51"/>
  <c r="B8" i="51" s="1"/>
  <c r="B38" i="51" s="1"/>
  <c r="B5" i="51"/>
  <c r="F48" i="50"/>
  <c r="F45" i="50"/>
  <c r="F43" i="50"/>
  <c r="B41" i="50"/>
  <c r="F17" i="50"/>
  <c r="F16" i="50"/>
  <c r="F15" i="50"/>
  <c r="F13" i="50"/>
  <c r="F12" i="50"/>
  <c r="B9" i="50"/>
  <c r="B24" i="50" s="1"/>
  <c r="B7" i="50"/>
  <c r="B6" i="50"/>
  <c r="B5" i="50"/>
  <c r="F48" i="49"/>
  <c r="F45" i="49"/>
  <c r="F43" i="49"/>
  <c r="B41" i="49"/>
  <c r="F17" i="49"/>
  <c r="F16" i="49"/>
  <c r="F15" i="49"/>
  <c r="F13" i="49"/>
  <c r="F12" i="49"/>
  <c r="B9" i="49"/>
  <c r="B24" i="49" s="1"/>
  <c r="B7" i="49"/>
  <c r="B6" i="49"/>
  <c r="B5" i="49"/>
  <c r="F48" i="48"/>
  <c r="F45" i="48"/>
  <c r="F43" i="48"/>
  <c r="B41" i="48"/>
  <c r="F17" i="48"/>
  <c r="F16" i="48"/>
  <c r="F15" i="48"/>
  <c r="F13" i="48"/>
  <c r="F12" i="48"/>
  <c r="B9" i="48"/>
  <c r="B24" i="48" s="1"/>
  <c r="B7" i="48"/>
  <c r="B6" i="48"/>
  <c r="B8" i="48" s="1"/>
  <c r="B38" i="48" s="1"/>
  <c r="B5" i="48"/>
  <c r="F48" i="47"/>
  <c r="F45" i="47"/>
  <c r="F43" i="47"/>
  <c r="B41" i="47"/>
  <c r="F17" i="47"/>
  <c r="F16" i="47"/>
  <c r="F15" i="47"/>
  <c r="F13" i="47"/>
  <c r="F12" i="47"/>
  <c r="B9" i="47"/>
  <c r="B7" i="47"/>
  <c r="B6" i="47"/>
  <c r="B8" i="47" s="1"/>
  <c r="B38" i="47" s="1"/>
  <c r="B5" i="47"/>
  <c r="F48" i="46"/>
  <c r="F45" i="46"/>
  <c r="F43" i="46"/>
  <c r="B41" i="46"/>
  <c r="F17" i="46"/>
  <c r="F16" i="46"/>
  <c r="F15" i="46"/>
  <c r="F13" i="46"/>
  <c r="F12" i="46"/>
  <c r="B9" i="46"/>
  <c r="B24" i="46" s="1"/>
  <c r="B7" i="46"/>
  <c r="B6" i="46"/>
  <c r="B5" i="46"/>
  <c r="E21" i="4"/>
  <c r="E22" i="4"/>
  <c r="D34" i="70" l="1"/>
  <c r="E34" i="70"/>
  <c r="G34" i="70" s="1"/>
  <c r="H34" i="70" s="1"/>
  <c r="I34" i="70" s="1"/>
  <c r="D34" i="64"/>
  <c r="E34" i="64"/>
  <c r="G34" i="64" s="1"/>
  <c r="H34" i="64" s="1"/>
  <c r="I34" i="64" s="1"/>
  <c r="E34" i="68"/>
  <c r="G34" i="68" s="1"/>
  <c r="D34" i="68"/>
  <c r="H34" i="68" s="1"/>
  <c r="I34" i="68" s="1"/>
  <c r="E34" i="67"/>
  <c r="G34" i="67" s="1"/>
  <c r="D34" i="67"/>
  <c r="H34" i="67" s="1"/>
  <c r="I34" i="67" s="1"/>
  <c r="D34" i="65"/>
  <c r="E34" i="65"/>
  <c r="G34" i="65" s="1"/>
  <c r="D41" i="57"/>
  <c r="E41" i="57"/>
  <c r="G41" i="57" s="1"/>
  <c r="E41" i="61"/>
  <c r="G41" i="61" s="1"/>
  <c r="D41" i="61"/>
  <c r="H41" i="61" s="1"/>
  <c r="I41" i="61" s="1"/>
  <c r="E41" i="58"/>
  <c r="G41" i="58" s="1"/>
  <c r="H41" i="58" s="1"/>
  <c r="I41" i="58" s="1"/>
  <c r="D41" i="58"/>
  <c r="D41" i="60"/>
  <c r="H41" i="60" s="1"/>
  <c r="I41" i="60" s="1"/>
  <c r="E41" i="60"/>
  <c r="G41" i="60" s="1"/>
  <c r="D41" i="54"/>
  <c r="E41" i="54"/>
  <c r="G41" i="54" s="1"/>
  <c r="E41" i="52"/>
  <c r="G41" i="52" s="1"/>
  <c r="D41" i="52"/>
  <c r="H41" i="52" s="1"/>
  <c r="I41" i="52" s="1"/>
  <c r="D41" i="49"/>
  <c r="E41" i="49"/>
  <c r="G41" i="49" s="1"/>
  <c r="H41" i="49" s="1"/>
  <c r="I41" i="49" s="1"/>
  <c r="E41" i="46"/>
  <c r="G41" i="46" s="1"/>
  <c r="D41" i="46"/>
  <c r="G14" i="76"/>
  <c r="H14" i="76" s="1"/>
  <c r="I14" i="76" s="1"/>
  <c r="E31" i="67"/>
  <c r="G31" i="67" s="1"/>
  <c r="D31" i="67"/>
  <c r="B13" i="75"/>
  <c r="B30" i="75"/>
  <c r="B13" i="79"/>
  <c r="B30" i="79"/>
  <c r="B13" i="78"/>
  <c r="B30" i="78"/>
  <c r="E31" i="64"/>
  <c r="G31" i="64" s="1"/>
  <c r="D31" i="64"/>
  <c r="E31" i="68"/>
  <c r="G31" i="68" s="1"/>
  <c r="D31" i="68"/>
  <c r="E31" i="70"/>
  <c r="G31" i="70" s="1"/>
  <c r="D31" i="70"/>
  <c r="B13" i="73"/>
  <c r="B30" i="73"/>
  <c r="B13" i="81"/>
  <c r="B30" i="81"/>
  <c r="D31" i="65"/>
  <c r="E31" i="65"/>
  <c r="G31" i="65" s="1"/>
  <c r="B13" i="76"/>
  <c r="B30" i="76"/>
  <c r="E38" i="48"/>
  <c r="G38" i="48" s="1"/>
  <c r="D38" i="48"/>
  <c r="E38" i="47"/>
  <c r="G38" i="47" s="1"/>
  <c r="D38" i="47"/>
  <c r="D38" i="51"/>
  <c r="E38" i="51"/>
  <c r="G38" i="51" s="1"/>
  <c r="E38" i="59"/>
  <c r="G38" i="59" s="1"/>
  <c r="D38" i="59"/>
  <c r="E38" i="53"/>
  <c r="G38" i="53" s="1"/>
  <c r="D38" i="53"/>
  <c r="E38" i="57"/>
  <c r="G38" i="57" s="1"/>
  <c r="D38" i="57"/>
  <c r="D38" i="62"/>
  <c r="E38" i="62"/>
  <c r="G38" i="62" s="1"/>
  <c r="D41" i="56"/>
  <c r="E41" i="56"/>
  <c r="G41" i="56" s="1"/>
  <c r="E41" i="53"/>
  <c r="G41" i="53" s="1"/>
  <c r="D41" i="53"/>
  <c r="E41" i="51"/>
  <c r="G41" i="51" s="1"/>
  <c r="D41" i="51"/>
  <c r="D41" i="50"/>
  <c r="E41" i="50"/>
  <c r="G41" i="50" s="1"/>
  <c r="D41" i="48"/>
  <c r="E41" i="48"/>
  <c r="G41" i="48" s="1"/>
  <c r="E41" i="47"/>
  <c r="G41" i="47" s="1"/>
  <c r="D41" i="47"/>
  <c r="G14" i="72"/>
  <c r="H14" i="72" s="1"/>
  <c r="I14" i="72" s="1"/>
  <c r="G14" i="78"/>
  <c r="H14" i="78" s="1"/>
  <c r="I14" i="78" s="1"/>
  <c r="E24" i="76"/>
  <c r="G24" i="76" s="1"/>
  <c r="D33" i="76"/>
  <c r="E33" i="76"/>
  <c r="G33" i="76" s="1"/>
  <c r="E20" i="76"/>
  <c r="E21" i="76"/>
  <c r="E25" i="76"/>
  <c r="G25" i="76" s="1"/>
  <c r="E20" i="73"/>
  <c r="E21" i="73"/>
  <c r="E25" i="73"/>
  <c r="G25" i="73" s="1"/>
  <c r="E24" i="73"/>
  <c r="G24" i="73" s="1"/>
  <c r="E33" i="73"/>
  <c r="G33" i="73" s="1"/>
  <c r="D33" i="73"/>
  <c r="G14" i="81"/>
  <c r="H14" i="81" s="1"/>
  <c r="I14" i="81" s="1"/>
  <c r="G14" i="79"/>
  <c r="H14" i="79" s="1"/>
  <c r="I14" i="79" s="1"/>
  <c r="G14" i="75"/>
  <c r="H14" i="75" s="1"/>
  <c r="I14" i="75" s="1"/>
  <c r="G14" i="73"/>
  <c r="H14" i="73" s="1"/>
  <c r="I14" i="73" s="1"/>
  <c r="C27" i="46"/>
  <c r="F27" i="46" s="1"/>
  <c r="B12" i="46"/>
  <c r="B13" i="46"/>
  <c r="D13" i="46" s="1"/>
  <c r="C27" i="47"/>
  <c r="F27" i="47" s="1"/>
  <c r="B13" i="47"/>
  <c r="B12" i="47"/>
  <c r="C27" i="48"/>
  <c r="F27" i="48" s="1"/>
  <c r="B12" i="48"/>
  <c r="B13" i="48"/>
  <c r="C27" i="49"/>
  <c r="F27" i="49" s="1"/>
  <c r="B13" i="49"/>
  <c r="D13" i="49" s="1"/>
  <c r="B12" i="49"/>
  <c r="C27" i="50"/>
  <c r="F27" i="50" s="1"/>
  <c r="B12" i="50"/>
  <c r="D12" i="50" s="1"/>
  <c r="B13" i="50"/>
  <c r="C27" i="51"/>
  <c r="F27" i="51" s="1"/>
  <c r="B13" i="51"/>
  <c r="B12" i="51"/>
  <c r="C27" i="52"/>
  <c r="F27" i="52" s="1"/>
  <c r="B12" i="52"/>
  <c r="B13" i="52"/>
  <c r="D13" i="52" s="1"/>
  <c r="C27" i="53"/>
  <c r="F27" i="53" s="1"/>
  <c r="B13" i="53"/>
  <c r="B12" i="53"/>
  <c r="C27" i="54"/>
  <c r="F27" i="54" s="1"/>
  <c r="B12" i="54"/>
  <c r="B13" i="54"/>
  <c r="D13" i="54" s="1"/>
  <c r="C27" i="56"/>
  <c r="F27" i="56" s="1"/>
  <c r="B12" i="56"/>
  <c r="B13" i="56"/>
  <c r="D13" i="56" s="1"/>
  <c r="C27" i="57"/>
  <c r="F27" i="57" s="1"/>
  <c r="B13" i="57"/>
  <c r="B12" i="57"/>
  <c r="C27" i="58"/>
  <c r="F27" i="58" s="1"/>
  <c r="B12" i="58"/>
  <c r="B13" i="58"/>
  <c r="C27" i="59"/>
  <c r="F27" i="59" s="1"/>
  <c r="B13" i="59"/>
  <c r="B12" i="59"/>
  <c r="C27" i="60"/>
  <c r="F27" i="60" s="1"/>
  <c r="B12" i="60"/>
  <c r="D12" i="60" s="1"/>
  <c r="B13" i="60"/>
  <c r="C27" i="61"/>
  <c r="F27" i="61" s="1"/>
  <c r="B13" i="61"/>
  <c r="B12" i="61"/>
  <c r="C27" i="62"/>
  <c r="F27" i="62" s="1"/>
  <c r="B12" i="62"/>
  <c r="B13" i="62"/>
  <c r="C23" i="64"/>
  <c r="F23" i="64" s="1"/>
  <c r="B13" i="64"/>
  <c r="D13" i="64" s="1"/>
  <c r="B12" i="64"/>
  <c r="C23" i="65"/>
  <c r="F23" i="65" s="1"/>
  <c r="B13" i="65"/>
  <c r="D13" i="65" s="1"/>
  <c r="B12" i="65"/>
  <c r="B13" i="67"/>
  <c r="E13" i="67" s="1"/>
  <c r="G13" i="67" s="1"/>
  <c r="B12" i="67"/>
  <c r="B13" i="68"/>
  <c r="E13" i="68" s="1"/>
  <c r="G13" i="68" s="1"/>
  <c r="B12" i="68"/>
  <c r="C23" i="70"/>
  <c r="F23" i="70" s="1"/>
  <c r="B13" i="70"/>
  <c r="D13" i="70" s="1"/>
  <c r="B12" i="70"/>
  <c r="E41" i="62"/>
  <c r="G41" i="62" s="1"/>
  <c r="H41" i="62" s="1"/>
  <c r="I41" i="62" s="1"/>
  <c r="D41" i="62"/>
  <c r="D41" i="59"/>
  <c r="E41" i="59"/>
  <c r="G41" i="59" s="1"/>
  <c r="D33" i="81"/>
  <c r="E33" i="81"/>
  <c r="G33" i="81" s="1"/>
  <c r="E20" i="81"/>
  <c r="E21" i="81"/>
  <c r="E25" i="81"/>
  <c r="G25" i="81" s="1"/>
  <c r="E22" i="81"/>
  <c r="E24" i="81"/>
  <c r="G24" i="81" s="1"/>
  <c r="D33" i="79"/>
  <c r="E33" i="79"/>
  <c r="G33" i="79" s="1"/>
  <c r="E20" i="79"/>
  <c r="E21" i="79"/>
  <c r="E25" i="79"/>
  <c r="G25" i="79" s="1"/>
  <c r="E22" i="79"/>
  <c r="E24" i="79"/>
  <c r="G24" i="79" s="1"/>
  <c r="E33" i="78"/>
  <c r="G33" i="78" s="1"/>
  <c r="H33" i="78" s="1"/>
  <c r="I33" i="78" s="1"/>
  <c r="D33" i="78"/>
  <c r="E20" i="78"/>
  <c r="E21" i="78"/>
  <c r="E25" i="78"/>
  <c r="G25" i="78" s="1"/>
  <c r="E22" i="78"/>
  <c r="E24" i="78"/>
  <c r="G24" i="78" s="1"/>
  <c r="E21" i="75"/>
  <c r="E22" i="75"/>
  <c r="E25" i="75"/>
  <c r="G25" i="75" s="1"/>
  <c r="E20" i="75"/>
  <c r="E24" i="75"/>
  <c r="G24" i="75" s="1"/>
  <c r="E20" i="72"/>
  <c r="E24" i="72"/>
  <c r="G24" i="72" s="1"/>
  <c r="E21" i="72"/>
  <c r="E25" i="72"/>
  <c r="G25" i="72" s="1"/>
  <c r="E20" i="64"/>
  <c r="E20" i="65"/>
  <c r="E20" i="67"/>
  <c r="E20" i="68"/>
  <c r="E20" i="70"/>
  <c r="E24" i="46"/>
  <c r="E24" i="48"/>
  <c r="E24" i="49"/>
  <c r="E24" i="50"/>
  <c r="E24" i="52"/>
  <c r="E24" i="53"/>
  <c r="E24" i="54"/>
  <c r="E24" i="56"/>
  <c r="E24" i="57"/>
  <c r="E24" i="58"/>
  <c r="E24" i="59"/>
  <c r="E24" i="60"/>
  <c r="E24" i="61"/>
  <c r="E24" i="62"/>
  <c r="C23" i="67"/>
  <c r="F23" i="67" s="1"/>
  <c r="C23" i="68"/>
  <c r="F23" i="68" s="1"/>
  <c r="B28" i="81"/>
  <c r="B29" i="81"/>
  <c r="H31" i="81"/>
  <c r="I31" i="81" s="1"/>
  <c r="H17" i="81"/>
  <c r="I17" i="81" s="1"/>
  <c r="H33" i="81"/>
  <c r="I33" i="81" s="1"/>
  <c r="H17" i="79"/>
  <c r="I17" i="79" s="1"/>
  <c r="B28" i="79"/>
  <c r="B29" i="79"/>
  <c r="H31" i="79"/>
  <c r="I31" i="79" s="1"/>
  <c r="H33" i="79"/>
  <c r="I33" i="79" s="1"/>
  <c r="E15" i="53"/>
  <c r="G15" i="53" s="1"/>
  <c r="E16" i="53"/>
  <c r="G16" i="53" s="1"/>
  <c r="E17" i="53"/>
  <c r="G17" i="53" s="1"/>
  <c r="D15" i="47"/>
  <c r="B23" i="49"/>
  <c r="E15" i="61"/>
  <c r="G15" i="61" s="1"/>
  <c r="E15" i="62"/>
  <c r="G15" i="62" s="1"/>
  <c r="E16" i="62"/>
  <c r="G16" i="62" s="1"/>
  <c r="E17" i="62"/>
  <c r="G17" i="62" s="1"/>
  <c r="B28" i="78"/>
  <c r="B29" i="78"/>
  <c r="H31" i="78"/>
  <c r="I31" i="78" s="1"/>
  <c r="H17" i="78"/>
  <c r="I17" i="78" s="1"/>
  <c r="H17" i="76"/>
  <c r="I17" i="76" s="1"/>
  <c r="B28" i="76"/>
  <c r="B29" i="76"/>
  <c r="H31" i="76"/>
  <c r="I31" i="76" s="1"/>
  <c r="H33" i="76"/>
  <c r="I33" i="76" s="1"/>
  <c r="B28" i="75"/>
  <c r="B29" i="75"/>
  <c r="H31" i="75"/>
  <c r="I31" i="75" s="1"/>
  <c r="H17" i="75"/>
  <c r="I17" i="75" s="1"/>
  <c r="H31" i="73"/>
  <c r="I31" i="73" s="1"/>
  <c r="B28" i="73"/>
  <c r="B29" i="73"/>
  <c r="H33" i="73"/>
  <c r="I33" i="73" s="1"/>
  <c r="H17" i="73"/>
  <c r="I17" i="73" s="1"/>
  <c r="H17" i="72"/>
  <c r="I17" i="72" s="1"/>
  <c r="H31" i="72"/>
  <c r="I31" i="72" s="1"/>
  <c r="B9" i="72"/>
  <c r="B22" i="72" s="1"/>
  <c r="E22" i="72" s="1"/>
  <c r="B29" i="70"/>
  <c r="B25" i="70"/>
  <c r="B23" i="70"/>
  <c r="B30" i="70"/>
  <c r="B26" i="70"/>
  <c r="H32" i="70"/>
  <c r="I32" i="70" s="1"/>
  <c r="B19" i="70"/>
  <c r="B21" i="70"/>
  <c r="B29" i="68"/>
  <c r="B25" i="68"/>
  <c r="B23" i="68"/>
  <c r="B30" i="68"/>
  <c r="B26" i="68"/>
  <c r="H32" i="68"/>
  <c r="I32" i="68" s="1"/>
  <c r="B19" i="68"/>
  <c r="B21" i="68"/>
  <c r="B29" i="67"/>
  <c r="B25" i="67"/>
  <c r="B23" i="67"/>
  <c r="B30" i="67"/>
  <c r="B26" i="67"/>
  <c r="H32" i="67"/>
  <c r="I32" i="67" s="1"/>
  <c r="B19" i="67"/>
  <c r="B21" i="67"/>
  <c r="B29" i="65"/>
  <c r="B25" i="65"/>
  <c r="B23" i="65"/>
  <c r="B30" i="65"/>
  <c r="B26" i="65"/>
  <c r="H32" i="65"/>
  <c r="I32" i="65" s="1"/>
  <c r="B19" i="65"/>
  <c r="H34" i="65"/>
  <c r="I34" i="65" s="1"/>
  <c r="B21" i="65"/>
  <c r="B29" i="64"/>
  <c r="B25" i="64"/>
  <c r="B23" i="64"/>
  <c r="B30" i="64"/>
  <c r="B26" i="64"/>
  <c r="H32" i="64"/>
  <c r="I32" i="64" s="1"/>
  <c r="B19" i="64"/>
  <c r="B21" i="64"/>
  <c r="B37" i="62"/>
  <c r="B36" i="62"/>
  <c r="B32" i="62"/>
  <c r="B31" i="62"/>
  <c r="B28" i="62"/>
  <c r="B27" i="62"/>
  <c r="H20" i="62"/>
  <c r="I20" i="62" s="1"/>
  <c r="B23" i="62"/>
  <c r="H39" i="62"/>
  <c r="I39" i="62" s="1"/>
  <c r="H26" i="62"/>
  <c r="I26" i="62" s="1"/>
  <c r="E17" i="61"/>
  <c r="G17" i="61" s="1"/>
  <c r="D17" i="61"/>
  <c r="B8" i="61"/>
  <c r="B38" i="61" s="1"/>
  <c r="H20" i="61"/>
  <c r="I20" i="61" s="1"/>
  <c r="B23" i="61"/>
  <c r="H39" i="61"/>
  <c r="I39" i="61" s="1"/>
  <c r="H26" i="61"/>
  <c r="I26" i="61" s="1"/>
  <c r="E17" i="60"/>
  <c r="G17" i="60" s="1"/>
  <c r="D17" i="60"/>
  <c r="H20" i="60"/>
  <c r="I20" i="60" s="1"/>
  <c r="B8" i="60"/>
  <c r="B38" i="60" s="1"/>
  <c r="B23" i="60"/>
  <c r="H39" i="60"/>
  <c r="I39" i="60" s="1"/>
  <c r="H26" i="60"/>
  <c r="I26" i="60" s="1"/>
  <c r="H20" i="59"/>
  <c r="I20" i="59" s="1"/>
  <c r="B37" i="59"/>
  <c r="B36" i="59"/>
  <c r="B32" i="59"/>
  <c r="B31" i="59"/>
  <c r="B28" i="59"/>
  <c r="B27" i="59"/>
  <c r="H39" i="59"/>
  <c r="I39" i="59" s="1"/>
  <c r="B23" i="59"/>
  <c r="H26" i="59"/>
  <c r="I26" i="59" s="1"/>
  <c r="E17" i="58"/>
  <c r="G17" i="58" s="1"/>
  <c r="D17" i="58"/>
  <c r="B8" i="58"/>
  <c r="B38" i="58" s="1"/>
  <c r="H20" i="58"/>
  <c r="I20" i="58" s="1"/>
  <c r="B23" i="58"/>
  <c r="H39" i="58"/>
  <c r="I39" i="58" s="1"/>
  <c r="H26" i="58"/>
  <c r="I26" i="58" s="1"/>
  <c r="E15" i="57"/>
  <c r="G15" i="57" s="1"/>
  <c r="E16" i="57"/>
  <c r="G16" i="57" s="1"/>
  <c r="E17" i="57"/>
  <c r="G17" i="57" s="1"/>
  <c r="B37" i="57"/>
  <c r="B36" i="57"/>
  <c r="B32" i="57"/>
  <c r="B31" i="57"/>
  <c r="B28" i="57"/>
  <c r="B27" i="57"/>
  <c r="H20" i="57"/>
  <c r="I20" i="57" s="1"/>
  <c r="B23" i="57"/>
  <c r="H39" i="57"/>
  <c r="I39" i="57" s="1"/>
  <c r="H26" i="57"/>
  <c r="I26" i="57" s="1"/>
  <c r="H41" i="57"/>
  <c r="I41" i="57" s="1"/>
  <c r="E17" i="56"/>
  <c r="G17" i="56" s="1"/>
  <c r="D17" i="56"/>
  <c r="H20" i="56"/>
  <c r="I20" i="56" s="1"/>
  <c r="B8" i="56"/>
  <c r="B38" i="56" s="1"/>
  <c r="B23" i="56"/>
  <c r="H26" i="56"/>
  <c r="I26" i="56" s="1"/>
  <c r="H39" i="56"/>
  <c r="I39" i="56" s="1"/>
  <c r="B23" i="54"/>
  <c r="E17" i="54"/>
  <c r="G17" i="54" s="1"/>
  <c r="D17" i="54"/>
  <c r="H20" i="54"/>
  <c r="I20" i="54" s="1"/>
  <c r="B8" i="54"/>
  <c r="B38" i="54" s="1"/>
  <c r="H39" i="54"/>
  <c r="I39" i="54" s="1"/>
  <c r="H26" i="54"/>
  <c r="I26" i="54" s="1"/>
  <c r="H41" i="54"/>
  <c r="I41" i="54" s="1"/>
  <c r="B37" i="53"/>
  <c r="B36" i="53"/>
  <c r="B32" i="53"/>
  <c r="B31" i="53"/>
  <c r="B28" i="53"/>
  <c r="B27" i="53"/>
  <c r="H20" i="53"/>
  <c r="I20" i="53" s="1"/>
  <c r="B23" i="53"/>
  <c r="H39" i="53"/>
  <c r="I39" i="53" s="1"/>
  <c r="H26" i="53"/>
  <c r="I26" i="53" s="1"/>
  <c r="E17" i="52"/>
  <c r="G17" i="52" s="1"/>
  <c r="D17" i="52"/>
  <c r="H20" i="52"/>
  <c r="I20" i="52" s="1"/>
  <c r="B8" i="52"/>
  <c r="B38" i="52" s="1"/>
  <c r="B23" i="52"/>
  <c r="H39" i="52"/>
  <c r="I39" i="52" s="1"/>
  <c r="H26" i="52"/>
  <c r="I26" i="52" s="1"/>
  <c r="D15" i="51"/>
  <c r="D16" i="51"/>
  <c r="D17" i="51"/>
  <c r="B37" i="51"/>
  <c r="B36" i="51"/>
  <c r="B32" i="51"/>
  <c r="B31" i="51"/>
  <c r="B28" i="51"/>
  <c r="B27" i="51"/>
  <c r="B24" i="51"/>
  <c r="H39" i="51"/>
  <c r="I39" i="51" s="1"/>
  <c r="H20" i="51"/>
  <c r="I20" i="51" s="1"/>
  <c r="B23" i="51"/>
  <c r="H26" i="51"/>
  <c r="I26" i="51" s="1"/>
  <c r="E17" i="50"/>
  <c r="G17" i="50" s="1"/>
  <c r="D17" i="50"/>
  <c r="H20" i="50"/>
  <c r="I20" i="50" s="1"/>
  <c r="B8" i="50"/>
  <c r="B38" i="50" s="1"/>
  <c r="B23" i="50"/>
  <c r="H39" i="50"/>
  <c r="I39" i="50" s="1"/>
  <c r="H26" i="50"/>
  <c r="I26" i="50" s="1"/>
  <c r="E17" i="49"/>
  <c r="G17" i="49" s="1"/>
  <c r="D17" i="49"/>
  <c r="H20" i="49"/>
  <c r="I20" i="49" s="1"/>
  <c r="B8" i="49"/>
  <c r="B38" i="49" s="1"/>
  <c r="H39" i="49"/>
  <c r="I39" i="49" s="1"/>
  <c r="H26" i="49"/>
  <c r="I26" i="49" s="1"/>
  <c r="E15" i="48"/>
  <c r="G15" i="48" s="1"/>
  <c r="E16" i="48"/>
  <c r="G16" i="48" s="1"/>
  <c r="E17" i="48"/>
  <c r="G17" i="48" s="1"/>
  <c r="B37" i="48"/>
  <c r="B36" i="48"/>
  <c r="B32" i="48"/>
  <c r="B31" i="48"/>
  <c r="B28" i="48"/>
  <c r="B27" i="48"/>
  <c r="H20" i="48"/>
  <c r="I20" i="48" s="1"/>
  <c r="B23" i="48"/>
  <c r="H39" i="48"/>
  <c r="I39" i="48" s="1"/>
  <c r="H26" i="48"/>
  <c r="I26" i="48" s="1"/>
  <c r="B37" i="47"/>
  <c r="B36" i="47"/>
  <c r="B32" i="47"/>
  <c r="B31" i="47"/>
  <c r="B28" i="47"/>
  <c r="B27" i="47"/>
  <c r="B24" i="47"/>
  <c r="H20" i="47"/>
  <c r="I20" i="47" s="1"/>
  <c r="B23" i="47"/>
  <c r="H39" i="47"/>
  <c r="I39" i="47" s="1"/>
  <c r="H26" i="47"/>
  <c r="I26" i="47" s="1"/>
  <c r="E17" i="46"/>
  <c r="G17" i="46" s="1"/>
  <c r="D17" i="46"/>
  <c r="H20" i="46"/>
  <c r="I20" i="46" s="1"/>
  <c r="B8" i="46"/>
  <c r="B38" i="46" s="1"/>
  <c r="B23" i="46"/>
  <c r="H39" i="46"/>
  <c r="I39" i="46" s="1"/>
  <c r="H26" i="46"/>
  <c r="I26" i="46" s="1"/>
  <c r="H41" i="46" l="1"/>
  <c r="I41" i="46" s="1"/>
  <c r="H41" i="50"/>
  <c r="I41" i="50" s="1"/>
  <c r="H41" i="51"/>
  <c r="I41" i="51" s="1"/>
  <c r="H41" i="53"/>
  <c r="I41" i="53" s="1"/>
  <c r="H31" i="70"/>
  <c r="I31" i="70" s="1"/>
  <c r="H31" i="67"/>
  <c r="I31" i="67" s="1"/>
  <c r="E30" i="76"/>
  <c r="G30" i="76" s="1"/>
  <c r="D30" i="76"/>
  <c r="E30" i="73"/>
  <c r="G30" i="73" s="1"/>
  <c r="D30" i="73"/>
  <c r="H38" i="53"/>
  <c r="I38" i="53" s="1"/>
  <c r="H38" i="48"/>
  <c r="I38" i="48" s="1"/>
  <c r="H31" i="68"/>
  <c r="I31" i="68" s="1"/>
  <c r="H31" i="64"/>
  <c r="I31" i="64" s="1"/>
  <c r="E30" i="81"/>
  <c r="G30" i="81" s="1"/>
  <c r="D30" i="81"/>
  <c r="E30" i="79"/>
  <c r="G30" i="79" s="1"/>
  <c r="D30" i="79"/>
  <c r="B13" i="72"/>
  <c r="B30" i="72"/>
  <c r="H31" i="65"/>
  <c r="I31" i="65" s="1"/>
  <c r="E30" i="78"/>
  <c r="G30" i="78" s="1"/>
  <c r="D30" i="78"/>
  <c r="E30" i="75"/>
  <c r="G30" i="75" s="1"/>
  <c r="D30" i="75"/>
  <c r="E38" i="54"/>
  <c r="G38" i="54" s="1"/>
  <c r="D38" i="54"/>
  <c r="D38" i="46"/>
  <c r="E38" i="46"/>
  <c r="G38" i="46" s="1"/>
  <c r="H38" i="47"/>
  <c r="I38" i="47" s="1"/>
  <c r="E38" i="49"/>
  <c r="G38" i="49" s="1"/>
  <c r="D38" i="49"/>
  <c r="E38" i="50"/>
  <c r="G38" i="50" s="1"/>
  <c r="D38" i="50"/>
  <c r="E38" i="52"/>
  <c r="G38" i="52" s="1"/>
  <c r="D38" i="52"/>
  <c r="E38" i="56"/>
  <c r="G38" i="56" s="1"/>
  <c r="D38" i="56"/>
  <c r="E38" i="60"/>
  <c r="G38" i="60" s="1"/>
  <c r="D38" i="60"/>
  <c r="H38" i="62"/>
  <c r="I38" i="62" s="1"/>
  <c r="H38" i="51"/>
  <c r="I38" i="51" s="1"/>
  <c r="E38" i="61"/>
  <c r="G38" i="61" s="1"/>
  <c r="D38" i="61"/>
  <c r="H38" i="57"/>
  <c r="I38" i="57" s="1"/>
  <c r="H38" i="59"/>
  <c r="I38" i="59" s="1"/>
  <c r="D38" i="58"/>
  <c r="E38" i="58"/>
  <c r="G38" i="58" s="1"/>
  <c r="H41" i="48"/>
  <c r="I41" i="48" s="1"/>
  <c r="H41" i="56"/>
  <c r="I41" i="56" s="1"/>
  <c r="H41" i="47"/>
  <c r="I41" i="47" s="1"/>
  <c r="H41" i="59"/>
  <c r="I41" i="59" s="1"/>
  <c r="D13" i="68"/>
  <c r="H13" i="68" s="1"/>
  <c r="I13" i="68" s="1"/>
  <c r="G26" i="73"/>
  <c r="D13" i="67"/>
  <c r="H13" i="67" s="1"/>
  <c r="I13" i="67" s="1"/>
  <c r="G26" i="76"/>
  <c r="E13" i="56"/>
  <c r="G13" i="56" s="1"/>
  <c r="H13" i="56" s="1"/>
  <c r="I13" i="56" s="1"/>
  <c r="E13" i="70"/>
  <c r="G13" i="70" s="1"/>
  <c r="H13" i="70" s="1"/>
  <c r="I13" i="70" s="1"/>
  <c r="G26" i="75"/>
  <c r="G26" i="79"/>
  <c r="G26" i="81"/>
  <c r="G26" i="78"/>
  <c r="E13" i="64"/>
  <c r="G13" i="64" s="1"/>
  <c r="H13" i="64" s="1"/>
  <c r="I13" i="64" s="1"/>
  <c r="G26" i="72"/>
  <c r="E23" i="46"/>
  <c r="E23" i="47"/>
  <c r="E27" i="47"/>
  <c r="G27" i="47" s="1"/>
  <c r="D27" i="47"/>
  <c r="E31" i="47"/>
  <c r="G31" i="47" s="1"/>
  <c r="D36" i="47"/>
  <c r="E36" i="47"/>
  <c r="G36" i="47" s="1"/>
  <c r="E23" i="48"/>
  <c r="E27" i="48"/>
  <c r="G27" i="48" s="1"/>
  <c r="D27" i="48"/>
  <c r="E31" i="48"/>
  <c r="G31" i="48" s="1"/>
  <c r="E36" i="48"/>
  <c r="G36" i="48" s="1"/>
  <c r="D36" i="48"/>
  <c r="E27" i="51"/>
  <c r="G27" i="51" s="1"/>
  <c r="D27" i="51"/>
  <c r="E31" i="51"/>
  <c r="G31" i="51" s="1"/>
  <c r="D36" i="51"/>
  <c r="E36" i="51"/>
  <c r="G36" i="51" s="1"/>
  <c r="E28" i="53"/>
  <c r="G28" i="53" s="1"/>
  <c r="D28" i="53"/>
  <c r="E32" i="53"/>
  <c r="G32" i="53" s="1"/>
  <c r="D37" i="53"/>
  <c r="E37" i="53"/>
  <c r="G37" i="53" s="1"/>
  <c r="E23" i="57"/>
  <c r="E27" i="57"/>
  <c r="G27" i="57" s="1"/>
  <c r="D27" i="57"/>
  <c r="E31" i="57"/>
  <c r="G31" i="57" s="1"/>
  <c r="E36" i="57"/>
  <c r="G36" i="57" s="1"/>
  <c r="D36" i="57"/>
  <c r="E27" i="59"/>
  <c r="G27" i="59" s="1"/>
  <c r="D27" i="59"/>
  <c r="E31" i="59"/>
  <c r="G31" i="59" s="1"/>
  <c r="E36" i="59"/>
  <c r="G36" i="59" s="1"/>
  <c r="D36" i="59"/>
  <c r="E23" i="62"/>
  <c r="E27" i="62"/>
  <c r="G27" i="62" s="1"/>
  <c r="D27" i="62"/>
  <c r="E31" i="62"/>
  <c r="G31" i="62" s="1"/>
  <c r="D36" i="62"/>
  <c r="E36" i="62"/>
  <c r="G36" i="62" s="1"/>
  <c r="E19" i="64"/>
  <c r="E30" i="64"/>
  <c r="G30" i="64" s="1"/>
  <c r="D30" i="64"/>
  <c r="E25" i="64"/>
  <c r="G25" i="64" s="1"/>
  <c r="E21" i="65"/>
  <c r="D30" i="65"/>
  <c r="E30" i="65"/>
  <c r="G30" i="65" s="1"/>
  <c r="E25" i="65"/>
  <c r="G25" i="65" s="1"/>
  <c r="E26" i="67"/>
  <c r="G26" i="67" s="1"/>
  <c r="E23" i="67"/>
  <c r="G23" i="67" s="1"/>
  <c r="D23" i="67"/>
  <c r="D29" i="67"/>
  <c r="E29" i="67"/>
  <c r="G29" i="67" s="1"/>
  <c r="E19" i="68"/>
  <c r="E26" i="68"/>
  <c r="G26" i="68" s="1"/>
  <c r="E23" i="68"/>
  <c r="G23" i="68" s="1"/>
  <c r="D23" i="68"/>
  <c r="E29" i="68"/>
  <c r="G29" i="68" s="1"/>
  <c r="D29" i="68"/>
  <c r="E19" i="70"/>
  <c r="D30" i="70"/>
  <c r="E30" i="70"/>
  <c r="G30" i="70" s="1"/>
  <c r="E25" i="70"/>
  <c r="G25" i="70" s="1"/>
  <c r="E29" i="73"/>
  <c r="G29" i="73" s="1"/>
  <c r="D29" i="73"/>
  <c r="E29" i="75"/>
  <c r="G29" i="75" s="1"/>
  <c r="D29" i="75"/>
  <c r="D29" i="76"/>
  <c r="E29" i="76"/>
  <c r="G29" i="76" s="1"/>
  <c r="D29" i="78"/>
  <c r="E29" i="78"/>
  <c r="G29" i="78" s="1"/>
  <c r="E29" i="79"/>
  <c r="G29" i="79" s="1"/>
  <c r="D29" i="79"/>
  <c r="D28" i="81"/>
  <c r="E28" i="81"/>
  <c r="G28" i="81" s="1"/>
  <c r="E24" i="47"/>
  <c r="E28" i="47"/>
  <c r="G28" i="47" s="1"/>
  <c r="D28" i="47"/>
  <c r="E32" i="47"/>
  <c r="G32" i="47" s="1"/>
  <c r="D37" i="47"/>
  <c r="E37" i="47"/>
  <c r="G37" i="47" s="1"/>
  <c r="E28" i="48"/>
  <c r="G28" i="48" s="1"/>
  <c r="D28" i="48"/>
  <c r="E32" i="48"/>
  <c r="G32" i="48" s="1"/>
  <c r="E37" i="48"/>
  <c r="G37" i="48" s="1"/>
  <c r="D37" i="48"/>
  <c r="E23" i="50"/>
  <c r="E23" i="51"/>
  <c r="E24" i="51"/>
  <c r="E28" i="51"/>
  <c r="G28" i="51" s="1"/>
  <c r="D28" i="51"/>
  <c r="E32" i="51"/>
  <c r="G32" i="51" s="1"/>
  <c r="D37" i="51"/>
  <c r="E37" i="51"/>
  <c r="G37" i="51" s="1"/>
  <c r="E23" i="52"/>
  <c r="E23" i="53"/>
  <c r="E27" i="53"/>
  <c r="G27" i="53" s="1"/>
  <c r="D27" i="53"/>
  <c r="E31" i="53"/>
  <c r="G31" i="53" s="1"/>
  <c r="D36" i="53"/>
  <c r="E36" i="53"/>
  <c r="G36" i="53" s="1"/>
  <c r="E23" i="54"/>
  <c r="E23" i="56"/>
  <c r="E28" i="57"/>
  <c r="G28" i="57" s="1"/>
  <c r="D28" i="57"/>
  <c r="E32" i="57"/>
  <c r="G32" i="57" s="1"/>
  <c r="E37" i="57"/>
  <c r="G37" i="57" s="1"/>
  <c r="D37" i="57"/>
  <c r="E23" i="58"/>
  <c r="E23" i="59"/>
  <c r="E28" i="59"/>
  <c r="G28" i="59" s="1"/>
  <c r="D28" i="59"/>
  <c r="E32" i="59"/>
  <c r="G32" i="59" s="1"/>
  <c r="E37" i="59"/>
  <c r="G37" i="59" s="1"/>
  <c r="D37" i="59"/>
  <c r="E23" i="60"/>
  <c r="E23" i="61"/>
  <c r="E28" i="62"/>
  <c r="G28" i="62" s="1"/>
  <c r="D28" i="62"/>
  <c r="E32" i="62"/>
  <c r="G32" i="62" s="1"/>
  <c r="D37" i="62"/>
  <c r="E37" i="62"/>
  <c r="G37" i="62" s="1"/>
  <c r="E21" i="64"/>
  <c r="E26" i="64"/>
  <c r="G26" i="64" s="1"/>
  <c r="E23" i="64"/>
  <c r="G23" i="64" s="1"/>
  <c r="D23" i="64"/>
  <c r="E29" i="64"/>
  <c r="G29" i="64" s="1"/>
  <c r="D29" i="64"/>
  <c r="E19" i="65"/>
  <c r="E26" i="65"/>
  <c r="G26" i="65" s="1"/>
  <c r="E23" i="65"/>
  <c r="G23" i="65" s="1"/>
  <c r="D23" i="65"/>
  <c r="D29" i="65"/>
  <c r="E29" i="65"/>
  <c r="G29" i="65" s="1"/>
  <c r="E21" i="67"/>
  <c r="E19" i="67"/>
  <c r="D30" i="67"/>
  <c r="E30" i="67"/>
  <c r="G30" i="67" s="1"/>
  <c r="E25" i="67"/>
  <c r="G25" i="67" s="1"/>
  <c r="E21" i="68"/>
  <c r="E30" i="68"/>
  <c r="G30" i="68" s="1"/>
  <c r="D30" i="68"/>
  <c r="E25" i="68"/>
  <c r="G25" i="68" s="1"/>
  <c r="E21" i="70"/>
  <c r="E26" i="70"/>
  <c r="G26" i="70" s="1"/>
  <c r="E23" i="70"/>
  <c r="G23" i="70" s="1"/>
  <c r="D23" i="70"/>
  <c r="D29" i="70"/>
  <c r="E29" i="70"/>
  <c r="G29" i="70" s="1"/>
  <c r="E28" i="73"/>
  <c r="G28" i="73" s="1"/>
  <c r="D28" i="73"/>
  <c r="E28" i="75"/>
  <c r="G28" i="75" s="1"/>
  <c r="D28" i="75"/>
  <c r="D28" i="76"/>
  <c r="E28" i="76"/>
  <c r="G28" i="76" s="1"/>
  <c r="D28" i="78"/>
  <c r="E28" i="78"/>
  <c r="G28" i="78" s="1"/>
  <c r="E23" i="49"/>
  <c r="E28" i="79"/>
  <c r="G28" i="79" s="1"/>
  <c r="D28" i="79"/>
  <c r="D29" i="81"/>
  <c r="E29" i="81"/>
  <c r="G29" i="81" s="1"/>
  <c r="D15" i="61"/>
  <c r="H15" i="61" s="1"/>
  <c r="I15" i="61" s="1"/>
  <c r="E13" i="49"/>
  <c r="G13" i="49" s="1"/>
  <c r="H13" i="49" s="1"/>
  <c r="I13" i="49" s="1"/>
  <c r="D15" i="53"/>
  <c r="H15" i="53" s="1"/>
  <c r="I15" i="53" s="1"/>
  <c r="D15" i="62"/>
  <c r="H15" i="62" s="1"/>
  <c r="I15" i="62" s="1"/>
  <c r="G18" i="62"/>
  <c r="G18" i="53"/>
  <c r="E13" i="46"/>
  <c r="G13" i="46" s="1"/>
  <c r="H13" i="46" s="1"/>
  <c r="I13" i="46" s="1"/>
  <c r="E15" i="47"/>
  <c r="G15" i="47" s="1"/>
  <c r="H15" i="47" s="1"/>
  <c r="I15" i="47" s="1"/>
  <c r="E13" i="52"/>
  <c r="G13" i="52" s="1"/>
  <c r="H13" i="52" s="1"/>
  <c r="I13" i="52" s="1"/>
  <c r="D17" i="53"/>
  <c r="H17" i="53" s="1"/>
  <c r="I17" i="53" s="1"/>
  <c r="D17" i="57"/>
  <c r="H17" i="57" s="1"/>
  <c r="I17" i="57" s="1"/>
  <c r="D17" i="62"/>
  <c r="H17" i="62" s="1"/>
  <c r="I17" i="62" s="1"/>
  <c r="E13" i="65"/>
  <c r="G13" i="65" s="1"/>
  <c r="H13" i="65" s="1"/>
  <c r="I13" i="65" s="1"/>
  <c r="E15" i="51"/>
  <c r="G15" i="51" s="1"/>
  <c r="H15" i="51" s="1"/>
  <c r="I15" i="51" s="1"/>
  <c r="E12" i="50"/>
  <c r="G12" i="50" s="1"/>
  <c r="H12" i="50" s="1"/>
  <c r="I12" i="50" s="1"/>
  <c r="E17" i="51"/>
  <c r="G17" i="51" s="1"/>
  <c r="H17" i="51" s="1"/>
  <c r="I17" i="51" s="1"/>
  <c r="D16" i="53"/>
  <c r="H16" i="53" s="1"/>
  <c r="I16" i="53" s="1"/>
  <c r="D15" i="57"/>
  <c r="H15" i="57" s="1"/>
  <c r="I15" i="57" s="1"/>
  <c r="D16" i="62"/>
  <c r="H16" i="62" s="1"/>
  <c r="I16" i="62" s="1"/>
  <c r="E13" i="81"/>
  <c r="G13" i="81" s="1"/>
  <c r="D13" i="81"/>
  <c r="D15" i="81" s="1"/>
  <c r="E13" i="79"/>
  <c r="G13" i="79" s="1"/>
  <c r="D13" i="79"/>
  <c r="D15" i="79" s="1"/>
  <c r="D17" i="48"/>
  <c r="H17" i="48" s="1"/>
  <c r="I17" i="48" s="1"/>
  <c r="G18" i="57"/>
  <c r="E12" i="60"/>
  <c r="G12" i="60" s="1"/>
  <c r="H12" i="60" s="1"/>
  <c r="I12" i="60" s="1"/>
  <c r="D15" i="48"/>
  <c r="H15" i="48" s="1"/>
  <c r="I15" i="48" s="1"/>
  <c r="G18" i="48"/>
  <c r="E13" i="78"/>
  <c r="G13" i="78" s="1"/>
  <c r="D13" i="78"/>
  <c r="D15" i="78" s="1"/>
  <c r="E13" i="76"/>
  <c r="G13" i="76" s="1"/>
  <c r="D13" i="76"/>
  <c r="D15" i="76" s="1"/>
  <c r="E13" i="75"/>
  <c r="D13" i="75"/>
  <c r="D15" i="75" s="1"/>
  <c r="E13" i="73"/>
  <c r="G13" i="73" s="1"/>
  <c r="D13" i="73"/>
  <c r="D15" i="73" s="1"/>
  <c r="B28" i="72"/>
  <c r="B29" i="72"/>
  <c r="E12" i="70"/>
  <c r="G12" i="70" s="1"/>
  <c r="D12" i="70"/>
  <c r="D14" i="70" s="1"/>
  <c r="E12" i="68"/>
  <c r="G12" i="68" s="1"/>
  <c r="D12" i="68"/>
  <c r="E12" i="67"/>
  <c r="G12" i="67" s="1"/>
  <c r="D12" i="67"/>
  <c r="E12" i="65"/>
  <c r="G12" i="65" s="1"/>
  <c r="D12" i="65"/>
  <c r="D14" i="65" s="1"/>
  <c r="E12" i="64"/>
  <c r="G12" i="64" s="1"/>
  <c r="D12" i="64"/>
  <c r="D14" i="64" s="1"/>
  <c r="D12" i="62"/>
  <c r="E12" i="62"/>
  <c r="G12" i="62" s="1"/>
  <c r="D13" i="62"/>
  <c r="E13" i="62"/>
  <c r="G13" i="62" s="1"/>
  <c r="E16" i="61"/>
  <c r="G16" i="61" s="1"/>
  <c r="D16" i="61"/>
  <c r="D13" i="61"/>
  <c r="E13" i="61"/>
  <c r="G13" i="61" s="1"/>
  <c r="B37" i="61"/>
  <c r="B36" i="61"/>
  <c r="B32" i="61"/>
  <c r="B31" i="61"/>
  <c r="B28" i="61"/>
  <c r="B27" i="61"/>
  <c r="D12" i="61"/>
  <c r="E12" i="61"/>
  <c r="G12" i="61" s="1"/>
  <c r="H17" i="61"/>
  <c r="I17" i="61" s="1"/>
  <c r="E16" i="60"/>
  <c r="G16" i="60" s="1"/>
  <c r="D16" i="60"/>
  <c r="E15" i="60"/>
  <c r="G15" i="60" s="1"/>
  <c r="D15" i="60"/>
  <c r="D13" i="60"/>
  <c r="D14" i="60" s="1"/>
  <c r="E13" i="60"/>
  <c r="G13" i="60" s="1"/>
  <c r="B37" i="60"/>
  <c r="B36" i="60"/>
  <c r="B32" i="60"/>
  <c r="B31" i="60"/>
  <c r="B28" i="60"/>
  <c r="B27" i="60"/>
  <c r="H17" i="60"/>
  <c r="I17" i="60" s="1"/>
  <c r="E13" i="59"/>
  <c r="G13" i="59" s="1"/>
  <c r="D13" i="59"/>
  <c r="D17" i="59"/>
  <c r="E17" i="59"/>
  <c r="G17" i="59" s="1"/>
  <c r="D15" i="59"/>
  <c r="E15" i="59"/>
  <c r="G15" i="59" s="1"/>
  <c r="E12" i="59"/>
  <c r="G12" i="59" s="1"/>
  <c r="D12" i="59"/>
  <c r="D16" i="59"/>
  <c r="E16" i="59"/>
  <c r="G16" i="59" s="1"/>
  <c r="E15" i="58"/>
  <c r="G15" i="58" s="1"/>
  <c r="D15" i="58"/>
  <c r="D12" i="58"/>
  <c r="E12" i="58"/>
  <c r="G12" i="58" s="1"/>
  <c r="H17" i="58"/>
  <c r="I17" i="58" s="1"/>
  <c r="E16" i="58"/>
  <c r="G16" i="58" s="1"/>
  <c r="D16" i="58"/>
  <c r="D13" i="58"/>
  <c r="E13" i="58"/>
  <c r="G13" i="58" s="1"/>
  <c r="B37" i="58"/>
  <c r="B36" i="58"/>
  <c r="B32" i="58"/>
  <c r="B31" i="58"/>
  <c r="B28" i="58"/>
  <c r="B27" i="58"/>
  <c r="D16" i="57"/>
  <c r="H16" i="57" s="1"/>
  <c r="I16" i="57" s="1"/>
  <c r="D12" i="57"/>
  <c r="E12" i="57"/>
  <c r="G12" i="57" s="1"/>
  <c r="D13" i="57"/>
  <c r="E13" i="57"/>
  <c r="G13" i="57" s="1"/>
  <c r="E16" i="56"/>
  <c r="G16" i="56" s="1"/>
  <c r="D16" i="56"/>
  <c r="B37" i="56"/>
  <c r="B36" i="56"/>
  <c r="B32" i="56"/>
  <c r="B31" i="56"/>
  <c r="B28" i="56"/>
  <c r="B27" i="56"/>
  <c r="H17" i="56"/>
  <c r="I17" i="56" s="1"/>
  <c r="E15" i="56"/>
  <c r="G15" i="56" s="1"/>
  <c r="D15" i="56"/>
  <c r="D12" i="56"/>
  <c r="D14" i="56" s="1"/>
  <c r="E12" i="56"/>
  <c r="G12" i="56" s="1"/>
  <c r="E13" i="54"/>
  <c r="G13" i="54" s="1"/>
  <c r="H13" i="54" s="1"/>
  <c r="I13" i="54" s="1"/>
  <c r="E16" i="54"/>
  <c r="G16" i="54" s="1"/>
  <c r="D16" i="54"/>
  <c r="D12" i="54"/>
  <c r="D14" i="54" s="1"/>
  <c r="E12" i="54"/>
  <c r="G12" i="54" s="1"/>
  <c r="E15" i="54"/>
  <c r="G15" i="54" s="1"/>
  <c r="D15" i="54"/>
  <c r="B37" i="54"/>
  <c r="B36" i="54"/>
  <c r="B32" i="54"/>
  <c r="B31" i="54"/>
  <c r="B28" i="54"/>
  <c r="B27" i="54"/>
  <c r="H17" i="54"/>
  <c r="I17" i="54" s="1"/>
  <c r="D12" i="53"/>
  <c r="E12" i="53"/>
  <c r="G12" i="53" s="1"/>
  <c r="D13" i="53"/>
  <c r="E13" i="53"/>
  <c r="G13" i="53" s="1"/>
  <c r="E15" i="52"/>
  <c r="G15" i="52" s="1"/>
  <c r="D15" i="52"/>
  <c r="B37" i="52"/>
  <c r="B36" i="52"/>
  <c r="B32" i="52"/>
  <c r="B31" i="52"/>
  <c r="B28" i="52"/>
  <c r="B27" i="52"/>
  <c r="E16" i="52"/>
  <c r="G16" i="52" s="1"/>
  <c r="D16" i="52"/>
  <c r="D12" i="52"/>
  <c r="D14" i="52" s="1"/>
  <c r="E12" i="52"/>
  <c r="G12" i="52" s="1"/>
  <c r="H17" i="52"/>
  <c r="I17" i="52" s="1"/>
  <c r="E16" i="51"/>
  <c r="G16" i="51" s="1"/>
  <c r="D18" i="51"/>
  <c r="E12" i="51"/>
  <c r="G12" i="51" s="1"/>
  <c r="D12" i="51"/>
  <c r="E13" i="51"/>
  <c r="G13" i="51" s="1"/>
  <c r="D13" i="51"/>
  <c r="E16" i="50"/>
  <c r="G16" i="50" s="1"/>
  <c r="D16" i="50"/>
  <c r="E15" i="50"/>
  <c r="G15" i="50" s="1"/>
  <c r="D15" i="50"/>
  <c r="D13" i="50"/>
  <c r="D14" i="50" s="1"/>
  <c r="E13" i="50"/>
  <c r="G13" i="50" s="1"/>
  <c r="B37" i="50"/>
  <c r="B36" i="50"/>
  <c r="B32" i="50"/>
  <c r="B31" i="50"/>
  <c r="B28" i="50"/>
  <c r="B27" i="50"/>
  <c r="H17" i="50"/>
  <c r="I17" i="50" s="1"/>
  <c r="E16" i="49"/>
  <c r="G16" i="49" s="1"/>
  <c r="D16" i="49"/>
  <c r="D12" i="49"/>
  <c r="D14" i="49" s="1"/>
  <c r="E12" i="49"/>
  <c r="G12" i="49" s="1"/>
  <c r="E15" i="49"/>
  <c r="G15" i="49" s="1"/>
  <c r="D15" i="49"/>
  <c r="B37" i="49"/>
  <c r="B36" i="49"/>
  <c r="B32" i="49"/>
  <c r="B31" i="49"/>
  <c r="B28" i="49"/>
  <c r="B27" i="49"/>
  <c r="H17" i="49"/>
  <c r="I17" i="49" s="1"/>
  <c r="D16" i="48"/>
  <c r="H16" i="48" s="1"/>
  <c r="I16" i="48" s="1"/>
  <c r="D12" i="48"/>
  <c r="E12" i="48"/>
  <c r="G12" i="48" s="1"/>
  <c r="D13" i="48"/>
  <c r="E13" i="48"/>
  <c r="G13" i="48" s="1"/>
  <c r="E13" i="47"/>
  <c r="G13" i="47" s="1"/>
  <c r="D13" i="47"/>
  <c r="D17" i="47"/>
  <c r="E17" i="47"/>
  <c r="G17" i="47" s="1"/>
  <c r="E12" i="47"/>
  <c r="G12" i="47" s="1"/>
  <c r="D12" i="47"/>
  <c r="D16" i="47"/>
  <c r="E16" i="47"/>
  <c r="G16" i="47" s="1"/>
  <c r="H17" i="46"/>
  <c r="I17" i="46" s="1"/>
  <c r="E15" i="46"/>
  <c r="G15" i="46" s="1"/>
  <c r="D15" i="46"/>
  <c r="D12" i="46"/>
  <c r="D14" i="46" s="1"/>
  <c r="E12" i="46"/>
  <c r="G12" i="46" s="1"/>
  <c r="B37" i="46"/>
  <c r="B36" i="46"/>
  <c r="B32" i="46"/>
  <c r="B31" i="46"/>
  <c r="B28" i="46"/>
  <c r="B27" i="46"/>
  <c r="E16" i="46"/>
  <c r="G16" i="46" s="1"/>
  <c r="D16" i="46"/>
  <c r="D18" i="47" l="1"/>
  <c r="G13" i="75"/>
  <c r="G15" i="75" s="1"/>
  <c r="G32" i="79"/>
  <c r="H38" i="60"/>
  <c r="I38" i="60" s="1"/>
  <c r="H38" i="52"/>
  <c r="I38" i="52" s="1"/>
  <c r="H38" i="49"/>
  <c r="I38" i="49" s="1"/>
  <c r="H30" i="76"/>
  <c r="I30" i="76" s="1"/>
  <c r="D32" i="79"/>
  <c r="H30" i="75"/>
  <c r="I30" i="75" s="1"/>
  <c r="H30" i="79"/>
  <c r="I30" i="79" s="1"/>
  <c r="H30" i="81"/>
  <c r="I30" i="81" s="1"/>
  <c r="H38" i="46"/>
  <c r="I38" i="46" s="1"/>
  <c r="H30" i="78"/>
  <c r="I30" i="78" s="1"/>
  <c r="E30" i="72"/>
  <c r="G30" i="72" s="1"/>
  <c r="D30" i="72"/>
  <c r="H30" i="73"/>
  <c r="I30" i="73" s="1"/>
  <c r="H38" i="54"/>
  <c r="I38" i="54" s="1"/>
  <c r="H38" i="58"/>
  <c r="I38" i="58" s="1"/>
  <c r="H38" i="61"/>
  <c r="I38" i="61" s="1"/>
  <c r="H38" i="56"/>
  <c r="I38" i="56" s="1"/>
  <c r="H38" i="50"/>
  <c r="I38" i="50" s="1"/>
  <c r="D14" i="61"/>
  <c r="D18" i="61"/>
  <c r="D14" i="68"/>
  <c r="D14" i="67"/>
  <c r="G27" i="67"/>
  <c r="D33" i="65"/>
  <c r="G33" i="53"/>
  <c r="G33" i="65"/>
  <c r="G40" i="53"/>
  <c r="D14" i="59"/>
  <c r="D40" i="53"/>
  <c r="G32" i="78"/>
  <c r="D32" i="75"/>
  <c r="D32" i="73"/>
  <c r="G33" i="70"/>
  <c r="G33" i="64"/>
  <c r="G32" i="76"/>
  <c r="D32" i="78"/>
  <c r="D32" i="76"/>
  <c r="G32" i="75"/>
  <c r="G32" i="73"/>
  <c r="D33" i="70"/>
  <c r="D33" i="64"/>
  <c r="G27" i="68"/>
  <c r="G18" i="51"/>
  <c r="H18" i="51" s="1"/>
  <c r="I18" i="51" s="1"/>
  <c r="E28" i="46"/>
  <c r="G28" i="46" s="1"/>
  <c r="D28" i="46"/>
  <c r="E32" i="46"/>
  <c r="G32" i="46" s="1"/>
  <c r="E37" i="46"/>
  <c r="G37" i="46" s="1"/>
  <c r="D37" i="46"/>
  <c r="E28" i="49"/>
  <c r="G28" i="49" s="1"/>
  <c r="D28" i="49"/>
  <c r="E32" i="49"/>
  <c r="G32" i="49" s="1"/>
  <c r="D37" i="49"/>
  <c r="E37" i="49"/>
  <c r="G37" i="49" s="1"/>
  <c r="E28" i="50"/>
  <c r="G28" i="50" s="1"/>
  <c r="D28" i="50"/>
  <c r="E32" i="50"/>
  <c r="G32" i="50" s="1"/>
  <c r="E37" i="50"/>
  <c r="G37" i="50" s="1"/>
  <c r="D37" i="50"/>
  <c r="E27" i="52"/>
  <c r="G27" i="52" s="1"/>
  <c r="D27" i="52"/>
  <c r="E31" i="52"/>
  <c r="G31" i="52" s="1"/>
  <c r="E36" i="52"/>
  <c r="G36" i="52" s="1"/>
  <c r="D36" i="52"/>
  <c r="E27" i="54"/>
  <c r="G27" i="54" s="1"/>
  <c r="D27" i="54"/>
  <c r="E31" i="54"/>
  <c r="G31" i="54" s="1"/>
  <c r="D36" i="54"/>
  <c r="E36" i="54"/>
  <c r="G36" i="54" s="1"/>
  <c r="E28" i="56"/>
  <c r="G28" i="56" s="1"/>
  <c r="D28" i="56"/>
  <c r="E32" i="56"/>
  <c r="G32" i="56" s="1"/>
  <c r="D37" i="56"/>
  <c r="E37" i="56"/>
  <c r="G37" i="56" s="1"/>
  <c r="E27" i="58"/>
  <c r="G27" i="58" s="1"/>
  <c r="D27" i="58"/>
  <c r="E31" i="58"/>
  <c r="G31" i="58" s="1"/>
  <c r="D36" i="58"/>
  <c r="E36" i="58"/>
  <c r="G36" i="58" s="1"/>
  <c r="E27" i="60"/>
  <c r="G27" i="60" s="1"/>
  <c r="D27" i="60"/>
  <c r="E31" i="60"/>
  <c r="G31" i="60" s="1"/>
  <c r="D36" i="60"/>
  <c r="E36" i="60"/>
  <c r="G36" i="60" s="1"/>
  <c r="E27" i="61"/>
  <c r="G27" i="61" s="1"/>
  <c r="D27" i="61"/>
  <c r="E31" i="61"/>
  <c r="G31" i="61" s="1"/>
  <c r="E36" i="61"/>
  <c r="G36" i="61" s="1"/>
  <c r="D36" i="61"/>
  <c r="D29" i="72"/>
  <c r="E29" i="72"/>
  <c r="G29" i="72" s="1"/>
  <c r="G32" i="81"/>
  <c r="D33" i="68"/>
  <c r="G33" i="67"/>
  <c r="G40" i="62"/>
  <c r="D40" i="59"/>
  <c r="D40" i="57"/>
  <c r="G40" i="51"/>
  <c r="D40" i="48"/>
  <c r="G40" i="47"/>
  <c r="E27" i="46"/>
  <c r="G27" i="46" s="1"/>
  <c r="D27" i="46"/>
  <c r="E31" i="46"/>
  <c r="G31" i="46" s="1"/>
  <c r="E36" i="46"/>
  <c r="G36" i="46" s="1"/>
  <c r="D36" i="46"/>
  <c r="E27" i="49"/>
  <c r="G27" i="49" s="1"/>
  <c r="D27" i="49"/>
  <c r="E31" i="49"/>
  <c r="G31" i="49" s="1"/>
  <c r="D36" i="49"/>
  <c r="E36" i="49"/>
  <c r="G36" i="49" s="1"/>
  <c r="E27" i="50"/>
  <c r="G27" i="50" s="1"/>
  <c r="D27" i="50"/>
  <c r="E31" i="50"/>
  <c r="G31" i="50" s="1"/>
  <c r="E36" i="50"/>
  <c r="G36" i="50" s="1"/>
  <c r="D36" i="50"/>
  <c r="E28" i="52"/>
  <c r="G28" i="52" s="1"/>
  <c r="D28" i="52"/>
  <c r="E32" i="52"/>
  <c r="G32" i="52" s="1"/>
  <c r="E37" i="52"/>
  <c r="G37" i="52" s="1"/>
  <c r="D37" i="52"/>
  <c r="E28" i="54"/>
  <c r="G28" i="54" s="1"/>
  <c r="D28" i="54"/>
  <c r="E32" i="54"/>
  <c r="G32" i="54" s="1"/>
  <c r="D37" i="54"/>
  <c r="E37" i="54"/>
  <c r="G37" i="54" s="1"/>
  <c r="E27" i="56"/>
  <c r="G27" i="56" s="1"/>
  <c r="D27" i="56"/>
  <c r="E31" i="56"/>
  <c r="G31" i="56" s="1"/>
  <c r="D36" i="56"/>
  <c r="E36" i="56"/>
  <c r="G36" i="56" s="1"/>
  <c r="E28" i="58"/>
  <c r="G28" i="58" s="1"/>
  <c r="D28" i="58"/>
  <c r="E32" i="58"/>
  <c r="G32" i="58" s="1"/>
  <c r="D37" i="58"/>
  <c r="E37" i="58"/>
  <c r="G37" i="58" s="1"/>
  <c r="E28" i="60"/>
  <c r="G28" i="60" s="1"/>
  <c r="D28" i="60"/>
  <c r="E32" i="60"/>
  <c r="G32" i="60" s="1"/>
  <c r="D37" i="60"/>
  <c r="E37" i="60"/>
  <c r="G37" i="60" s="1"/>
  <c r="E28" i="61"/>
  <c r="G28" i="61" s="1"/>
  <c r="D28" i="61"/>
  <c r="E32" i="61"/>
  <c r="G32" i="61" s="1"/>
  <c r="E37" i="61"/>
  <c r="G37" i="61" s="1"/>
  <c r="D37" i="61"/>
  <c r="D28" i="72"/>
  <c r="E28" i="72"/>
  <c r="G28" i="72" s="1"/>
  <c r="D32" i="81"/>
  <c r="G27" i="70"/>
  <c r="G33" i="68"/>
  <c r="D33" i="67"/>
  <c r="G27" i="65"/>
  <c r="G27" i="64"/>
  <c r="D40" i="62"/>
  <c r="G33" i="62"/>
  <c r="G40" i="59"/>
  <c r="G33" i="59"/>
  <c r="G40" i="57"/>
  <c r="G33" i="57"/>
  <c r="D40" i="51"/>
  <c r="G33" i="51"/>
  <c r="G40" i="48"/>
  <c r="G33" i="48"/>
  <c r="D40" i="47"/>
  <c r="G33" i="47"/>
  <c r="D18" i="53"/>
  <c r="H18" i="53" s="1"/>
  <c r="I18" i="53" s="1"/>
  <c r="D18" i="62"/>
  <c r="H18" i="62" s="1"/>
  <c r="I18" i="62" s="1"/>
  <c r="D18" i="48"/>
  <c r="H18" i="48" s="1"/>
  <c r="I18" i="48" s="1"/>
  <c r="D18" i="49"/>
  <c r="D18" i="50"/>
  <c r="D18" i="60"/>
  <c r="H28" i="81"/>
  <c r="I28" i="81" s="1"/>
  <c r="G15" i="81"/>
  <c r="H13" i="81"/>
  <c r="I13" i="81" s="1"/>
  <c r="H29" i="81"/>
  <c r="I29" i="81" s="1"/>
  <c r="H28" i="79"/>
  <c r="I28" i="79" s="1"/>
  <c r="G15" i="79"/>
  <c r="H13" i="79"/>
  <c r="I13" i="79" s="1"/>
  <c r="H29" i="79"/>
  <c r="I29" i="79" s="1"/>
  <c r="D18" i="57"/>
  <c r="H18" i="57" s="1"/>
  <c r="I18" i="57" s="1"/>
  <c r="H16" i="51"/>
  <c r="I16" i="51" s="1"/>
  <c r="D14" i="51"/>
  <c r="H28" i="78"/>
  <c r="I28" i="78" s="1"/>
  <c r="G15" i="78"/>
  <c r="H13" i="78"/>
  <c r="I13" i="78" s="1"/>
  <c r="H29" i="78"/>
  <c r="I29" i="78" s="1"/>
  <c r="H28" i="76"/>
  <c r="I28" i="76" s="1"/>
  <c r="G15" i="76"/>
  <c r="H13" i="76"/>
  <c r="I13" i="76" s="1"/>
  <c r="H29" i="76"/>
  <c r="I29" i="76" s="1"/>
  <c r="H28" i="75"/>
  <c r="I28" i="75" s="1"/>
  <c r="H29" i="75"/>
  <c r="I29" i="75" s="1"/>
  <c r="H28" i="73"/>
  <c r="I28" i="73" s="1"/>
  <c r="G15" i="73"/>
  <c r="H13" i="73"/>
  <c r="I13" i="73" s="1"/>
  <c r="H29" i="73"/>
  <c r="I29" i="73" s="1"/>
  <c r="E13" i="72"/>
  <c r="D13" i="72"/>
  <c r="D15" i="72" s="1"/>
  <c r="H23" i="70"/>
  <c r="I23" i="70" s="1"/>
  <c r="H30" i="70"/>
  <c r="I30" i="70" s="1"/>
  <c r="H29" i="70"/>
  <c r="I29" i="70" s="1"/>
  <c r="G14" i="70"/>
  <c r="H12" i="70"/>
  <c r="I12" i="70" s="1"/>
  <c r="H23" i="68"/>
  <c r="I23" i="68" s="1"/>
  <c r="H30" i="68"/>
  <c r="I30" i="68" s="1"/>
  <c r="H29" i="68"/>
  <c r="I29" i="68" s="1"/>
  <c r="G14" i="68"/>
  <c r="H12" i="68"/>
  <c r="I12" i="68" s="1"/>
  <c r="H30" i="67"/>
  <c r="I30" i="67" s="1"/>
  <c r="H23" i="67"/>
  <c r="I23" i="67" s="1"/>
  <c r="H29" i="67"/>
  <c r="I29" i="67" s="1"/>
  <c r="G14" i="67"/>
  <c r="H12" i="67"/>
  <c r="I12" i="67" s="1"/>
  <c r="H23" i="65"/>
  <c r="I23" i="65" s="1"/>
  <c r="H30" i="65"/>
  <c r="I30" i="65" s="1"/>
  <c r="H29" i="65"/>
  <c r="I29" i="65" s="1"/>
  <c r="G14" i="65"/>
  <c r="H12" i="65"/>
  <c r="I12" i="65" s="1"/>
  <c r="H23" i="64"/>
  <c r="I23" i="64" s="1"/>
  <c r="H30" i="64"/>
  <c r="I30" i="64" s="1"/>
  <c r="H29" i="64"/>
  <c r="I29" i="64" s="1"/>
  <c r="G14" i="64"/>
  <c r="H12" i="64"/>
  <c r="I12" i="64" s="1"/>
  <c r="D14" i="62"/>
  <c r="H37" i="62"/>
  <c r="I37" i="62" s="1"/>
  <c r="H36" i="62"/>
  <c r="I36" i="62" s="1"/>
  <c r="G14" i="62"/>
  <c r="H12" i="62"/>
  <c r="I12" i="62" s="1"/>
  <c r="H28" i="62"/>
  <c r="I28" i="62" s="1"/>
  <c r="H13" i="62"/>
  <c r="I13" i="62" s="1"/>
  <c r="H27" i="62"/>
  <c r="I27" i="62" s="1"/>
  <c r="G14" i="61"/>
  <c r="H12" i="61"/>
  <c r="I12" i="61" s="1"/>
  <c r="H13" i="61"/>
  <c r="I13" i="61" s="1"/>
  <c r="H16" i="61"/>
  <c r="I16" i="61" s="1"/>
  <c r="G18" i="61"/>
  <c r="H13" i="60"/>
  <c r="I13" i="60" s="1"/>
  <c r="G14" i="60"/>
  <c r="G18" i="60"/>
  <c r="H15" i="60"/>
  <c r="I15" i="60" s="1"/>
  <c r="H16" i="60"/>
  <c r="I16" i="60" s="1"/>
  <c r="D14" i="58"/>
  <c r="H37" i="59"/>
  <c r="I37" i="59" s="1"/>
  <c r="H16" i="59"/>
  <c r="I16" i="59" s="1"/>
  <c r="H27" i="59"/>
  <c r="I27" i="59" s="1"/>
  <c r="G18" i="59"/>
  <c r="H15" i="59"/>
  <c r="I15" i="59" s="1"/>
  <c r="H17" i="59"/>
  <c r="I17" i="59" s="1"/>
  <c r="H28" i="59"/>
  <c r="I28" i="59" s="1"/>
  <c r="G14" i="59"/>
  <c r="H12" i="59"/>
  <c r="I12" i="59" s="1"/>
  <c r="H36" i="59"/>
  <c r="I36" i="59" s="1"/>
  <c r="D18" i="59"/>
  <c r="H13" i="59"/>
  <c r="I13" i="59" s="1"/>
  <c r="G14" i="58"/>
  <c r="H12" i="58"/>
  <c r="I12" i="58" s="1"/>
  <c r="D18" i="58"/>
  <c r="H13" i="58"/>
  <c r="I13" i="58" s="1"/>
  <c r="H16" i="58"/>
  <c r="I16" i="58" s="1"/>
  <c r="G18" i="58"/>
  <c r="H15" i="58"/>
  <c r="I15" i="58" s="1"/>
  <c r="H28" i="57"/>
  <c r="I28" i="57" s="1"/>
  <c r="H13" i="57"/>
  <c r="I13" i="57" s="1"/>
  <c r="H27" i="57"/>
  <c r="I27" i="57" s="1"/>
  <c r="G14" i="57"/>
  <c r="H12" i="57"/>
  <c r="I12" i="57" s="1"/>
  <c r="H37" i="57"/>
  <c r="I37" i="57" s="1"/>
  <c r="H36" i="57"/>
  <c r="I36" i="57" s="1"/>
  <c r="D14" i="57"/>
  <c r="G18" i="56"/>
  <c r="H15" i="56"/>
  <c r="I15" i="56" s="1"/>
  <c r="G14" i="56"/>
  <c r="H12" i="56"/>
  <c r="I12" i="56" s="1"/>
  <c r="D18" i="56"/>
  <c r="H16" i="56"/>
  <c r="I16" i="56" s="1"/>
  <c r="D18" i="54"/>
  <c r="G18" i="54"/>
  <c r="H15" i="54"/>
  <c r="I15" i="54" s="1"/>
  <c r="G14" i="54"/>
  <c r="H12" i="54"/>
  <c r="I12" i="54" s="1"/>
  <c r="H16" i="54"/>
  <c r="I16" i="54" s="1"/>
  <c r="D14" i="53"/>
  <c r="H28" i="53"/>
  <c r="I28" i="53" s="1"/>
  <c r="H37" i="53"/>
  <c r="I37" i="53" s="1"/>
  <c r="H36" i="53"/>
  <c r="I36" i="53" s="1"/>
  <c r="G14" i="53"/>
  <c r="H12" i="53"/>
  <c r="I12" i="53" s="1"/>
  <c r="H13" i="53"/>
  <c r="I13" i="53" s="1"/>
  <c r="H27" i="53"/>
  <c r="I27" i="53" s="1"/>
  <c r="G14" i="52"/>
  <c r="H12" i="52"/>
  <c r="I12" i="52" s="1"/>
  <c r="D18" i="52"/>
  <c r="H16" i="52"/>
  <c r="I16" i="52" s="1"/>
  <c r="G18" i="52"/>
  <c r="H15" i="52"/>
  <c r="I15" i="52" s="1"/>
  <c r="H13" i="51"/>
  <c r="I13" i="51" s="1"/>
  <c r="H36" i="51"/>
  <c r="I36" i="51" s="1"/>
  <c r="H37" i="51"/>
  <c r="I37" i="51" s="1"/>
  <c r="H28" i="51"/>
  <c r="I28" i="51" s="1"/>
  <c r="H27" i="51"/>
  <c r="I27" i="51" s="1"/>
  <c r="G14" i="51"/>
  <c r="H12" i="51"/>
  <c r="I12" i="51" s="1"/>
  <c r="H13" i="50"/>
  <c r="I13" i="50" s="1"/>
  <c r="G18" i="50"/>
  <c r="H15" i="50"/>
  <c r="I15" i="50" s="1"/>
  <c r="G14" i="50"/>
  <c r="H16" i="50"/>
  <c r="I16" i="50" s="1"/>
  <c r="G14" i="49"/>
  <c r="H12" i="49"/>
  <c r="I12" i="49" s="1"/>
  <c r="G18" i="49"/>
  <c r="H15" i="49"/>
  <c r="I15" i="49" s="1"/>
  <c r="H16" i="49"/>
  <c r="I16" i="49" s="1"/>
  <c r="H36" i="48"/>
  <c r="I36" i="48" s="1"/>
  <c r="H27" i="48"/>
  <c r="I27" i="48" s="1"/>
  <c r="H13" i="48"/>
  <c r="I13" i="48" s="1"/>
  <c r="H28" i="48"/>
  <c r="I28" i="48" s="1"/>
  <c r="G14" i="48"/>
  <c r="H12" i="48"/>
  <c r="I12" i="48" s="1"/>
  <c r="H37" i="48"/>
  <c r="I37" i="48" s="1"/>
  <c r="D14" i="48"/>
  <c r="H37" i="47"/>
  <c r="I37" i="47" s="1"/>
  <c r="G14" i="47"/>
  <c r="H12" i="47"/>
  <c r="I12" i="47" s="1"/>
  <c r="H36" i="47"/>
  <c r="I36" i="47" s="1"/>
  <c r="H28" i="47"/>
  <c r="I28" i="47" s="1"/>
  <c r="H16" i="47"/>
  <c r="I16" i="47" s="1"/>
  <c r="D14" i="47"/>
  <c r="H17" i="47"/>
  <c r="I17" i="47" s="1"/>
  <c r="H27" i="47"/>
  <c r="I27" i="47" s="1"/>
  <c r="G18" i="47"/>
  <c r="H13" i="47"/>
  <c r="I13" i="47" s="1"/>
  <c r="G14" i="46"/>
  <c r="H12" i="46"/>
  <c r="I12" i="46" s="1"/>
  <c r="D18" i="46"/>
  <c r="H16" i="46"/>
  <c r="I16" i="46" s="1"/>
  <c r="G18" i="46"/>
  <c r="H15" i="46"/>
  <c r="I15" i="46" s="1"/>
  <c r="H13" i="75" l="1"/>
  <c r="I13" i="75" s="1"/>
  <c r="G13" i="72"/>
  <c r="H13" i="72" s="1"/>
  <c r="I13" i="72" s="1"/>
  <c r="H30" i="72"/>
  <c r="I30" i="72" s="1"/>
  <c r="D32" i="72"/>
  <c r="D40" i="56"/>
  <c r="G33" i="56"/>
  <c r="G40" i="50"/>
  <c r="D40" i="49"/>
  <c r="G33" i="49"/>
  <c r="G40" i="46"/>
  <c r="G33" i="50"/>
  <c r="G33" i="46"/>
  <c r="G32" i="72"/>
  <c r="G40" i="56"/>
  <c r="D40" i="50"/>
  <c r="G40" i="49"/>
  <c r="D40" i="46"/>
  <c r="D40" i="61"/>
  <c r="G40" i="60"/>
  <c r="G40" i="58"/>
  <c r="G40" i="54"/>
  <c r="D40" i="52"/>
  <c r="G40" i="61"/>
  <c r="G33" i="61"/>
  <c r="D40" i="60"/>
  <c r="G33" i="60"/>
  <c r="D40" i="58"/>
  <c r="G33" i="58"/>
  <c r="D40" i="54"/>
  <c r="G33" i="54"/>
  <c r="G40" i="52"/>
  <c r="G33" i="52"/>
  <c r="H32" i="81"/>
  <c r="I32" i="81" s="1"/>
  <c r="H15" i="81"/>
  <c r="I15" i="81" s="1"/>
  <c r="H32" i="79"/>
  <c r="I32" i="79" s="1"/>
  <c r="H15" i="79"/>
  <c r="I15" i="79" s="1"/>
  <c r="H15" i="78"/>
  <c r="I15" i="78" s="1"/>
  <c r="H32" i="78"/>
  <c r="I32" i="78" s="1"/>
  <c r="H15" i="76"/>
  <c r="I15" i="76" s="1"/>
  <c r="H32" i="76"/>
  <c r="I32" i="76" s="1"/>
  <c r="H32" i="75"/>
  <c r="I32" i="75" s="1"/>
  <c r="H15" i="75"/>
  <c r="I15" i="75" s="1"/>
  <c r="H15" i="73"/>
  <c r="I15" i="73" s="1"/>
  <c r="H32" i="73"/>
  <c r="I32" i="73" s="1"/>
  <c r="H29" i="72"/>
  <c r="I29" i="72" s="1"/>
  <c r="H28" i="72"/>
  <c r="I28" i="72" s="1"/>
  <c r="H33" i="70"/>
  <c r="I33" i="70" s="1"/>
  <c r="H14" i="70"/>
  <c r="I14" i="70" s="1"/>
  <c r="H14" i="68"/>
  <c r="I14" i="68" s="1"/>
  <c r="H33" i="68"/>
  <c r="I33" i="68" s="1"/>
  <c r="H14" i="67"/>
  <c r="I14" i="67" s="1"/>
  <c r="H33" i="67"/>
  <c r="I33" i="67" s="1"/>
  <c r="H33" i="65"/>
  <c r="I33" i="65" s="1"/>
  <c r="H14" i="65"/>
  <c r="I14" i="65" s="1"/>
  <c r="H33" i="64"/>
  <c r="I33" i="64" s="1"/>
  <c r="H14" i="64"/>
  <c r="I14" i="64" s="1"/>
  <c r="H40" i="62"/>
  <c r="I40" i="62" s="1"/>
  <c r="H14" i="62"/>
  <c r="I14" i="62" s="1"/>
  <c r="H18" i="61"/>
  <c r="I18" i="61" s="1"/>
  <c r="H37" i="61"/>
  <c r="I37" i="61" s="1"/>
  <c r="H27" i="61"/>
  <c r="I27" i="61" s="1"/>
  <c r="H28" i="61"/>
  <c r="I28" i="61" s="1"/>
  <c r="H36" i="61"/>
  <c r="I36" i="61" s="1"/>
  <c r="H14" i="61"/>
  <c r="I14" i="61" s="1"/>
  <c r="H37" i="60"/>
  <c r="I37" i="60" s="1"/>
  <c r="H27" i="60"/>
  <c r="I27" i="60" s="1"/>
  <c r="H18" i="60"/>
  <c r="I18" i="60" s="1"/>
  <c r="H28" i="60"/>
  <c r="I28" i="60" s="1"/>
  <c r="H14" i="60"/>
  <c r="I14" i="60" s="1"/>
  <c r="H36" i="60"/>
  <c r="I36" i="60" s="1"/>
  <c r="H18" i="59"/>
  <c r="I18" i="59" s="1"/>
  <c r="H40" i="59"/>
  <c r="I40" i="59" s="1"/>
  <c r="H14" i="59"/>
  <c r="I14" i="59" s="1"/>
  <c r="H18" i="58"/>
  <c r="I18" i="58" s="1"/>
  <c r="H27" i="58"/>
  <c r="I27" i="58" s="1"/>
  <c r="H14" i="58"/>
  <c r="I14" i="58" s="1"/>
  <c r="H28" i="58"/>
  <c r="I28" i="58" s="1"/>
  <c r="H36" i="58"/>
  <c r="I36" i="58" s="1"/>
  <c r="H37" i="58"/>
  <c r="I37" i="58" s="1"/>
  <c r="H14" i="57"/>
  <c r="I14" i="57" s="1"/>
  <c r="H40" i="57"/>
  <c r="I40" i="57" s="1"/>
  <c r="H36" i="56"/>
  <c r="I36" i="56" s="1"/>
  <c r="H14" i="56"/>
  <c r="I14" i="56" s="1"/>
  <c r="H37" i="56"/>
  <c r="I37" i="56" s="1"/>
  <c r="H27" i="56"/>
  <c r="I27" i="56" s="1"/>
  <c r="H28" i="56"/>
  <c r="I28" i="56" s="1"/>
  <c r="H18" i="56"/>
  <c r="I18" i="56" s="1"/>
  <c r="H14" i="54"/>
  <c r="I14" i="54" s="1"/>
  <c r="H27" i="54"/>
  <c r="I27" i="54" s="1"/>
  <c r="H28" i="54"/>
  <c r="I28" i="54" s="1"/>
  <c r="H36" i="54"/>
  <c r="I36" i="54" s="1"/>
  <c r="H18" i="54"/>
  <c r="I18" i="54" s="1"/>
  <c r="H37" i="54"/>
  <c r="I37" i="54" s="1"/>
  <c r="H40" i="53"/>
  <c r="I40" i="53" s="1"/>
  <c r="H14" i="53"/>
  <c r="I14" i="53" s="1"/>
  <c r="H27" i="52"/>
  <c r="I27" i="52" s="1"/>
  <c r="H18" i="52"/>
  <c r="I18" i="52" s="1"/>
  <c r="H37" i="52"/>
  <c r="I37" i="52" s="1"/>
  <c r="H28" i="52"/>
  <c r="I28" i="52" s="1"/>
  <c r="H36" i="52"/>
  <c r="I36" i="52" s="1"/>
  <c r="H14" i="52"/>
  <c r="I14" i="52" s="1"/>
  <c r="H40" i="51"/>
  <c r="I40" i="51" s="1"/>
  <c r="H14" i="51"/>
  <c r="I14" i="51" s="1"/>
  <c r="H18" i="50"/>
  <c r="I18" i="50" s="1"/>
  <c r="H28" i="50"/>
  <c r="I28" i="50" s="1"/>
  <c r="H36" i="50"/>
  <c r="I36" i="50" s="1"/>
  <c r="H14" i="50"/>
  <c r="I14" i="50" s="1"/>
  <c r="H37" i="50"/>
  <c r="I37" i="50" s="1"/>
  <c r="H27" i="50"/>
  <c r="I27" i="50" s="1"/>
  <c r="H18" i="49"/>
  <c r="I18" i="49" s="1"/>
  <c r="H37" i="49"/>
  <c r="I37" i="49" s="1"/>
  <c r="H14" i="49"/>
  <c r="I14" i="49" s="1"/>
  <c r="H27" i="49"/>
  <c r="I27" i="49" s="1"/>
  <c r="H28" i="49"/>
  <c r="I28" i="49" s="1"/>
  <c r="H36" i="49"/>
  <c r="I36" i="49" s="1"/>
  <c r="H40" i="48"/>
  <c r="I40" i="48" s="1"/>
  <c r="H14" i="48"/>
  <c r="I14" i="48" s="1"/>
  <c r="H40" i="47"/>
  <c r="I40" i="47" s="1"/>
  <c r="H14" i="47"/>
  <c r="I14" i="47" s="1"/>
  <c r="H18" i="47"/>
  <c r="I18" i="47" s="1"/>
  <c r="H18" i="46"/>
  <c r="I18" i="46" s="1"/>
  <c r="H28" i="46"/>
  <c r="I28" i="46" s="1"/>
  <c r="H27" i="46"/>
  <c r="I27" i="46" s="1"/>
  <c r="H37" i="46"/>
  <c r="I37" i="46" s="1"/>
  <c r="H14" i="46"/>
  <c r="I14" i="46" s="1"/>
  <c r="H36" i="46"/>
  <c r="I36" i="46" s="1"/>
  <c r="G15" i="72" l="1"/>
  <c r="H32" i="72"/>
  <c r="I32" i="72" s="1"/>
  <c r="H40" i="61"/>
  <c r="I40" i="61" s="1"/>
  <c r="H40" i="60"/>
  <c r="I40" i="60" s="1"/>
  <c r="H40" i="58"/>
  <c r="I40" i="58" s="1"/>
  <c r="H40" i="56"/>
  <c r="I40" i="56" s="1"/>
  <c r="H40" i="54"/>
  <c r="I40" i="54" s="1"/>
  <c r="H40" i="52"/>
  <c r="I40" i="52" s="1"/>
  <c r="H40" i="50"/>
  <c r="I40" i="50" s="1"/>
  <c r="H40" i="49"/>
  <c r="I40" i="49" s="1"/>
  <c r="H40" i="46"/>
  <c r="I40" i="46" s="1"/>
  <c r="H15" i="72" l="1"/>
  <c r="I15" i="72" s="1"/>
  <c r="F37" i="5"/>
  <c r="F35" i="5"/>
  <c r="B25" i="5" l="1"/>
  <c r="B24" i="5"/>
  <c r="H17" i="5"/>
  <c r="I17" i="5" s="1"/>
  <c r="F14" i="5"/>
  <c r="F13" i="5"/>
  <c r="F38" i="25"/>
  <c r="F36" i="25"/>
  <c r="F34" i="25"/>
  <c r="B34" i="25"/>
  <c r="E34" i="25" s="1"/>
  <c r="F32" i="25"/>
  <c r="E32" i="25"/>
  <c r="D32" i="25"/>
  <c r="E16" i="25"/>
  <c r="G16" i="25" s="1"/>
  <c r="D16" i="25"/>
  <c r="H16" i="25" s="1"/>
  <c r="I16" i="25" s="1"/>
  <c r="E15" i="25"/>
  <c r="F13" i="25"/>
  <c r="F12" i="25"/>
  <c r="G32" i="25" l="1"/>
  <c r="G34" i="25"/>
  <c r="E25" i="5"/>
  <c r="G25" i="5" s="1"/>
  <c r="E24" i="5"/>
  <c r="G24" i="5" s="1"/>
  <c r="H31" i="5"/>
  <c r="I31" i="5" s="1"/>
  <c r="H32" i="25"/>
  <c r="I32" i="25" s="1"/>
  <c r="D34" i="25"/>
  <c r="H34" i="25" s="1"/>
  <c r="I34" i="25" s="1"/>
  <c r="B9" i="4"/>
  <c r="C26" i="4"/>
  <c r="D26" i="4" s="1"/>
  <c r="G26" i="5" l="1"/>
  <c r="B23" i="4"/>
  <c r="B24" i="4"/>
  <c r="B9" i="25" l="1"/>
  <c r="B7" i="25"/>
  <c r="B6" i="25"/>
  <c r="B5" i="25"/>
  <c r="B13" i="25" l="1"/>
  <c r="B12" i="25"/>
  <c r="B20" i="25"/>
  <c r="B19" i="25"/>
  <c r="B21" i="25"/>
  <c r="C23" i="25"/>
  <c r="F23" i="25" s="1"/>
  <c r="B8" i="25"/>
  <c r="B31" i="25" s="1"/>
  <c r="E31" i="25" l="1"/>
  <c r="G31" i="25" s="1"/>
  <c r="D31" i="25"/>
  <c r="E13" i="25"/>
  <c r="G13" i="25" s="1"/>
  <c r="D13" i="25"/>
  <c r="E19" i="25"/>
  <c r="B30" i="25"/>
  <c r="B26" i="25"/>
  <c r="B29" i="25"/>
  <c r="B25" i="25"/>
  <c r="B23" i="25"/>
  <c r="E12" i="25"/>
  <c r="G12" i="25" s="1"/>
  <c r="D12" i="25"/>
  <c r="E21" i="25"/>
  <c r="E20" i="25"/>
  <c r="H31" i="25" l="1"/>
  <c r="I31" i="25" s="1"/>
  <c r="D14" i="25"/>
  <c r="D23" i="25"/>
  <c r="E23" i="25"/>
  <c r="G23" i="25" s="1"/>
  <c r="E25" i="25"/>
  <c r="E26" i="25"/>
  <c r="H12" i="25"/>
  <c r="I12" i="25" s="1"/>
  <c r="G14" i="25"/>
  <c r="E29" i="25"/>
  <c r="G29" i="25" s="1"/>
  <c r="D29" i="25"/>
  <c r="E30" i="25"/>
  <c r="G30" i="25" s="1"/>
  <c r="D30" i="25"/>
  <c r="H13" i="25"/>
  <c r="I13" i="25" s="1"/>
  <c r="B33" i="5"/>
  <c r="D33" i="5" l="1"/>
  <c r="E33" i="5"/>
  <c r="G33" i="5" s="1"/>
  <c r="H23" i="25"/>
  <c r="I23" i="25" s="1"/>
  <c r="G33" i="25"/>
  <c r="H29" i="25"/>
  <c r="I29" i="25" s="1"/>
  <c r="H30" i="25"/>
  <c r="I30" i="25" s="1"/>
  <c r="D33" i="25"/>
  <c r="H14" i="25"/>
  <c r="I14" i="25" s="1"/>
  <c r="H33" i="25" l="1"/>
  <c r="I33" i="25" s="1"/>
  <c r="H33" i="5"/>
  <c r="I33" i="5" s="1"/>
  <c r="B8" i="5" l="1"/>
  <c r="B6" i="5"/>
  <c r="B7" i="4"/>
  <c r="B6" i="4"/>
  <c r="B5" i="4"/>
  <c r="B13" i="4" l="1"/>
  <c r="B12" i="4"/>
  <c r="B21" i="5"/>
  <c r="B20" i="5"/>
  <c r="E14" i="5"/>
  <c r="G14" i="5" s="1"/>
  <c r="D14" i="5"/>
  <c r="F28" i="4"/>
  <c r="C27" i="4"/>
  <c r="F27" i="4" s="1"/>
  <c r="E24" i="4"/>
  <c r="E21" i="5" l="1"/>
  <c r="E20" i="5"/>
  <c r="H14" i="5"/>
  <c r="I14" i="5" s="1"/>
  <c r="B9" i="5"/>
  <c r="B22" i="5" s="1"/>
  <c r="E22" i="5" s="1"/>
  <c r="B13" i="5" l="1"/>
  <c r="E13" i="5" s="1"/>
  <c r="G13" i="5" s="1"/>
  <c r="B30" i="5"/>
  <c r="B28" i="5"/>
  <c r="B29" i="5"/>
  <c r="F48" i="4"/>
  <c r="F45" i="4"/>
  <c r="F43" i="4"/>
  <c r="F41" i="4"/>
  <c r="F39" i="4"/>
  <c r="E39" i="4"/>
  <c r="D39" i="4"/>
  <c r="E20" i="4"/>
  <c r="G20" i="4" s="1"/>
  <c r="D20" i="4"/>
  <c r="E19" i="4"/>
  <c r="F17" i="4"/>
  <c r="F16" i="4"/>
  <c r="F15" i="4"/>
  <c r="F13" i="4"/>
  <c r="F12" i="4"/>
  <c r="D13" i="5" l="1"/>
  <c r="D15" i="5" s="1"/>
  <c r="E30" i="5"/>
  <c r="G30" i="5" s="1"/>
  <c r="D30" i="5"/>
  <c r="D28" i="5"/>
  <c r="E28" i="5"/>
  <c r="G28" i="5" s="1"/>
  <c r="D29" i="5"/>
  <c r="E29" i="5"/>
  <c r="G29" i="5" s="1"/>
  <c r="G39" i="4"/>
  <c r="H39" i="4" s="1"/>
  <c r="I39" i="4" s="1"/>
  <c r="G15" i="5"/>
  <c r="E13" i="4"/>
  <c r="G13" i="4" s="1"/>
  <c r="D13" i="4"/>
  <c r="B41" i="4"/>
  <c r="B8" i="4"/>
  <c r="B38" i="4" s="1"/>
  <c r="H20" i="4"/>
  <c r="I20" i="4" s="1"/>
  <c r="H13" i="5" l="1"/>
  <c r="I13" i="5" s="1"/>
  <c r="H30" i="5"/>
  <c r="I30" i="5" s="1"/>
  <c r="E38" i="4"/>
  <c r="G38" i="4" s="1"/>
  <c r="D38" i="4"/>
  <c r="H15" i="5"/>
  <c r="I15" i="5" s="1"/>
  <c r="G32" i="5"/>
  <c r="D32" i="5"/>
  <c r="H28" i="5"/>
  <c r="I28" i="5" s="1"/>
  <c r="H29" i="5"/>
  <c r="I29" i="5" s="1"/>
  <c r="B27" i="4"/>
  <c r="D27" i="4" s="1"/>
  <c r="B28" i="4"/>
  <c r="D15" i="4"/>
  <c r="E15" i="4"/>
  <c r="G15" i="4" s="1"/>
  <c r="E16" i="4"/>
  <c r="G16" i="4" s="1"/>
  <c r="D16" i="4"/>
  <c r="E41" i="4"/>
  <c r="G41" i="4" s="1"/>
  <c r="D41" i="4"/>
  <c r="E23" i="4"/>
  <c r="B37" i="4"/>
  <c r="B36" i="4"/>
  <c r="B32" i="4"/>
  <c r="B31" i="4"/>
  <c r="E17" i="4"/>
  <c r="G17" i="4" s="1"/>
  <c r="D17" i="4"/>
  <c r="E12" i="4"/>
  <c r="G12" i="4" s="1"/>
  <c r="D12" i="4"/>
  <c r="D14" i="4" s="1"/>
  <c r="H13" i="4"/>
  <c r="I13" i="4" s="1"/>
  <c r="H38" i="4" l="1"/>
  <c r="I38" i="4" s="1"/>
  <c r="H32" i="5"/>
  <c r="I32" i="5" s="1"/>
  <c r="E27" i="4"/>
  <c r="G27" i="4" s="1"/>
  <c r="D28" i="4"/>
  <c r="E28" i="4"/>
  <c r="G28" i="4" s="1"/>
  <c r="D18" i="4"/>
  <c r="E31" i="4"/>
  <c r="E36" i="4"/>
  <c r="G36" i="4" s="1"/>
  <c r="D36" i="4"/>
  <c r="G18" i="4"/>
  <c r="H15" i="4"/>
  <c r="I15" i="4" s="1"/>
  <c r="G14" i="4"/>
  <c r="H12" i="4"/>
  <c r="I12" i="4" s="1"/>
  <c r="H17" i="4"/>
  <c r="I17" i="4" s="1"/>
  <c r="E32" i="4"/>
  <c r="E37" i="4"/>
  <c r="G37" i="4" s="1"/>
  <c r="D37" i="4"/>
  <c r="H41" i="4"/>
  <c r="I41" i="4" s="1"/>
  <c r="H16" i="4"/>
  <c r="I16" i="4" s="1"/>
  <c r="H27" i="4" l="1"/>
  <c r="I27" i="4" s="1"/>
  <c r="H28" i="4"/>
  <c r="I28" i="4" s="1"/>
  <c r="D40" i="4"/>
  <c r="H37" i="4"/>
  <c r="I37" i="4" s="1"/>
  <c r="H14" i="4"/>
  <c r="I14" i="4" s="1"/>
  <c r="H36" i="4"/>
  <c r="I36" i="4" s="1"/>
  <c r="G40" i="4"/>
  <c r="H18" i="4"/>
  <c r="I18" i="4" s="1"/>
  <c r="H40" i="4" l="1"/>
  <c r="I40" i="4" s="1"/>
  <c r="G26" i="4" l="1"/>
  <c r="H26" i="4" s="1"/>
  <c r="I26" i="4" s="1"/>
  <c r="G26" i="25" l="1"/>
  <c r="G32" i="4"/>
  <c r="G25" i="25"/>
  <c r="G31" i="4"/>
  <c r="G33" i="4" l="1"/>
  <c r="G27" i="25"/>
  <c r="G21" i="59" l="1"/>
  <c r="G21" i="58"/>
  <c r="G21" i="57"/>
  <c r="G21" i="60"/>
  <c r="G21" i="62"/>
  <c r="G21" i="61"/>
  <c r="G18" i="81"/>
  <c r="G18" i="79"/>
  <c r="G21" i="70"/>
  <c r="G21" i="68"/>
  <c r="G21" i="46"/>
  <c r="G21" i="47"/>
  <c r="G21" i="4"/>
  <c r="G20" i="72"/>
  <c r="G21" i="67"/>
  <c r="G21" i="65"/>
  <c r="G21" i="25"/>
  <c r="G21" i="64"/>
  <c r="G21" i="53"/>
  <c r="G21" i="52"/>
  <c r="G21" i="51"/>
  <c r="G17" i="70"/>
  <c r="G17" i="68"/>
  <c r="G17" i="64"/>
  <c r="G17" i="25"/>
  <c r="G17" i="67" l="1"/>
  <c r="G17" i="65"/>
  <c r="G21" i="50"/>
  <c r="G21" i="49"/>
  <c r="G21" i="48"/>
  <c r="G18" i="5"/>
  <c r="G18" i="78"/>
  <c r="G18" i="76"/>
  <c r="G18" i="73"/>
  <c r="G21" i="56"/>
  <c r="G21" i="54"/>
  <c r="C21" i="47" l="1"/>
  <c r="D21" i="47" s="1"/>
  <c r="C21" i="4"/>
  <c r="D21" i="4" s="1"/>
  <c r="C21" i="46"/>
  <c r="D21" i="46" s="1"/>
  <c r="C21" i="50"/>
  <c r="D21" i="50" s="1"/>
  <c r="C21" i="48"/>
  <c r="D21" i="48" s="1"/>
  <c r="C21" i="49"/>
  <c r="D21" i="49" s="1"/>
  <c r="C21" i="51"/>
  <c r="D21" i="51" s="1"/>
  <c r="C21" i="53"/>
  <c r="D21" i="53" s="1"/>
  <c r="C21" i="52"/>
  <c r="D21" i="52" s="1"/>
  <c r="C21" i="54"/>
  <c r="D21" i="54" s="1"/>
  <c r="C21" i="56"/>
  <c r="D21" i="56" s="1"/>
  <c r="C21" i="57"/>
  <c r="D21" i="57" s="1"/>
  <c r="C21" i="59"/>
  <c r="D21" i="59" s="1"/>
  <c r="C21" i="58"/>
  <c r="D21" i="58" s="1"/>
  <c r="C21" i="61"/>
  <c r="D21" i="61" s="1"/>
  <c r="C21" i="60"/>
  <c r="D21" i="60" s="1"/>
  <c r="C21" i="62"/>
  <c r="D21" i="62" s="1"/>
  <c r="D17" i="64"/>
  <c r="D17" i="25"/>
  <c r="H17" i="25" s="1"/>
  <c r="I17" i="25" s="1"/>
  <c r="D17" i="67"/>
  <c r="D17" i="65"/>
  <c r="D17" i="70"/>
  <c r="D17" i="68"/>
  <c r="C18" i="72"/>
  <c r="D18" i="72" s="1"/>
  <c r="C18" i="5"/>
  <c r="D18" i="5" s="1"/>
  <c r="C18" i="75"/>
  <c r="D18" i="75" s="1"/>
  <c r="C18" i="73"/>
  <c r="D18" i="73" s="1"/>
  <c r="C18" i="78"/>
  <c r="D18" i="78" s="1"/>
  <c r="C18" i="76"/>
  <c r="D18" i="76" s="1"/>
  <c r="C18" i="81"/>
  <c r="D18" i="81" s="1"/>
  <c r="C18" i="79"/>
  <c r="D18" i="79" s="1"/>
  <c r="D21" i="64"/>
  <c r="D21" i="25"/>
  <c r="D21" i="67"/>
  <c r="D21" i="65"/>
  <c r="D21" i="70"/>
  <c r="D21" i="68"/>
  <c r="C20" i="72"/>
  <c r="D20" i="72" s="1"/>
  <c r="H20" i="72" s="1"/>
  <c r="I20" i="72" s="1"/>
  <c r="C20" i="75"/>
  <c r="D20" i="75" s="1"/>
  <c r="H21" i="70" l="1"/>
  <c r="I21" i="70" s="1"/>
  <c r="H21" i="65"/>
  <c r="I21" i="65" s="1"/>
  <c r="H21" i="67"/>
  <c r="I21" i="67" s="1"/>
  <c r="H21" i="68"/>
  <c r="I21" i="68" s="1"/>
  <c r="H21" i="64"/>
  <c r="I21" i="64" s="1"/>
  <c r="H18" i="76"/>
  <c r="I18" i="76" s="1"/>
  <c r="H18" i="78"/>
  <c r="I18" i="78" s="1"/>
  <c r="H18" i="5"/>
  <c r="I18" i="5" s="1"/>
  <c r="H17" i="70"/>
  <c r="I17" i="70" s="1"/>
  <c r="H17" i="67"/>
  <c r="I17" i="67" s="1"/>
  <c r="H17" i="64"/>
  <c r="I17" i="64" s="1"/>
  <c r="H21" i="62"/>
  <c r="I21" i="62" s="1"/>
  <c r="H21" i="61"/>
  <c r="I21" i="61" s="1"/>
  <c r="H21" i="59"/>
  <c r="I21" i="59" s="1"/>
  <c r="H21" i="56"/>
  <c r="I21" i="56" s="1"/>
  <c r="H21" i="53"/>
  <c r="I21" i="53" s="1"/>
  <c r="H21" i="49"/>
  <c r="I21" i="49" s="1"/>
  <c r="H21" i="50"/>
  <c r="I21" i="50" s="1"/>
  <c r="H21" i="4"/>
  <c r="I21" i="4" s="1"/>
  <c r="H21" i="25"/>
  <c r="I21" i="25" s="1"/>
  <c r="H18" i="79"/>
  <c r="I18" i="79" s="1"/>
  <c r="H18" i="81"/>
  <c r="I18" i="81" s="1"/>
  <c r="H18" i="73"/>
  <c r="I18" i="73" s="1"/>
  <c r="H17" i="68"/>
  <c r="I17" i="68" s="1"/>
  <c r="H17" i="65"/>
  <c r="I17" i="65" s="1"/>
  <c r="H21" i="60"/>
  <c r="I21" i="60" s="1"/>
  <c r="H21" i="58"/>
  <c r="I21" i="58" s="1"/>
  <c r="H21" i="57"/>
  <c r="I21" i="57" s="1"/>
  <c r="H21" i="54"/>
  <c r="I21" i="54" s="1"/>
  <c r="H21" i="52"/>
  <c r="I21" i="52" s="1"/>
  <c r="H21" i="51"/>
  <c r="I21" i="51" s="1"/>
  <c r="H21" i="48"/>
  <c r="I21" i="48" s="1"/>
  <c r="H21" i="46"/>
  <c r="I21" i="46" s="1"/>
  <c r="H21" i="47"/>
  <c r="I21" i="47" s="1"/>
  <c r="D18" i="64" l="1"/>
  <c r="B4" i="182" l="1"/>
  <c r="C8" i="7" s="1"/>
  <c r="B4" i="181"/>
  <c r="C12" i="7" s="1"/>
  <c r="B4" i="168"/>
  <c r="C16" i="7" s="1"/>
  <c r="B4" i="184"/>
  <c r="C20" i="7" s="1"/>
  <c r="B4" i="171"/>
  <c r="C27" i="7" s="1"/>
  <c r="B4" i="183"/>
  <c r="C24" i="7" s="1"/>
  <c r="B4" i="170"/>
  <c r="C30" i="7" s="1"/>
  <c r="B4" i="174"/>
  <c r="C36" i="7" s="1"/>
  <c r="B4" i="172"/>
  <c r="C42" i="7" s="1"/>
  <c r="B4" i="180"/>
  <c r="C4" i="7" s="1"/>
  <c r="B33" i="170" l="1"/>
  <c r="B9" i="170"/>
  <c r="B22" i="170" s="1"/>
  <c r="B7" i="170"/>
  <c r="B4" i="175"/>
  <c r="C39" i="7" s="1"/>
  <c r="B8" i="183"/>
  <c r="B24" i="183"/>
  <c r="B12" i="183"/>
  <c r="B13" i="183"/>
  <c r="B23" i="183"/>
  <c r="B15" i="183"/>
  <c r="B16" i="183"/>
  <c r="C27" i="183"/>
  <c r="F27" i="183" s="1"/>
  <c r="B17" i="183"/>
  <c r="B41" i="183"/>
  <c r="B17" i="181"/>
  <c r="B15" i="181"/>
  <c r="B24" i="181"/>
  <c r="C27" i="181"/>
  <c r="F27" i="181" s="1"/>
  <c r="B23" i="181"/>
  <c r="B8" i="181"/>
  <c r="B16" i="181"/>
  <c r="B12" i="181"/>
  <c r="B41" i="181"/>
  <c r="B13" i="181"/>
  <c r="B33" i="172"/>
  <c r="B9" i="172"/>
  <c r="B22" i="172" s="1"/>
  <c r="B7" i="172"/>
  <c r="B8" i="174"/>
  <c r="B13" i="174"/>
  <c r="B34" i="174"/>
  <c r="B21" i="174"/>
  <c r="B19" i="174"/>
  <c r="B20" i="174"/>
  <c r="C23" i="174"/>
  <c r="F23" i="174" s="1"/>
  <c r="B12" i="174"/>
  <c r="B33" i="171"/>
  <c r="B7" i="171"/>
  <c r="B9" i="171"/>
  <c r="B22" i="171" s="1"/>
  <c r="B13" i="182"/>
  <c r="B24" i="182"/>
  <c r="B8" i="182"/>
  <c r="B23" i="182"/>
  <c r="B17" i="182"/>
  <c r="B12" i="182"/>
  <c r="B41" i="182"/>
  <c r="B16" i="182"/>
  <c r="C27" i="182"/>
  <c r="F27" i="182" s="1"/>
  <c r="B15" i="182"/>
  <c r="C27" i="180"/>
  <c r="F27" i="180" s="1"/>
  <c r="B16" i="180"/>
  <c r="B12" i="180"/>
  <c r="B24" i="180"/>
  <c r="B8" i="180"/>
  <c r="B13" i="180"/>
  <c r="B23" i="180"/>
  <c r="B17" i="180"/>
  <c r="B15" i="180"/>
  <c r="B41" i="180"/>
  <c r="B16" i="168"/>
  <c r="B13" i="168"/>
  <c r="B12" i="168"/>
  <c r="B41" i="168"/>
  <c r="B8" i="168"/>
  <c r="B23" i="168"/>
  <c r="B15" i="168"/>
  <c r="C27" i="168"/>
  <c r="F27" i="168" s="1"/>
  <c r="B17" i="168"/>
  <c r="B24" i="168"/>
  <c r="B4" i="173"/>
  <c r="C45" i="7" s="1"/>
  <c r="B4" i="169"/>
  <c r="C33" i="7" s="1"/>
  <c r="B24" i="184"/>
  <c r="B41" i="184"/>
  <c r="C27" i="184"/>
  <c r="F27" i="184" s="1"/>
  <c r="B17" i="184"/>
  <c r="B16" i="184"/>
  <c r="B13" i="184"/>
  <c r="B23" i="184"/>
  <c r="B15" i="184"/>
  <c r="B8" i="184"/>
  <c r="B12" i="184"/>
  <c r="E33" i="170" l="1"/>
  <c r="G33" i="170" s="1"/>
  <c r="D33" i="170"/>
  <c r="E22" i="172"/>
  <c r="E22" i="171"/>
  <c r="E22" i="170"/>
  <c r="E13" i="184"/>
  <c r="G13" i="184" s="1"/>
  <c r="D13" i="184"/>
  <c r="E15" i="168"/>
  <c r="G15" i="168" s="1"/>
  <c r="D15" i="168"/>
  <c r="D12" i="180"/>
  <c r="E12" i="180"/>
  <c r="G12" i="180" s="1"/>
  <c r="E24" i="182"/>
  <c r="E33" i="171"/>
  <c r="G33" i="171" s="1"/>
  <c r="D33" i="171"/>
  <c r="D13" i="181"/>
  <c r="E13" i="181"/>
  <c r="G13" i="181" s="1"/>
  <c r="D41" i="183"/>
  <c r="E41" i="183"/>
  <c r="G41" i="183" s="1"/>
  <c r="B21" i="169"/>
  <c r="B12" i="169"/>
  <c r="B34" i="169"/>
  <c r="B19" i="169"/>
  <c r="B20" i="169"/>
  <c r="C23" i="169"/>
  <c r="F23" i="169" s="1"/>
  <c r="B13" i="169"/>
  <c r="B8" i="169"/>
  <c r="B28" i="168"/>
  <c r="B36" i="168"/>
  <c r="B37" i="168"/>
  <c r="B27" i="168"/>
  <c r="B38" i="168"/>
  <c r="B31" i="168"/>
  <c r="B32" i="168"/>
  <c r="D16" i="168"/>
  <c r="E16" i="168"/>
  <c r="G16" i="168" s="1"/>
  <c r="B37" i="180"/>
  <c r="B28" i="180"/>
  <c r="B38" i="180"/>
  <c r="B27" i="180"/>
  <c r="B32" i="180"/>
  <c r="B31" i="180"/>
  <c r="B36" i="180"/>
  <c r="E12" i="184"/>
  <c r="G12" i="184" s="1"/>
  <c r="D12" i="184"/>
  <c r="E23" i="184"/>
  <c r="E41" i="168"/>
  <c r="G41" i="168" s="1"/>
  <c r="D41" i="168"/>
  <c r="E41" i="180"/>
  <c r="G41" i="180" s="1"/>
  <c r="D41" i="180"/>
  <c r="D17" i="180"/>
  <c r="E17" i="180"/>
  <c r="G17" i="180" s="1"/>
  <c r="E24" i="180"/>
  <c r="E15" i="182"/>
  <c r="G15" i="182" s="1"/>
  <c r="D15" i="182"/>
  <c r="D41" i="182"/>
  <c r="E41" i="182"/>
  <c r="G41" i="182" s="1"/>
  <c r="B36" i="182"/>
  <c r="B31" i="182"/>
  <c r="B32" i="182"/>
  <c r="B37" i="182"/>
  <c r="B28" i="182"/>
  <c r="B38" i="182"/>
  <c r="B27" i="182"/>
  <c r="E20" i="174"/>
  <c r="E13" i="174"/>
  <c r="G13" i="174" s="1"/>
  <c r="D13" i="174"/>
  <c r="D33" i="172"/>
  <c r="E33" i="172"/>
  <c r="G33" i="172" s="1"/>
  <c r="E16" i="181"/>
  <c r="G16" i="181" s="1"/>
  <c r="D16" i="181"/>
  <c r="E24" i="181"/>
  <c r="D17" i="181"/>
  <c r="E17" i="181"/>
  <c r="G17" i="181" s="1"/>
  <c r="E16" i="183"/>
  <c r="G16" i="183" s="1"/>
  <c r="D16" i="183"/>
  <c r="D13" i="183"/>
  <c r="E13" i="183"/>
  <c r="G13" i="183" s="1"/>
  <c r="B20" i="175"/>
  <c r="B19" i="175"/>
  <c r="B12" i="175"/>
  <c r="B8" i="175"/>
  <c r="B13" i="175"/>
  <c r="C23" i="175"/>
  <c r="F23" i="175" s="1"/>
  <c r="B34" i="175"/>
  <c r="B21" i="175"/>
  <c r="B36" i="184"/>
  <c r="B37" i="184"/>
  <c r="B38" i="184"/>
  <c r="B32" i="184"/>
  <c r="B27" i="184"/>
  <c r="B31" i="184"/>
  <c r="B28" i="184"/>
  <c r="E24" i="168"/>
  <c r="E23" i="180"/>
  <c r="E19" i="174"/>
  <c r="D15" i="183"/>
  <c r="E15" i="183"/>
  <c r="G15" i="183" s="1"/>
  <c r="D12" i="183"/>
  <c r="E12" i="183"/>
  <c r="G12" i="183" s="1"/>
  <c r="E15" i="184"/>
  <c r="G15" i="184" s="1"/>
  <c r="D15" i="184"/>
  <c r="D16" i="184"/>
  <c r="E16" i="184"/>
  <c r="G16" i="184" s="1"/>
  <c r="E24" i="184"/>
  <c r="B9" i="173"/>
  <c r="B22" i="173" s="1"/>
  <c r="B7" i="173"/>
  <c r="B33" i="173"/>
  <c r="E23" i="168"/>
  <c r="D13" i="168"/>
  <c r="E13" i="168"/>
  <c r="G13" i="168" s="1"/>
  <c r="E13" i="180"/>
  <c r="G13" i="180" s="1"/>
  <c r="D13" i="180"/>
  <c r="E16" i="180"/>
  <c r="G16" i="180" s="1"/>
  <c r="D16" i="180"/>
  <c r="E17" i="182"/>
  <c r="G17" i="182" s="1"/>
  <c r="D17" i="182"/>
  <c r="D13" i="182"/>
  <c r="E13" i="182"/>
  <c r="G13" i="182" s="1"/>
  <c r="D12" i="174"/>
  <c r="E12" i="174"/>
  <c r="G12" i="174" s="1"/>
  <c r="E21" i="174"/>
  <c r="G21" i="174" s="1"/>
  <c r="D21" i="174"/>
  <c r="D41" i="181"/>
  <c r="E41" i="181"/>
  <c r="G41" i="181" s="1"/>
  <c r="E23" i="181"/>
  <c r="D15" i="181"/>
  <c r="E15" i="181"/>
  <c r="G15" i="181" s="1"/>
  <c r="D17" i="183"/>
  <c r="E17" i="183"/>
  <c r="G17" i="183" s="1"/>
  <c r="E24" i="183"/>
  <c r="E41" i="184"/>
  <c r="G41" i="184" s="1"/>
  <c r="D41" i="184"/>
  <c r="D12" i="168"/>
  <c r="E12" i="168"/>
  <c r="G12" i="168" s="1"/>
  <c r="D15" i="180"/>
  <c r="E15" i="180"/>
  <c r="G15" i="180" s="1"/>
  <c r="E12" i="182"/>
  <c r="G12" i="182" s="1"/>
  <c r="D12" i="182"/>
  <c r="B23" i="174"/>
  <c r="B31" i="174"/>
  <c r="B30" i="174"/>
  <c r="B26" i="174"/>
  <c r="B29" i="174"/>
  <c r="B25" i="174"/>
  <c r="B28" i="181"/>
  <c r="B36" i="181"/>
  <c r="B37" i="181"/>
  <c r="B32" i="181"/>
  <c r="B27" i="181"/>
  <c r="B31" i="181"/>
  <c r="B38" i="181"/>
  <c r="E17" i="184"/>
  <c r="G17" i="184" s="1"/>
  <c r="D17" i="184"/>
  <c r="E17" i="168"/>
  <c r="G17" i="168" s="1"/>
  <c r="D17" i="168"/>
  <c r="E16" i="182"/>
  <c r="G16" i="182" s="1"/>
  <c r="D16" i="182"/>
  <c r="E23" i="182"/>
  <c r="B29" i="171"/>
  <c r="B28" i="171"/>
  <c r="B30" i="171"/>
  <c r="B13" i="171"/>
  <c r="E34" i="174"/>
  <c r="G34" i="174" s="1"/>
  <c r="D34" i="174"/>
  <c r="B28" i="172"/>
  <c r="B29" i="172"/>
  <c r="B30" i="172"/>
  <c r="B13" i="172"/>
  <c r="E12" i="181"/>
  <c r="G12" i="181" s="1"/>
  <c r="D12" i="181"/>
  <c r="E23" i="183"/>
  <c r="B38" i="183"/>
  <c r="B28" i="183"/>
  <c r="B27" i="183"/>
  <c r="B32" i="183"/>
  <c r="B36" i="183"/>
  <c r="B31" i="183"/>
  <c r="B37" i="183"/>
  <c r="B28" i="170"/>
  <c r="B13" i="170"/>
  <c r="B30" i="170"/>
  <c r="B29" i="170"/>
  <c r="H33" i="170" l="1"/>
  <c r="I33" i="170" s="1"/>
  <c r="E22" i="173"/>
  <c r="D14" i="174"/>
  <c r="D18" i="180"/>
  <c r="D18" i="181"/>
  <c r="D14" i="181"/>
  <c r="D14" i="168"/>
  <c r="D14" i="182"/>
  <c r="D14" i="184"/>
  <c r="D14" i="183"/>
  <c r="E28" i="170"/>
  <c r="G28" i="170" s="1"/>
  <c r="D28" i="170"/>
  <c r="D36" i="183"/>
  <c r="E36" i="183"/>
  <c r="G36" i="183" s="1"/>
  <c r="E38" i="183"/>
  <c r="G38" i="183" s="1"/>
  <c r="D38" i="183"/>
  <c r="E30" i="172"/>
  <c r="G30" i="172" s="1"/>
  <c r="D30" i="172"/>
  <c r="E13" i="171"/>
  <c r="G13" i="171" s="1"/>
  <c r="D13" i="171"/>
  <c r="D15" i="171" s="1"/>
  <c r="D38" i="181"/>
  <c r="E38" i="181"/>
  <c r="G38" i="181" s="1"/>
  <c r="E37" i="181"/>
  <c r="G37" i="181" s="1"/>
  <c r="D37" i="181"/>
  <c r="E29" i="174"/>
  <c r="G29" i="174" s="1"/>
  <c r="D29" i="174"/>
  <c r="D23" i="174"/>
  <c r="E23" i="174"/>
  <c r="G23" i="174" s="1"/>
  <c r="H41" i="184"/>
  <c r="I41" i="184" s="1"/>
  <c r="H17" i="182"/>
  <c r="I17" i="182" s="1"/>
  <c r="H13" i="180"/>
  <c r="I13" i="180" s="1"/>
  <c r="H16" i="184"/>
  <c r="I16" i="184" s="1"/>
  <c r="G18" i="183"/>
  <c r="H15" i="183"/>
  <c r="I15" i="183" s="1"/>
  <c r="E32" i="184"/>
  <c r="G32" i="184" s="1"/>
  <c r="D21" i="175"/>
  <c r="E21" i="175"/>
  <c r="G21" i="175" s="1"/>
  <c r="B29" i="175"/>
  <c r="B30" i="175"/>
  <c r="B26" i="175"/>
  <c r="B25" i="175"/>
  <c r="B31" i="175"/>
  <c r="B23" i="175"/>
  <c r="H13" i="183"/>
  <c r="I13" i="183" s="1"/>
  <c r="H17" i="181"/>
  <c r="I17" i="181" s="1"/>
  <c r="H13" i="174"/>
  <c r="I13" i="174" s="1"/>
  <c r="D38" i="182"/>
  <c r="E38" i="182"/>
  <c r="G38" i="182" s="1"/>
  <c r="E31" i="182"/>
  <c r="G31" i="182" s="1"/>
  <c r="D18" i="182"/>
  <c r="H17" i="180"/>
  <c r="I17" i="180" s="1"/>
  <c r="E31" i="180"/>
  <c r="G31" i="180" s="1"/>
  <c r="D28" i="180"/>
  <c r="E28" i="180"/>
  <c r="G28" i="180" s="1"/>
  <c r="E32" i="168"/>
  <c r="G32" i="168" s="1"/>
  <c r="E37" i="168"/>
  <c r="G37" i="168" s="1"/>
  <c r="D37" i="168"/>
  <c r="E13" i="169"/>
  <c r="G13" i="169" s="1"/>
  <c r="D13" i="169"/>
  <c r="E34" i="169"/>
  <c r="G34" i="169" s="1"/>
  <c r="D34" i="169"/>
  <c r="H13" i="181"/>
  <c r="I13" i="181" s="1"/>
  <c r="D18" i="168"/>
  <c r="E29" i="170"/>
  <c r="G29" i="170" s="1"/>
  <c r="D29" i="170"/>
  <c r="D29" i="172"/>
  <c r="E29" i="172"/>
  <c r="G29" i="172" s="1"/>
  <c r="E30" i="171"/>
  <c r="G30" i="171" s="1"/>
  <c r="D30" i="171"/>
  <c r="H17" i="184"/>
  <c r="I17" i="184" s="1"/>
  <c r="E31" i="181"/>
  <c r="G31" i="181" s="1"/>
  <c r="D36" i="181"/>
  <c r="E36" i="181"/>
  <c r="G36" i="181" s="1"/>
  <c r="E26" i="174"/>
  <c r="G26" i="174" s="1"/>
  <c r="G14" i="168"/>
  <c r="H12" i="168"/>
  <c r="I12" i="168" s="1"/>
  <c r="H17" i="183"/>
  <c r="I17" i="183" s="1"/>
  <c r="H21" i="174"/>
  <c r="I21" i="174" s="1"/>
  <c r="H13" i="182"/>
  <c r="I13" i="182" s="1"/>
  <c r="H13" i="168"/>
  <c r="I13" i="168" s="1"/>
  <c r="B30" i="173"/>
  <c r="B28" i="173"/>
  <c r="B29" i="173"/>
  <c r="B13" i="173"/>
  <c r="D18" i="183"/>
  <c r="D28" i="184"/>
  <c r="E28" i="184"/>
  <c r="G28" i="184" s="1"/>
  <c r="D38" i="184"/>
  <c r="E38" i="184"/>
  <c r="G38" i="184" s="1"/>
  <c r="E34" i="175"/>
  <c r="G34" i="175" s="1"/>
  <c r="D34" i="175"/>
  <c r="E12" i="175"/>
  <c r="G12" i="175" s="1"/>
  <c r="D12" i="175"/>
  <c r="H16" i="181"/>
  <c r="I16" i="181" s="1"/>
  <c r="E28" i="182"/>
  <c r="G28" i="182" s="1"/>
  <c r="D28" i="182"/>
  <c r="D36" i="182"/>
  <c r="E36" i="182"/>
  <c r="G36" i="182" s="1"/>
  <c r="H15" i="182"/>
  <c r="I15" i="182" s="1"/>
  <c r="G18" i="182"/>
  <c r="H41" i="168"/>
  <c r="I41" i="168" s="1"/>
  <c r="E32" i="180"/>
  <c r="G32" i="180" s="1"/>
  <c r="D37" i="180"/>
  <c r="E37" i="180"/>
  <c r="G37" i="180" s="1"/>
  <c r="E31" i="168"/>
  <c r="G31" i="168" s="1"/>
  <c r="E36" i="168"/>
  <c r="G36" i="168" s="1"/>
  <c r="D36" i="168"/>
  <c r="D12" i="169"/>
  <c r="E12" i="169"/>
  <c r="G12" i="169" s="1"/>
  <c r="G18" i="168"/>
  <c r="H15" i="168"/>
  <c r="I15" i="168" s="1"/>
  <c r="E32" i="183"/>
  <c r="G32" i="183" s="1"/>
  <c r="E30" i="170"/>
  <c r="G30" i="170" s="1"/>
  <c r="D30" i="170"/>
  <c r="D37" i="183"/>
  <c r="E37" i="183"/>
  <c r="G37" i="183" s="1"/>
  <c r="D27" i="183"/>
  <c r="E27" i="183"/>
  <c r="G27" i="183" s="1"/>
  <c r="G14" i="181"/>
  <c r="H12" i="181"/>
  <c r="I12" i="181" s="1"/>
  <c r="E28" i="172"/>
  <c r="G28" i="172" s="1"/>
  <c r="D28" i="172"/>
  <c r="D28" i="171"/>
  <c r="E28" i="171"/>
  <c r="G28" i="171" s="1"/>
  <c r="E27" i="181"/>
  <c r="G27" i="181" s="1"/>
  <c r="D27" i="181"/>
  <c r="D28" i="181"/>
  <c r="E28" i="181"/>
  <c r="G28" i="181" s="1"/>
  <c r="D30" i="174"/>
  <c r="E30" i="174"/>
  <c r="G30" i="174" s="1"/>
  <c r="G14" i="182"/>
  <c r="H12" i="182"/>
  <c r="I12" i="182" s="1"/>
  <c r="H16" i="180"/>
  <c r="I16" i="180" s="1"/>
  <c r="D18" i="184"/>
  <c r="G14" i="183"/>
  <c r="H12" i="183"/>
  <c r="I12" i="183" s="1"/>
  <c r="E31" i="184"/>
  <c r="G31" i="184" s="1"/>
  <c r="E37" i="184"/>
  <c r="G37" i="184" s="1"/>
  <c r="D37" i="184"/>
  <c r="E19" i="175"/>
  <c r="H33" i="172"/>
  <c r="I33" i="172" s="1"/>
  <c r="E37" i="182"/>
  <c r="G37" i="182" s="1"/>
  <c r="D37" i="182"/>
  <c r="H41" i="182"/>
  <c r="I41" i="182" s="1"/>
  <c r="H12" i="184"/>
  <c r="I12" i="184" s="1"/>
  <c r="G14" i="184"/>
  <c r="D27" i="180"/>
  <c r="E27" i="180"/>
  <c r="G27" i="180" s="1"/>
  <c r="H16" i="168"/>
  <c r="I16" i="168" s="1"/>
  <c r="D38" i="168"/>
  <c r="E38" i="168"/>
  <c r="G38" i="168" s="1"/>
  <c r="D28" i="168"/>
  <c r="E28" i="168"/>
  <c r="G28" i="168" s="1"/>
  <c r="E20" i="169"/>
  <c r="E21" i="169"/>
  <c r="G21" i="169" s="1"/>
  <c r="D21" i="169"/>
  <c r="H41" i="183"/>
  <c r="I41" i="183" s="1"/>
  <c r="G14" i="180"/>
  <c r="H12" i="180"/>
  <c r="I12" i="180" s="1"/>
  <c r="D13" i="170"/>
  <c r="D15" i="170" s="1"/>
  <c r="E13" i="170"/>
  <c r="G13" i="170" s="1"/>
  <c r="E31" i="183"/>
  <c r="G31" i="183" s="1"/>
  <c r="D28" i="183"/>
  <c r="E28" i="183"/>
  <c r="G28" i="183" s="1"/>
  <c r="E13" i="172"/>
  <c r="G13" i="172" s="1"/>
  <c r="D13" i="172"/>
  <c r="D15" i="172" s="1"/>
  <c r="H34" i="174"/>
  <c r="I34" i="174" s="1"/>
  <c r="D29" i="171"/>
  <c r="E29" i="171"/>
  <c r="G29" i="171" s="1"/>
  <c r="H16" i="182"/>
  <c r="I16" i="182" s="1"/>
  <c r="H17" i="168"/>
  <c r="I17" i="168" s="1"/>
  <c r="E32" i="181"/>
  <c r="G32" i="181" s="1"/>
  <c r="E25" i="174"/>
  <c r="G25" i="174" s="1"/>
  <c r="E31" i="174"/>
  <c r="G31" i="174" s="1"/>
  <c r="D31" i="174"/>
  <c r="G18" i="180"/>
  <c r="H15" i="180"/>
  <c r="I15" i="180" s="1"/>
  <c r="H15" i="181"/>
  <c r="I15" i="181" s="1"/>
  <c r="G18" i="181"/>
  <c r="H41" i="181"/>
  <c r="I41" i="181" s="1"/>
  <c r="H12" i="174"/>
  <c r="I12" i="174" s="1"/>
  <c r="G14" i="174"/>
  <c r="E33" i="173"/>
  <c r="G33" i="173" s="1"/>
  <c r="D33" i="173"/>
  <c r="G18" i="184"/>
  <c r="H15" i="184"/>
  <c r="I15" i="184" s="1"/>
  <c r="E27" i="184"/>
  <c r="G27" i="184" s="1"/>
  <c r="D27" i="184"/>
  <c r="D36" i="184"/>
  <c r="E36" i="184"/>
  <c r="G36" i="184" s="1"/>
  <c r="D13" i="175"/>
  <c r="E13" i="175"/>
  <c r="G13" i="175" s="1"/>
  <c r="E20" i="175"/>
  <c r="H16" i="183"/>
  <c r="I16" i="183" s="1"/>
  <c r="E27" i="182"/>
  <c r="G27" i="182" s="1"/>
  <c r="D27" i="182"/>
  <c r="E32" i="182"/>
  <c r="G32" i="182" s="1"/>
  <c r="H41" i="180"/>
  <c r="I41" i="180" s="1"/>
  <c r="E36" i="180"/>
  <c r="G36" i="180" s="1"/>
  <c r="D36" i="180"/>
  <c r="E38" i="180"/>
  <c r="G38" i="180" s="1"/>
  <c r="D38" i="180"/>
  <c r="D27" i="168"/>
  <c r="E27" i="168"/>
  <c r="G27" i="168" s="1"/>
  <c r="B23" i="169"/>
  <c r="B30" i="169"/>
  <c r="B26" i="169"/>
  <c r="B31" i="169"/>
  <c r="B25" i="169"/>
  <c r="B29" i="169"/>
  <c r="E19" i="169"/>
  <c r="H33" i="171"/>
  <c r="I33" i="171" s="1"/>
  <c r="D14" i="180"/>
  <c r="H13" i="184"/>
  <c r="I13" i="184" s="1"/>
  <c r="H34" i="169" l="1"/>
  <c r="I34" i="169" s="1"/>
  <c r="H33" i="173"/>
  <c r="I33" i="173" s="1"/>
  <c r="D40" i="181"/>
  <c r="D40" i="184"/>
  <c r="D14" i="169"/>
  <c r="D40" i="183"/>
  <c r="H18" i="181"/>
  <c r="I18" i="181" s="1"/>
  <c r="H18" i="180"/>
  <c r="I18" i="180" s="1"/>
  <c r="G32" i="172"/>
  <c r="H28" i="172"/>
  <c r="I28" i="172" s="1"/>
  <c r="H27" i="183"/>
  <c r="I27" i="183" s="1"/>
  <c r="H12" i="169"/>
  <c r="I12" i="169" s="1"/>
  <c r="G14" i="169"/>
  <c r="H36" i="181"/>
  <c r="I36" i="181" s="1"/>
  <c r="G40" i="181"/>
  <c r="H29" i="170"/>
  <c r="I29" i="170" s="1"/>
  <c r="H38" i="180"/>
  <c r="I38" i="180" s="1"/>
  <c r="H27" i="180"/>
  <c r="I27" i="180" s="1"/>
  <c r="E25" i="169"/>
  <c r="G25" i="169" s="1"/>
  <c r="E23" i="169"/>
  <c r="G23" i="169" s="1"/>
  <c r="D23" i="169"/>
  <c r="G40" i="180"/>
  <c r="H36" i="180"/>
  <c r="I36" i="180" s="1"/>
  <c r="H36" i="184"/>
  <c r="I36" i="184" s="1"/>
  <c r="G40" i="184"/>
  <c r="H28" i="183"/>
  <c r="I28" i="183" s="1"/>
  <c r="G15" i="170"/>
  <c r="H13" i="170"/>
  <c r="I13" i="170" s="1"/>
  <c r="H14" i="180"/>
  <c r="I14" i="180" s="1"/>
  <c r="H28" i="168"/>
  <c r="I28" i="168" s="1"/>
  <c r="H37" i="182"/>
  <c r="I37" i="182" s="1"/>
  <c r="H30" i="174"/>
  <c r="I30" i="174" s="1"/>
  <c r="D32" i="172"/>
  <c r="H14" i="181"/>
  <c r="I14" i="181" s="1"/>
  <c r="G33" i="168"/>
  <c r="H28" i="182"/>
  <c r="I28" i="182" s="1"/>
  <c r="G14" i="175"/>
  <c r="H12" i="175"/>
  <c r="I12" i="175" s="1"/>
  <c r="H38" i="184"/>
  <c r="I38" i="184" s="1"/>
  <c r="E13" i="173"/>
  <c r="G13" i="173" s="1"/>
  <c r="D13" i="173"/>
  <c r="D15" i="173" s="1"/>
  <c r="H29" i="172"/>
  <c r="I29" i="172" s="1"/>
  <c r="H13" i="169"/>
  <c r="I13" i="169" s="1"/>
  <c r="G33" i="180"/>
  <c r="G33" i="182"/>
  <c r="E31" i="175"/>
  <c r="G31" i="175" s="1"/>
  <c r="D31" i="175"/>
  <c r="D29" i="175"/>
  <c r="E29" i="175"/>
  <c r="G29" i="175" s="1"/>
  <c r="H18" i="183"/>
  <c r="I18" i="183" s="1"/>
  <c r="H23" i="174"/>
  <c r="I23" i="174" s="1"/>
  <c r="H36" i="183"/>
  <c r="I36" i="183" s="1"/>
  <c r="G40" i="183"/>
  <c r="H21" i="169"/>
  <c r="I21" i="169" s="1"/>
  <c r="H14" i="184"/>
  <c r="I14" i="184" s="1"/>
  <c r="G33" i="184"/>
  <c r="H27" i="181"/>
  <c r="I27" i="181" s="1"/>
  <c r="H36" i="182"/>
  <c r="I36" i="182" s="1"/>
  <c r="G40" i="182"/>
  <c r="H38" i="182"/>
  <c r="I38" i="182" s="1"/>
  <c r="H21" i="175"/>
  <c r="I21" i="175" s="1"/>
  <c r="H38" i="168"/>
  <c r="I38" i="168" s="1"/>
  <c r="H28" i="181"/>
  <c r="I28" i="181" s="1"/>
  <c r="G32" i="171"/>
  <c r="H28" i="171"/>
  <c r="I28" i="171" s="1"/>
  <c r="H18" i="168"/>
  <c r="I18" i="168" s="1"/>
  <c r="D40" i="168"/>
  <c r="H37" i="180"/>
  <c r="I37" i="180" s="1"/>
  <c r="D40" i="182"/>
  <c r="H34" i="175"/>
  <c r="I34" i="175" s="1"/>
  <c r="H28" i="184"/>
  <c r="I28" i="184" s="1"/>
  <c r="D28" i="173"/>
  <c r="E28" i="173"/>
  <c r="G28" i="173" s="1"/>
  <c r="H14" i="168"/>
  <c r="I14" i="168" s="1"/>
  <c r="H37" i="168"/>
  <c r="I37" i="168" s="1"/>
  <c r="E26" i="175"/>
  <c r="G26" i="175" s="1"/>
  <c r="D33" i="174"/>
  <c r="H38" i="181"/>
  <c r="I38" i="181" s="1"/>
  <c r="G15" i="171"/>
  <c r="H13" i="171"/>
  <c r="I13" i="171" s="1"/>
  <c r="H30" i="172"/>
  <c r="I30" i="172" s="1"/>
  <c r="D32" i="170"/>
  <c r="E31" i="169"/>
  <c r="G31" i="169" s="1"/>
  <c r="D31" i="169"/>
  <c r="G27" i="174"/>
  <c r="H14" i="183"/>
  <c r="I14" i="183" s="1"/>
  <c r="D29" i="173"/>
  <c r="E29" i="173"/>
  <c r="G29" i="173" s="1"/>
  <c r="H28" i="180"/>
  <c r="I28" i="180" s="1"/>
  <c r="E25" i="175"/>
  <c r="G25" i="175" s="1"/>
  <c r="H37" i="181"/>
  <c r="I37" i="181" s="1"/>
  <c r="E26" i="169"/>
  <c r="G26" i="169" s="1"/>
  <c r="H14" i="174"/>
  <c r="I14" i="174" s="1"/>
  <c r="E29" i="169"/>
  <c r="G29" i="169" s="1"/>
  <c r="D29" i="169"/>
  <c r="D30" i="169"/>
  <c r="E30" i="169"/>
  <c r="G30" i="169" s="1"/>
  <c r="H27" i="168"/>
  <c r="I27" i="168" s="1"/>
  <c r="D40" i="180"/>
  <c r="H27" i="182"/>
  <c r="I27" i="182" s="1"/>
  <c r="H13" i="175"/>
  <c r="I13" i="175" s="1"/>
  <c r="H27" i="184"/>
  <c r="I27" i="184" s="1"/>
  <c r="H18" i="184"/>
  <c r="I18" i="184" s="1"/>
  <c r="H31" i="174"/>
  <c r="I31" i="174" s="1"/>
  <c r="H29" i="171"/>
  <c r="I29" i="171" s="1"/>
  <c r="G15" i="172"/>
  <c r="H13" i="172"/>
  <c r="I13" i="172" s="1"/>
  <c r="G33" i="183"/>
  <c r="H37" i="184"/>
  <c r="I37" i="184" s="1"/>
  <c r="H14" i="182"/>
  <c r="I14" i="182" s="1"/>
  <c r="D32" i="171"/>
  <c r="H37" i="183"/>
  <c r="I37" i="183" s="1"/>
  <c r="H30" i="170"/>
  <c r="I30" i="170" s="1"/>
  <c r="G40" i="168"/>
  <c r="H36" i="168"/>
  <c r="I36" i="168" s="1"/>
  <c r="H18" i="182"/>
  <c r="I18" i="182" s="1"/>
  <c r="D14" i="175"/>
  <c r="D30" i="173"/>
  <c r="E30" i="173"/>
  <c r="G30" i="173" s="1"/>
  <c r="G33" i="181"/>
  <c r="H30" i="171"/>
  <c r="I30" i="171" s="1"/>
  <c r="E23" i="175"/>
  <c r="G23" i="175" s="1"/>
  <c r="D23" i="175"/>
  <c r="D30" i="175"/>
  <c r="E30" i="175"/>
  <c r="G30" i="175" s="1"/>
  <c r="G33" i="174"/>
  <c r="H29" i="174"/>
  <c r="I29" i="174" s="1"/>
  <c r="H38" i="183"/>
  <c r="I38" i="183" s="1"/>
  <c r="H28" i="170"/>
  <c r="I28" i="170" s="1"/>
  <c r="G32" i="170"/>
  <c r="H30" i="173" l="1"/>
  <c r="I30" i="173" s="1"/>
  <c r="G33" i="175"/>
  <c r="H29" i="175"/>
  <c r="I29" i="175" s="1"/>
  <c r="H40" i="180"/>
  <c r="I40" i="180" s="1"/>
  <c r="H23" i="169"/>
  <c r="I23" i="169" s="1"/>
  <c r="H33" i="174"/>
  <c r="I33" i="174" s="1"/>
  <c r="H15" i="172"/>
  <c r="I15" i="172" s="1"/>
  <c r="H32" i="171"/>
  <c r="I32" i="171" s="1"/>
  <c r="H40" i="183"/>
  <c r="I40" i="183" s="1"/>
  <c r="H15" i="170"/>
  <c r="I15" i="170" s="1"/>
  <c r="D33" i="169"/>
  <c r="H29" i="173"/>
  <c r="I29" i="173" s="1"/>
  <c r="H29" i="169"/>
  <c r="I29" i="169" s="1"/>
  <c r="G33" i="169"/>
  <c r="H31" i="175"/>
  <c r="I31" i="175" s="1"/>
  <c r="G15" i="173"/>
  <c r="H13" i="173"/>
  <c r="I13" i="173" s="1"/>
  <c r="H23" i="175"/>
  <c r="I23" i="175" s="1"/>
  <c r="H40" i="168"/>
  <c r="I40" i="168" s="1"/>
  <c r="H30" i="169"/>
  <c r="I30" i="169" s="1"/>
  <c r="G27" i="175"/>
  <c r="H31" i="169"/>
  <c r="I31" i="169" s="1"/>
  <c r="G32" i="173"/>
  <c r="H28" i="173"/>
  <c r="I28" i="173" s="1"/>
  <c r="H40" i="182"/>
  <c r="I40" i="182" s="1"/>
  <c r="D33" i="175"/>
  <c r="H40" i="184"/>
  <c r="I40" i="184" s="1"/>
  <c r="H32" i="170"/>
  <c r="I32" i="170" s="1"/>
  <c r="H30" i="175"/>
  <c r="I30" i="175" s="1"/>
  <c r="H15" i="171"/>
  <c r="I15" i="171" s="1"/>
  <c r="D32" i="173"/>
  <c r="H14" i="175"/>
  <c r="I14" i="175" s="1"/>
  <c r="G27" i="169"/>
  <c r="H40" i="181"/>
  <c r="I40" i="181" s="1"/>
  <c r="H14" i="169"/>
  <c r="I14" i="169" s="1"/>
  <c r="H32" i="172"/>
  <c r="I32" i="172" s="1"/>
  <c r="H33" i="169" l="1"/>
  <c r="I33" i="169" s="1"/>
  <c r="H33" i="175"/>
  <c r="I33" i="175" s="1"/>
  <c r="H32" i="173"/>
  <c r="I32" i="173" s="1"/>
  <c r="H15" i="173"/>
  <c r="I15" i="173" s="1"/>
  <c r="U10" i="3" l="1"/>
  <c r="C22" i="79"/>
  <c r="D22" i="79" s="1"/>
  <c r="U15" i="3"/>
  <c r="C22" i="81"/>
  <c r="D22" i="81" s="1"/>
  <c r="C22" i="173"/>
  <c r="D22" i="173" s="1"/>
  <c r="C22" i="171"/>
  <c r="D22" i="171" s="1"/>
  <c r="C22" i="72"/>
  <c r="D22" i="72" s="1"/>
  <c r="C22" i="5"/>
  <c r="D22" i="5" s="1"/>
  <c r="U12" i="3"/>
  <c r="F18" i="72"/>
  <c r="G18" i="72" s="1"/>
  <c r="C22" i="78"/>
  <c r="D22" i="78" s="1"/>
  <c r="C22" i="172"/>
  <c r="D22" i="172" s="1"/>
  <c r="C22" i="76"/>
  <c r="D22" i="76" s="1"/>
  <c r="U14" i="3"/>
  <c r="U9" i="3"/>
  <c r="U13" i="3"/>
  <c r="C21" i="75"/>
  <c r="D21" i="75" s="1"/>
  <c r="C22" i="170"/>
  <c r="D22" i="170" s="1"/>
  <c r="C22" i="73"/>
  <c r="D22" i="73" s="1"/>
  <c r="F18" i="75"/>
  <c r="G18" i="75" s="1"/>
  <c r="V15" i="3" l="1"/>
  <c r="C19" i="173"/>
  <c r="D19" i="173" s="1"/>
  <c r="C19" i="81"/>
  <c r="D19" i="81" s="1"/>
  <c r="C19" i="79"/>
  <c r="D19" i="79" s="1"/>
  <c r="V11" i="3"/>
  <c r="C18" i="175"/>
  <c r="D18" i="175" s="1"/>
  <c r="C18" i="70"/>
  <c r="D18" i="70" s="1"/>
  <c r="C18" i="68"/>
  <c r="D18" i="68" s="1"/>
  <c r="V7" i="3"/>
  <c r="C22" i="184"/>
  <c r="D22" i="184" s="1"/>
  <c r="C22" i="57"/>
  <c r="D22" i="57" s="1"/>
  <c r="C22" i="58"/>
  <c r="D22" i="58" s="1"/>
  <c r="C22" i="59"/>
  <c r="D22" i="59" s="1"/>
  <c r="H18" i="75"/>
  <c r="I18" i="75" s="1"/>
  <c r="U8" i="3"/>
  <c r="F22" i="79"/>
  <c r="G22" i="79" s="1"/>
  <c r="F22" i="173"/>
  <c r="G22" i="173" s="1"/>
  <c r="F22" i="81"/>
  <c r="G22" i="81" s="1"/>
  <c r="H22" i="81" s="1"/>
  <c r="I22" i="81" s="1"/>
  <c r="W14" i="3"/>
  <c r="C21" i="172"/>
  <c r="D21" i="172" s="1"/>
  <c r="C21" i="76"/>
  <c r="D21" i="76" s="1"/>
  <c r="C21" i="78"/>
  <c r="D21" i="78" s="1"/>
  <c r="W10" i="3"/>
  <c r="C20" i="174"/>
  <c r="D20" i="174" s="1"/>
  <c r="C20" i="65"/>
  <c r="D20" i="65" s="1"/>
  <c r="C20" i="67"/>
  <c r="D20" i="67" s="1"/>
  <c r="W6" i="3"/>
  <c r="C24" i="168"/>
  <c r="D24" i="168" s="1"/>
  <c r="C24" i="56"/>
  <c r="D24" i="56" s="1"/>
  <c r="C24" i="54"/>
  <c r="D24" i="54" s="1"/>
  <c r="C24" i="104"/>
  <c r="D24" i="104" s="1"/>
  <c r="W4" i="3"/>
  <c r="C24" i="182"/>
  <c r="D24" i="182" s="1"/>
  <c r="C24" i="48"/>
  <c r="D24" i="48" s="1"/>
  <c r="C24" i="49"/>
  <c r="D24" i="49" s="1"/>
  <c r="C24" i="50"/>
  <c r="D24" i="50" s="1"/>
  <c r="U5" i="3"/>
  <c r="W3" i="3"/>
  <c r="C24" i="180"/>
  <c r="D24" i="180" s="1"/>
  <c r="C24" i="46"/>
  <c r="D24" i="46" s="1"/>
  <c r="C24" i="4"/>
  <c r="D24" i="4" s="1"/>
  <c r="C24" i="47"/>
  <c r="D24" i="47" s="1"/>
  <c r="V14" i="3"/>
  <c r="C19" i="172"/>
  <c r="D19" i="172" s="1"/>
  <c r="C19" i="76"/>
  <c r="D19" i="76" s="1"/>
  <c r="C19" i="78"/>
  <c r="D19" i="78" s="1"/>
  <c r="V12" i="3"/>
  <c r="C19" i="171"/>
  <c r="D19" i="171" s="1"/>
  <c r="C19" i="72"/>
  <c r="D19" i="72" s="1"/>
  <c r="C19" i="5"/>
  <c r="D19" i="5" s="1"/>
  <c r="V10" i="3"/>
  <c r="C18" i="174"/>
  <c r="D18" i="174" s="1"/>
  <c r="C18" i="65"/>
  <c r="D18" i="65" s="1"/>
  <c r="C18" i="67"/>
  <c r="D18" i="67" s="1"/>
  <c r="V8" i="3"/>
  <c r="C22" i="183"/>
  <c r="D22" i="183" s="1"/>
  <c r="C22" i="60"/>
  <c r="D22" i="60" s="1"/>
  <c r="C22" i="62"/>
  <c r="D22" i="62" s="1"/>
  <c r="C22" i="61"/>
  <c r="D22" i="61" s="1"/>
  <c r="V6" i="3"/>
  <c r="C22" i="168"/>
  <c r="D22" i="168" s="1"/>
  <c r="C22" i="54"/>
  <c r="D22" i="54" s="1"/>
  <c r="C22" i="56"/>
  <c r="D22" i="56" s="1"/>
  <c r="C22" i="104"/>
  <c r="D22" i="104" s="1"/>
  <c r="V4" i="3"/>
  <c r="C22" i="182"/>
  <c r="D22" i="182" s="1"/>
  <c r="C22" i="50"/>
  <c r="D22" i="50" s="1"/>
  <c r="C22" i="48"/>
  <c r="D22" i="48" s="1"/>
  <c r="C22" i="49"/>
  <c r="D22" i="49" s="1"/>
  <c r="F21" i="75"/>
  <c r="G21" i="75" s="1"/>
  <c r="F22" i="73"/>
  <c r="G22" i="73" s="1"/>
  <c r="H22" i="73" s="1"/>
  <c r="I22" i="73" s="1"/>
  <c r="F22" i="170"/>
  <c r="G22" i="170" s="1"/>
  <c r="F20" i="75"/>
  <c r="G20" i="75" s="1"/>
  <c r="U4" i="3"/>
  <c r="U11" i="3"/>
  <c r="V13" i="3"/>
  <c r="C19" i="170"/>
  <c r="D19" i="170" s="1"/>
  <c r="C19" i="73"/>
  <c r="D19" i="73" s="1"/>
  <c r="C19" i="75"/>
  <c r="D19" i="75" s="1"/>
  <c r="V5" i="3"/>
  <c r="C22" i="181"/>
  <c r="D22" i="181" s="1"/>
  <c r="C22" i="52"/>
  <c r="D22" i="52" s="1"/>
  <c r="C22" i="51"/>
  <c r="D22" i="51" s="1"/>
  <c r="C22" i="53"/>
  <c r="D22" i="53" s="1"/>
  <c r="U3" i="3"/>
  <c r="V3" i="3"/>
  <c r="C22" i="180"/>
  <c r="D22" i="180" s="1"/>
  <c r="C22" i="47"/>
  <c r="D22" i="47" s="1"/>
  <c r="C22" i="4"/>
  <c r="D22" i="4" s="1"/>
  <c r="C22" i="46"/>
  <c r="D22" i="46" s="1"/>
  <c r="W12" i="3"/>
  <c r="C21" i="171"/>
  <c r="D21" i="171" s="1"/>
  <c r="C21" i="72"/>
  <c r="D21" i="72" s="1"/>
  <c r="C21" i="5"/>
  <c r="D21" i="5" s="1"/>
  <c r="W8" i="3"/>
  <c r="C24" i="183"/>
  <c r="D24" i="183" s="1"/>
  <c r="C24" i="62"/>
  <c r="D24" i="62" s="1"/>
  <c r="C24" i="61"/>
  <c r="D24" i="61" s="1"/>
  <c r="C24" i="60"/>
  <c r="D24" i="60" s="1"/>
  <c r="H18" i="72"/>
  <c r="I18" i="72" s="1"/>
  <c r="W15" i="3"/>
  <c r="C21" i="173"/>
  <c r="D21" i="173" s="1"/>
  <c r="C21" i="79"/>
  <c r="D21" i="79" s="1"/>
  <c r="C21" i="81"/>
  <c r="D21" i="81" s="1"/>
  <c r="W13" i="3"/>
  <c r="C21" i="170"/>
  <c r="D21" i="170" s="1"/>
  <c r="C21" i="73"/>
  <c r="D21" i="73" s="1"/>
  <c r="C22" i="75"/>
  <c r="D22" i="75" s="1"/>
  <c r="W11" i="3"/>
  <c r="C20" i="175"/>
  <c r="D20" i="175" s="1"/>
  <c r="C20" i="70"/>
  <c r="D20" i="70" s="1"/>
  <c r="C20" i="68"/>
  <c r="D20" i="68" s="1"/>
  <c r="W7" i="3"/>
  <c r="C24" i="184"/>
  <c r="D24" i="184" s="1"/>
  <c r="C24" i="58"/>
  <c r="D24" i="58" s="1"/>
  <c r="C24" i="57"/>
  <c r="D24" i="57" s="1"/>
  <c r="C24" i="59"/>
  <c r="D24" i="59" s="1"/>
  <c r="W5" i="3"/>
  <c r="C24" i="181"/>
  <c r="D24" i="181" s="1"/>
  <c r="C24" i="53"/>
  <c r="D24" i="53" s="1"/>
  <c r="C24" i="51"/>
  <c r="D24" i="51" s="1"/>
  <c r="C24" i="52"/>
  <c r="D24" i="52" s="1"/>
  <c r="U7" i="3"/>
  <c r="F22" i="78"/>
  <c r="G22" i="78" s="1"/>
  <c r="H22" i="78" s="1"/>
  <c r="I22" i="78" s="1"/>
  <c r="F22" i="172"/>
  <c r="G22" i="172" s="1"/>
  <c r="F22" i="76"/>
  <c r="G22" i="76" s="1"/>
  <c r="U6" i="3"/>
  <c r="F22" i="72"/>
  <c r="G22" i="72" s="1"/>
  <c r="H22" i="72" s="1"/>
  <c r="I22" i="72" s="1"/>
  <c r="F22" i="171"/>
  <c r="G22" i="171" s="1"/>
  <c r="F22" i="5"/>
  <c r="G22" i="5" s="1"/>
  <c r="H22" i="172" l="1"/>
  <c r="I22" i="172" s="1"/>
  <c r="F24" i="57"/>
  <c r="G24" i="57" s="1"/>
  <c r="F24" i="184"/>
  <c r="G24" i="184" s="1"/>
  <c r="F24" i="59"/>
  <c r="G24" i="59" s="1"/>
  <c r="F24" i="58"/>
  <c r="G24" i="58" s="1"/>
  <c r="F20" i="68"/>
  <c r="G20" i="68" s="1"/>
  <c r="F20" i="70"/>
  <c r="G20" i="70" s="1"/>
  <c r="F20" i="175"/>
  <c r="G20" i="175" s="1"/>
  <c r="F21" i="173"/>
  <c r="G21" i="173" s="1"/>
  <c r="F21" i="79"/>
  <c r="G21" i="79" s="1"/>
  <c r="F21" i="81"/>
  <c r="G21" i="81" s="1"/>
  <c r="F21" i="171"/>
  <c r="G21" i="171" s="1"/>
  <c r="F21" i="5"/>
  <c r="G21" i="5" s="1"/>
  <c r="F21" i="72"/>
  <c r="G21" i="72" s="1"/>
  <c r="H22" i="170"/>
  <c r="I22" i="170" s="1"/>
  <c r="F22" i="54"/>
  <c r="G22" i="54" s="1"/>
  <c r="F22" i="56"/>
  <c r="G22" i="56" s="1"/>
  <c r="F22" i="168"/>
  <c r="G22" i="168" s="1"/>
  <c r="F22" i="104"/>
  <c r="G22" i="104" s="1"/>
  <c r="H22" i="5"/>
  <c r="I22" i="5" s="1"/>
  <c r="H22" i="171"/>
  <c r="I22" i="171" s="1"/>
  <c r="F24" i="51"/>
  <c r="G24" i="51" s="1"/>
  <c r="F24" i="181"/>
  <c r="G24" i="181" s="1"/>
  <c r="F24" i="52"/>
  <c r="G24" i="52" s="1"/>
  <c r="F24" i="53"/>
  <c r="G24" i="53" s="1"/>
  <c r="W9" i="3"/>
  <c r="C20" i="169"/>
  <c r="D20" i="169" s="1"/>
  <c r="C20" i="64"/>
  <c r="D20" i="64" s="1"/>
  <c r="C20" i="25"/>
  <c r="D20" i="25" s="1"/>
  <c r="H22" i="79"/>
  <c r="I22" i="79" s="1"/>
  <c r="F18" i="65"/>
  <c r="G18" i="65" s="1"/>
  <c r="F18" i="67"/>
  <c r="G18" i="67" s="1"/>
  <c r="F18" i="174"/>
  <c r="G18" i="174" s="1"/>
  <c r="F19" i="172"/>
  <c r="G19" i="172" s="1"/>
  <c r="F19" i="76"/>
  <c r="G19" i="76" s="1"/>
  <c r="F19" i="78"/>
  <c r="G19" i="78" s="1"/>
  <c r="F24" i="182"/>
  <c r="G24" i="182" s="1"/>
  <c r="F24" i="49"/>
  <c r="G24" i="49" s="1"/>
  <c r="F24" i="48"/>
  <c r="G24" i="48" s="1"/>
  <c r="F24" i="50"/>
  <c r="G24" i="50" s="1"/>
  <c r="F20" i="65"/>
  <c r="G20" i="65" s="1"/>
  <c r="F20" i="67"/>
  <c r="G20" i="67" s="1"/>
  <c r="F20" i="174"/>
  <c r="G20" i="174" s="1"/>
  <c r="F18" i="175"/>
  <c r="G18" i="175" s="1"/>
  <c r="F18" i="68"/>
  <c r="G18" i="68" s="1"/>
  <c r="F18" i="70"/>
  <c r="G18" i="70" s="1"/>
  <c r="F21" i="170"/>
  <c r="G21" i="170" s="1"/>
  <c r="F21" i="73"/>
  <c r="G21" i="73" s="1"/>
  <c r="F22" i="75"/>
  <c r="G22" i="75" s="1"/>
  <c r="F24" i="61"/>
  <c r="G24" i="61" s="1"/>
  <c r="F24" i="183"/>
  <c r="G24" i="183" s="1"/>
  <c r="F24" i="60"/>
  <c r="G24" i="60" s="1"/>
  <c r="F24" i="62"/>
  <c r="G24" i="62" s="1"/>
  <c r="F22" i="47"/>
  <c r="G22" i="47" s="1"/>
  <c r="F22" i="4"/>
  <c r="G22" i="4" s="1"/>
  <c r="F22" i="46"/>
  <c r="G22" i="46" s="1"/>
  <c r="F22" i="180"/>
  <c r="G22" i="180" s="1"/>
  <c r="F22" i="53"/>
  <c r="G22" i="53" s="1"/>
  <c r="F22" i="181"/>
  <c r="G22" i="181" s="1"/>
  <c r="F22" i="52"/>
  <c r="G22" i="52" s="1"/>
  <c r="F22" i="51"/>
  <c r="G22" i="51" s="1"/>
  <c r="F19" i="75"/>
  <c r="G19" i="75" s="1"/>
  <c r="F19" i="170"/>
  <c r="G19" i="170" s="1"/>
  <c r="F19" i="73"/>
  <c r="G19" i="73" s="1"/>
  <c r="H20" i="75"/>
  <c r="I20" i="75" s="1"/>
  <c r="F22" i="50"/>
  <c r="G22" i="50" s="1"/>
  <c r="F22" i="182"/>
  <c r="G22" i="182" s="1"/>
  <c r="F22" i="48"/>
  <c r="G22" i="48" s="1"/>
  <c r="F22" i="49"/>
  <c r="G22" i="49" s="1"/>
  <c r="H22" i="76"/>
  <c r="I22" i="76" s="1"/>
  <c r="V9" i="3"/>
  <c r="C18" i="25"/>
  <c r="D18" i="25" s="1"/>
  <c r="F22" i="183"/>
  <c r="G22" i="183" s="1"/>
  <c r="F22" i="61"/>
  <c r="G22" i="61" s="1"/>
  <c r="F22" i="62"/>
  <c r="G22" i="62" s="1"/>
  <c r="F22" i="60"/>
  <c r="G22" i="60" s="1"/>
  <c r="F19" i="72"/>
  <c r="G19" i="72" s="1"/>
  <c r="F19" i="171"/>
  <c r="G19" i="171" s="1"/>
  <c r="F19" i="5"/>
  <c r="G19" i="5" s="1"/>
  <c r="F24" i="180"/>
  <c r="G24" i="180" s="1"/>
  <c r="F24" i="47"/>
  <c r="G24" i="47" s="1"/>
  <c r="F24" i="4"/>
  <c r="G24" i="4" s="1"/>
  <c r="F24" i="46"/>
  <c r="G24" i="46" s="1"/>
  <c r="H21" i="75"/>
  <c r="I21" i="75" s="1"/>
  <c r="F24" i="168"/>
  <c r="G24" i="168" s="1"/>
  <c r="F24" i="104"/>
  <c r="G24" i="104" s="1"/>
  <c r="F24" i="54"/>
  <c r="G24" i="54" s="1"/>
  <c r="F24" i="56"/>
  <c r="G24" i="56" s="1"/>
  <c r="F21" i="172"/>
  <c r="G21" i="172" s="1"/>
  <c r="F21" i="76"/>
  <c r="G21" i="76" s="1"/>
  <c r="F21" i="78"/>
  <c r="G21" i="78" s="1"/>
  <c r="H22" i="173"/>
  <c r="I22" i="173" s="1"/>
  <c r="F22" i="59"/>
  <c r="G22" i="59" s="1"/>
  <c r="F22" i="57"/>
  <c r="G22" i="57" s="1"/>
  <c r="F22" i="184"/>
  <c r="G22" i="184" s="1"/>
  <c r="F22" i="58"/>
  <c r="G22" i="58" s="1"/>
  <c r="F19" i="173"/>
  <c r="G19" i="173" s="1"/>
  <c r="F19" i="81"/>
  <c r="G19" i="81" s="1"/>
  <c r="F19" i="79"/>
  <c r="G19" i="79" s="1"/>
  <c r="H19" i="173" l="1"/>
  <c r="I19" i="173" s="1"/>
  <c r="H24" i="168"/>
  <c r="I24" i="168" s="1"/>
  <c r="H24" i="4"/>
  <c r="I24" i="4" s="1"/>
  <c r="H22" i="61"/>
  <c r="I22" i="61" s="1"/>
  <c r="H22" i="182"/>
  <c r="I22" i="182" s="1"/>
  <c r="H19" i="75"/>
  <c r="I19" i="75" s="1"/>
  <c r="H22" i="181"/>
  <c r="I22" i="181" s="1"/>
  <c r="H22" i="46"/>
  <c r="I22" i="46" s="1"/>
  <c r="H24" i="60"/>
  <c r="I24" i="60" s="1"/>
  <c r="H18" i="68"/>
  <c r="I18" i="68" s="1"/>
  <c r="H20" i="174"/>
  <c r="I20" i="174" s="1"/>
  <c r="H24" i="50"/>
  <c r="I24" i="50" s="1"/>
  <c r="H24" i="182"/>
  <c r="I24" i="182" s="1"/>
  <c r="H19" i="172"/>
  <c r="I19" i="172" s="1"/>
  <c r="H18" i="67"/>
  <c r="I18" i="67" s="1"/>
  <c r="H24" i="53"/>
  <c r="I24" i="53" s="1"/>
  <c r="H22" i="56"/>
  <c r="I22" i="56" s="1"/>
  <c r="H21" i="79"/>
  <c r="I21" i="79" s="1"/>
  <c r="H20" i="68"/>
  <c r="I20" i="68" s="1"/>
  <c r="H24" i="184"/>
  <c r="I24" i="184" s="1"/>
  <c r="H19" i="79"/>
  <c r="I19" i="79" s="1"/>
  <c r="H22" i="58"/>
  <c r="I22" i="58" s="1"/>
  <c r="H22" i="59"/>
  <c r="I22" i="59" s="1"/>
  <c r="H21" i="76"/>
  <c r="I21" i="76" s="1"/>
  <c r="H24" i="56"/>
  <c r="I24" i="56" s="1"/>
  <c r="H24" i="47"/>
  <c r="I24" i="47" s="1"/>
  <c r="H22" i="60"/>
  <c r="I22" i="60" s="1"/>
  <c r="H22" i="183"/>
  <c r="I22" i="183" s="1"/>
  <c r="H22" i="50"/>
  <c r="I22" i="50" s="1"/>
  <c r="H19" i="73"/>
  <c r="I19" i="73" s="1"/>
  <c r="H22" i="51"/>
  <c r="I22" i="51" s="1"/>
  <c r="H22" i="53"/>
  <c r="I22" i="53" s="1"/>
  <c r="H22" i="4"/>
  <c r="I22" i="4" s="1"/>
  <c r="H22" i="75"/>
  <c r="I22" i="75" s="1"/>
  <c r="H21" i="170"/>
  <c r="I21" i="170" s="1"/>
  <c r="H18" i="175"/>
  <c r="I18" i="175" s="1"/>
  <c r="H20" i="67"/>
  <c r="I20" i="67" s="1"/>
  <c r="H24" i="48"/>
  <c r="I24" i="48" s="1"/>
  <c r="H18" i="65"/>
  <c r="I18" i="65" s="1"/>
  <c r="H24" i="52"/>
  <c r="I24" i="52" s="1"/>
  <c r="H22" i="54"/>
  <c r="I22" i="54" s="1"/>
  <c r="H21" i="5"/>
  <c r="I21" i="5" s="1"/>
  <c r="H20" i="175"/>
  <c r="I20" i="175" s="1"/>
  <c r="H24" i="58"/>
  <c r="I24" i="58" s="1"/>
  <c r="H19" i="81"/>
  <c r="I19" i="81" s="1"/>
  <c r="H22" i="184"/>
  <c r="I22" i="184" s="1"/>
  <c r="H24" i="54"/>
  <c r="I24" i="54" s="1"/>
  <c r="H24" i="46"/>
  <c r="I24" i="46" s="1"/>
  <c r="H24" i="180"/>
  <c r="I24" i="180" s="1"/>
  <c r="H19" i="171"/>
  <c r="I19" i="171" s="1"/>
  <c r="H22" i="62"/>
  <c r="I22" i="62" s="1"/>
  <c r="H22" i="49"/>
  <c r="I22" i="49" s="1"/>
  <c r="H22" i="47"/>
  <c r="I22" i="47" s="1"/>
  <c r="H24" i="183"/>
  <c r="I24" i="183" s="1"/>
  <c r="H24" i="49"/>
  <c r="I24" i="49" s="1"/>
  <c r="H19" i="78"/>
  <c r="I19" i="78" s="1"/>
  <c r="F20" i="25"/>
  <c r="G20" i="25" s="1"/>
  <c r="F20" i="169"/>
  <c r="G20" i="169" s="1"/>
  <c r="F20" i="64"/>
  <c r="G20" i="64" s="1"/>
  <c r="H24" i="181"/>
  <c r="I24" i="181" s="1"/>
  <c r="H22" i="104"/>
  <c r="I22" i="104" s="1"/>
  <c r="H21" i="171"/>
  <c r="I21" i="171" s="1"/>
  <c r="H24" i="57"/>
  <c r="I24" i="57" s="1"/>
  <c r="H22" i="57"/>
  <c r="I22" i="57" s="1"/>
  <c r="H21" i="78"/>
  <c r="I21" i="78" s="1"/>
  <c r="H21" i="172"/>
  <c r="I21" i="172" s="1"/>
  <c r="H24" i="104"/>
  <c r="I24" i="104" s="1"/>
  <c r="H19" i="5"/>
  <c r="I19" i="5" s="1"/>
  <c r="H19" i="72"/>
  <c r="I19" i="72" s="1"/>
  <c r="F18" i="64"/>
  <c r="G18" i="64" s="1"/>
  <c r="F18" i="25"/>
  <c r="G18" i="25" s="1"/>
  <c r="F18" i="169"/>
  <c r="G18" i="169" s="1"/>
  <c r="H22" i="48"/>
  <c r="I22" i="48" s="1"/>
  <c r="H19" i="170"/>
  <c r="I19" i="170" s="1"/>
  <c r="H22" i="52"/>
  <c r="I22" i="52" s="1"/>
  <c r="H22" i="180"/>
  <c r="I22" i="180" s="1"/>
  <c r="H24" i="62"/>
  <c r="I24" i="62" s="1"/>
  <c r="H24" i="61"/>
  <c r="I24" i="61" s="1"/>
  <c r="H21" i="73"/>
  <c r="I21" i="73" s="1"/>
  <c r="H18" i="70"/>
  <c r="I18" i="70" s="1"/>
  <c r="H20" i="65"/>
  <c r="I20" i="65" s="1"/>
  <c r="H19" i="76"/>
  <c r="I19" i="76" s="1"/>
  <c r="H18" i="174"/>
  <c r="I18" i="174" s="1"/>
  <c r="H24" i="51"/>
  <c r="I24" i="51" s="1"/>
  <c r="H22" i="168"/>
  <c r="I22" i="168" s="1"/>
  <c r="H21" i="72"/>
  <c r="I21" i="72" s="1"/>
  <c r="H21" i="81"/>
  <c r="I21" i="81" s="1"/>
  <c r="H21" i="173"/>
  <c r="I21" i="173" s="1"/>
  <c r="H20" i="70"/>
  <c r="I20" i="70" s="1"/>
  <c r="H24" i="59"/>
  <c r="I24" i="59" s="1"/>
  <c r="H18" i="25" l="1"/>
  <c r="I18" i="25" s="1"/>
  <c r="H18" i="169"/>
  <c r="I18" i="169" s="1"/>
  <c r="H20" i="64"/>
  <c r="I20" i="64" s="1"/>
  <c r="H20" i="25"/>
  <c r="I20" i="25" s="1"/>
  <c r="H18" i="64"/>
  <c r="I18" i="64" s="1"/>
  <c r="H20" i="169"/>
  <c r="I20" i="169" s="1"/>
  <c r="F16" i="173" l="1"/>
  <c r="G16" i="173" s="1"/>
  <c r="F16" i="79"/>
  <c r="G16" i="79" s="1"/>
  <c r="F16" i="81"/>
  <c r="G16" i="81" s="1"/>
  <c r="F20" i="173"/>
  <c r="G20" i="173" s="1"/>
  <c r="F20" i="81"/>
  <c r="G20" i="81" s="1"/>
  <c r="F20" i="79"/>
  <c r="G20" i="79" s="1"/>
  <c r="G23" i="173" l="1"/>
  <c r="G23" i="81"/>
  <c r="G23" i="79"/>
  <c r="G34" i="79" l="1"/>
  <c r="G37" i="79" s="1"/>
  <c r="G27" i="79"/>
  <c r="G27" i="173"/>
  <c r="G34" i="173"/>
  <c r="G37" i="173" s="1"/>
  <c r="G34" i="81"/>
  <c r="G37" i="81" s="1"/>
  <c r="G27" i="81"/>
  <c r="G35" i="81" l="1"/>
  <c r="G35" i="79"/>
  <c r="G36" i="79" s="1"/>
  <c r="G35" i="173"/>
  <c r="G36" i="173" s="1"/>
  <c r="G36" i="81" l="1"/>
  <c r="G38" i="79" l="1"/>
  <c r="J35" i="79" s="1"/>
  <c r="G38" i="173"/>
  <c r="G38" i="81" l="1"/>
  <c r="J37" i="81" s="1"/>
  <c r="J25" i="79"/>
  <c r="J28" i="79"/>
  <c r="J21" i="79"/>
  <c r="J36" i="79"/>
  <c r="J27" i="79"/>
  <c r="J22" i="79"/>
  <c r="J32" i="79"/>
  <c r="J37" i="79"/>
  <c r="J20" i="79"/>
  <c r="J38" i="79"/>
  <c r="J33" i="79"/>
  <c r="J16" i="79"/>
  <c r="J30" i="79"/>
  <c r="J17" i="79"/>
  <c r="J34" i="79"/>
  <c r="J15" i="79"/>
  <c r="J14" i="79"/>
  <c r="J24" i="79"/>
  <c r="J13" i="79"/>
  <c r="J23" i="79"/>
  <c r="J19" i="79"/>
  <c r="J26" i="79"/>
  <c r="J31" i="79"/>
  <c r="J18" i="79"/>
  <c r="J29" i="79"/>
  <c r="J37" i="173"/>
  <c r="J28" i="173"/>
  <c r="J38" i="173"/>
  <c r="J24" i="173"/>
  <c r="J31" i="173"/>
  <c r="J32" i="173"/>
  <c r="J26" i="173"/>
  <c r="J14" i="173"/>
  <c r="J18" i="173"/>
  <c r="J17" i="173"/>
  <c r="J33" i="173"/>
  <c r="J30" i="173"/>
  <c r="J15" i="173"/>
  <c r="J29" i="173"/>
  <c r="J13" i="173"/>
  <c r="J25" i="173"/>
  <c r="J22" i="173"/>
  <c r="J21" i="173"/>
  <c r="J19" i="173"/>
  <c r="J16" i="173"/>
  <c r="J20" i="173"/>
  <c r="J23" i="173"/>
  <c r="J27" i="173"/>
  <c r="J34" i="173"/>
  <c r="J35" i="173"/>
  <c r="J36" i="173"/>
  <c r="J13" i="81" l="1"/>
  <c r="J31" i="81"/>
  <c r="J21" i="81"/>
  <c r="J32" i="81"/>
  <c r="J19" i="81"/>
  <c r="J28" i="81"/>
  <c r="J23" i="81"/>
  <c r="J24" i="81"/>
  <c r="J26" i="81"/>
  <c r="J34" i="81"/>
  <c r="J17" i="81"/>
  <c r="J18" i="81"/>
  <c r="J36" i="81"/>
  <c r="J35" i="81"/>
  <c r="J16" i="81"/>
  <c r="J29" i="81"/>
  <c r="J25" i="81"/>
  <c r="J30" i="81"/>
  <c r="J14" i="81"/>
  <c r="J27" i="81"/>
  <c r="J20" i="81"/>
  <c r="J22" i="81"/>
  <c r="J38" i="81"/>
  <c r="J15" i="81"/>
  <c r="J33" i="81"/>
  <c r="E38" i="167" l="1"/>
  <c r="G38" i="167" s="1"/>
  <c r="J15" i="3" l="1"/>
  <c r="G15" i="3"/>
  <c r="C16" i="173" l="1"/>
  <c r="D16" i="173" s="1"/>
  <c r="H16" i="173" s="1"/>
  <c r="I16" i="173" s="1"/>
  <c r="C16" i="81"/>
  <c r="D16" i="81" s="1"/>
  <c r="H16" i="81" s="1"/>
  <c r="I16" i="81" s="1"/>
  <c r="C16" i="79"/>
  <c r="D16" i="79" s="1"/>
  <c r="H16" i="79" s="1"/>
  <c r="I16" i="79" s="1"/>
  <c r="C20" i="79"/>
  <c r="D20" i="79" s="1"/>
  <c r="C20" i="173"/>
  <c r="D20" i="173" s="1"/>
  <c r="C20" i="81"/>
  <c r="D20" i="81" s="1"/>
  <c r="D23" i="81" l="1"/>
  <c r="H23" i="81" s="1"/>
  <c r="H20" i="81"/>
  <c r="I20" i="81" s="1"/>
  <c r="D23" i="173"/>
  <c r="H23" i="173" s="1"/>
  <c r="H20" i="173"/>
  <c r="I20" i="173" s="1"/>
  <c r="D23" i="79"/>
  <c r="H23" i="79" s="1"/>
  <c r="H20" i="79"/>
  <c r="I20" i="79" s="1"/>
  <c r="F44" i="7" l="1"/>
  <c r="I23" i="79"/>
  <c r="G44" i="7" s="1"/>
  <c r="F45" i="7"/>
  <c r="I23" i="173"/>
  <c r="G45" i="7" s="1"/>
  <c r="I23" i="81"/>
  <c r="G46" i="7" s="1"/>
  <c r="F46" i="7"/>
  <c r="P9" i="3" l="1"/>
  <c r="O9" i="3"/>
  <c r="P21" i="3"/>
  <c r="O21" i="3"/>
  <c r="P20" i="3"/>
  <c r="O20" i="3"/>
  <c r="P19" i="3"/>
  <c r="O19" i="3"/>
  <c r="P18" i="3"/>
  <c r="O18" i="3"/>
  <c r="P17" i="3"/>
  <c r="O17" i="3"/>
  <c r="P16" i="3"/>
  <c r="O16" i="3"/>
  <c r="P15" i="3"/>
  <c r="O15" i="3"/>
  <c r="P14" i="3"/>
  <c r="O14" i="3"/>
  <c r="P13" i="3"/>
  <c r="O13" i="3"/>
  <c r="P12" i="3"/>
  <c r="O12" i="3"/>
  <c r="P11" i="3"/>
  <c r="O11" i="3"/>
  <c r="P8" i="3"/>
  <c r="O8" i="3"/>
  <c r="P7" i="3"/>
  <c r="O7" i="3"/>
  <c r="P6" i="3"/>
  <c r="O6" i="3"/>
  <c r="P5" i="3"/>
  <c r="O5" i="3"/>
  <c r="P4" i="3"/>
  <c r="O4" i="3"/>
  <c r="P3" i="3"/>
  <c r="O3" i="3"/>
  <c r="C31" i="48" l="1"/>
  <c r="D31" i="48" s="1"/>
  <c r="C31" i="182"/>
  <c r="D31" i="182" s="1"/>
  <c r="C31" i="49"/>
  <c r="D31" i="49" s="1"/>
  <c r="C31" i="50"/>
  <c r="D31" i="50" s="1"/>
  <c r="C31" i="104"/>
  <c r="D31" i="104" s="1"/>
  <c r="C31" i="54"/>
  <c r="D31" i="54" s="1"/>
  <c r="C31" i="56"/>
  <c r="D31" i="56" s="1"/>
  <c r="C31" i="168"/>
  <c r="D31" i="168" s="1"/>
  <c r="C31" i="60"/>
  <c r="D31" i="60" s="1"/>
  <c r="C31" i="62"/>
  <c r="D31" i="62" s="1"/>
  <c r="C31" i="183"/>
  <c r="D31" i="183" s="1"/>
  <c r="C31" i="61"/>
  <c r="D31" i="61" s="1"/>
  <c r="C24" i="171"/>
  <c r="D24" i="171" s="1"/>
  <c r="C24" i="5"/>
  <c r="D24" i="5" s="1"/>
  <c r="C24" i="72"/>
  <c r="D24" i="72" s="1"/>
  <c r="C24" i="172"/>
  <c r="D24" i="172" s="1"/>
  <c r="C24" i="78"/>
  <c r="D24" i="78" s="1"/>
  <c r="C24" i="76"/>
  <c r="D24" i="76" s="1"/>
  <c r="C31" i="200"/>
  <c r="D31" i="200" s="1"/>
  <c r="C31" i="201"/>
  <c r="D31" i="201" s="1"/>
  <c r="C31" i="202"/>
  <c r="D31" i="202" s="1"/>
  <c r="C31" i="203"/>
  <c r="D31" i="203" s="1"/>
  <c r="C24" i="218"/>
  <c r="D24" i="218" s="1"/>
  <c r="C24" i="216"/>
  <c r="D24" i="216" s="1"/>
  <c r="C24" i="219"/>
  <c r="D24" i="219" s="1"/>
  <c r="C31" i="213"/>
  <c r="D31" i="213" s="1"/>
  <c r="C31" i="215"/>
  <c r="D31" i="215" s="1"/>
  <c r="C31" i="214"/>
  <c r="D31" i="214" s="1"/>
  <c r="C31" i="212"/>
  <c r="D31" i="212" s="1"/>
  <c r="C25" i="25"/>
  <c r="D25" i="25" s="1"/>
  <c r="C25" i="64"/>
  <c r="D25" i="64" s="1"/>
  <c r="C25" i="169"/>
  <c r="D25" i="169" s="1"/>
  <c r="C32" i="49"/>
  <c r="D32" i="49" s="1"/>
  <c r="H32" i="49" s="1"/>
  <c r="I32" i="49" s="1"/>
  <c r="C32" i="50"/>
  <c r="D32" i="50" s="1"/>
  <c r="H32" i="50" s="1"/>
  <c r="I32" i="50" s="1"/>
  <c r="C32" i="182"/>
  <c r="D32" i="182" s="1"/>
  <c r="H32" i="182" s="1"/>
  <c r="I32" i="182" s="1"/>
  <c r="C32" i="48"/>
  <c r="D32" i="48" s="1"/>
  <c r="H32" i="48" s="1"/>
  <c r="I32" i="48" s="1"/>
  <c r="C32" i="104"/>
  <c r="D32" i="104" s="1"/>
  <c r="H32" i="104" s="1"/>
  <c r="I32" i="104" s="1"/>
  <c r="C32" i="54"/>
  <c r="D32" i="54" s="1"/>
  <c r="H32" i="54" s="1"/>
  <c r="I32" i="54" s="1"/>
  <c r="C32" i="168"/>
  <c r="D32" i="168" s="1"/>
  <c r="H32" i="168" s="1"/>
  <c r="I32" i="168" s="1"/>
  <c r="C32" i="56"/>
  <c r="D32" i="56" s="1"/>
  <c r="H32" i="56" s="1"/>
  <c r="I32" i="56" s="1"/>
  <c r="C32" i="60"/>
  <c r="D32" i="60" s="1"/>
  <c r="H32" i="60" s="1"/>
  <c r="I32" i="60" s="1"/>
  <c r="C32" i="61"/>
  <c r="D32" i="61" s="1"/>
  <c r="H32" i="61" s="1"/>
  <c r="I32" i="61" s="1"/>
  <c r="C32" i="183"/>
  <c r="D32" i="183" s="1"/>
  <c r="H32" i="183" s="1"/>
  <c r="I32" i="183" s="1"/>
  <c r="C32" i="62"/>
  <c r="D32" i="62" s="1"/>
  <c r="H32" i="62" s="1"/>
  <c r="I32" i="62" s="1"/>
  <c r="C25" i="72"/>
  <c r="D25" i="72" s="1"/>
  <c r="H25" i="72" s="1"/>
  <c r="I25" i="72" s="1"/>
  <c r="C25" i="171"/>
  <c r="D25" i="171" s="1"/>
  <c r="H25" i="171" s="1"/>
  <c r="I25" i="171" s="1"/>
  <c r="C25" i="5"/>
  <c r="D25" i="5" s="1"/>
  <c r="H25" i="5" s="1"/>
  <c r="I25" i="5" s="1"/>
  <c r="C25" i="76"/>
  <c r="D25" i="76" s="1"/>
  <c r="H25" i="76" s="1"/>
  <c r="I25" i="76" s="1"/>
  <c r="C25" i="172"/>
  <c r="D25" i="172" s="1"/>
  <c r="H25" i="172" s="1"/>
  <c r="I25" i="172" s="1"/>
  <c r="C25" i="78"/>
  <c r="D25" i="78" s="1"/>
  <c r="H25" i="78" s="1"/>
  <c r="I25" i="78" s="1"/>
  <c r="C32" i="200"/>
  <c r="D32" i="200" s="1"/>
  <c r="H32" i="200" s="1"/>
  <c r="I32" i="200" s="1"/>
  <c r="C32" i="203"/>
  <c r="D32" i="203" s="1"/>
  <c r="H32" i="203" s="1"/>
  <c r="I32" i="203" s="1"/>
  <c r="C32" i="201"/>
  <c r="D32" i="201" s="1"/>
  <c r="H32" i="201" s="1"/>
  <c r="I32" i="201" s="1"/>
  <c r="C32" i="202"/>
  <c r="D32" i="202" s="1"/>
  <c r="H32" i="202" s="1"/>
  <c r="I32" i="202" s="1"/>
  <c r="C25" i="219"/>
  <c r="D25" i="219" s="1"/>
  <c r="H25" i="219" s="1"/>
  <c r="I25" i="219" s="1"/>
  <c r="C25" i="218"/>
  <c r="D25" i="218" s="1"/>
  <c r="H25" i="218" s="1"/>
  <c r="I25" i="218" s="1"/>
  <c r="C25" i="216"/>
  <c r="D25" i="216" s="1"/>
  <c r="H25" i="216" s="1"/>
  <c r="I25" i="216" s="1"/>
  <c r="C32" i="213"/>
  <c r="D32" i="213" s="1"/>
  <c r="H32" i="213" s="1"/>
  <c r="I32" i="213" s="1"/>
  <c r="C32" i="212"/>
  <c r="D32" i="212" s="1"/>
  <c r="H32" i="212" s="1"/>
  <c r="I32" i="212" s="1"/>
  <c r="C32" i="214"/>
  <c r="D32" i="214" s="1"/>
  <c r="H32" i="214" s="1"/>
  <c r="I32" i="214" s="1"/>
  <c r="C32" i="215"/>
  <c r="D32" i="215" s="1"/>
  <c r="H32" i="215" s="1"/>
  <c r="I32" i="215" s="1"/>
  <c r="C26" i="25"/>
  <c r="D26" i="25" s="1"/>
  <c r="H26" i="25" s="1"/>
  <c r="I26" i="25" s="1"/>
  <c r="C26" i="169"/>
  <c r="D26" i="169" s="1"/>
  <c r="H26" i="169" s="1"/>
  <c r="I26" i="169" s="1"/>
  <c r="C26" i="64"/>
  <c r="D26" i="64" s="1"/>
  <c r="H26" i="64" s="1"/>
  <c r="I26" i="64" s="1"/>
  <c r="C31" i="46"/>
  <c r="D31" i="46" s="1"/>
  <c r="C31" i="4"/>
  <c r="D31" i="4" s="1"/>
  <c r="C31" i="180"/>
  <c r="D31" i="180" s="1"/>
  <c r="C31" i="47"/>
  <c r="D31" i="47" s="1"/>
  <c r="C31" i="53"/>
  <c r="D31" i="53" s="1"/>
  <c r="C31" i="52"/>
  <c r="D31" i="52" s="1"/>
  <c r="C31" i="51"/>
  <c r="D31" i="51" s="1"/>
  <c r="C31" i="181"/>
  <c r="D31" i="181" s="1"/>
  <c r="C31" i="184"/>
  <c r="D31" i="184" s="1"/>
  <c r="C31" i="57"/>
  <c r="D31" i="57" s="1"/>
  <c r="C31" i="59"/>
  <c r="D31" i="59" s="1"/>
  <c r="C31" i="58"/>
  <c r="D31" i="58" s="1"/>
  <c r="C25" i="175"/>
  <c r="D25" i="175" s="1"/>
  <c r="C25" i="68"/>
  <c r="D25" i="68" s="1"/>
  <c r="C25" i="70"/>
  <c r="D25" i="70" s="1"/>
  <c r="C24" i="73"/>
  <c r="D24" i="73" s="1"/>
  <c r="C24" i="75"/>
  <c r="D24" i="75" s="1"/>
  <c r="C24" i="170"/>
  <c r="D24" i="170" s="1"/>
  <c r="C24" i="173"/>
  <c r="D24" i="173" s="1"/>
  <c r="C24" i="79"/>
  <c r="D24" i="79" s="1"/>
  <c r="C24" i="81"/>
  <c r="D24" i="81" s="1"/>
  <c r="C31" i="209"/>
  <c r="D31" i="209" s="1"/>
  <c r="C31" i="211"/>
  <c r="D31" i="211" s="1"/>
  <c r="C31" i="210"/>
  <c r="D31" i="210" s="1"/>
  <c r="C31" i="208"/>
  <c r="D31" i="208" s="1"/>
  <c r="C31" i="204"/>
  <c r="D31" i="204" s="1"/>
  <c r="C31" i="207"/>
  <c r="D31" i="207" s="1"/>
  <c r="C31" i="205"/>
  <c r="D31" i="205" s="1"/>
  <c r="C31" i="206"/>
  <c r="D31" i="206" s="1"/>
  <c r="C24" i="222"/>
  <c r="D24" i="222" s="1"/>
  <c r="C24" i="220"/>
  <c r="D24" i="220" s="1"/>
  <c r="C24" i="223"/>
  <c r="D24" i="223" s="1"/>
  <c r="C32" i="47"/>
  <c r="D32" i="47" s="1"/>
  <c r="H32" i="47" s="1"/>
  <c r="I32" i="47" s="1"/>
  <c r="C32" i="4"/>
  <c r="D32" i="4" s="1"/>
  <c r="H32" i="4" s="1"/>
  <c r="I32" i="4" s="1"/>
  <c r="C32" i="180"/>
  <c r="D32" i="180" s="1"/>
  <c r="H32" i="180" s="1"/>
  <c r="I32" i="180" s="1"/>
  <c r="C32" i="46"/>
  <c r="D32" i="46" s="1"/>
  <c r="H32" i="46" s="1"/>
  <c r="I32" i="46" s="1"/>
  <c r="C32" i="53"/>
  <c r="D32" i="53" s="1"/>
  <c r="H32" i="53" s="1"/>
  <c r="I32" i="53" s="1"/>
  <c r="C32" i="52"/>
  <c r="D32" i="52" s="1"/>
  <c r="H32" i="52" s="1"/>
  <c r="I32" i="52" s="1"/>
  <c r="C32" i="51"/>
  <c r="D32" i="51" s="1"/>
  <c r="H32" i="51" s="1"/>
  <c r="I32" i="51" s="1"/>
  <c r="C32" i="181"/>
  <c r="D32" i="181" s="1"/>
  <c r="H32" i="181" s="1"/>
  <c r="I32" i="181" s="1"/>
  <c r="C32" i="184"/>
  <c r="D32" i="184" s="1"/>
  <c r="H32" i="184" s="1"/>
  <c r="I32" i="184" s="1"/>
  <c r="C32" i="59"/>
  <c r="D32" i="59" s="1"/>
  <c r="H32" i="59" s="1"/>
  <c r="I32" i="59" s="1"/>
  <c r="C32" i="58"/>
  <c r="D32" i="58" s="1"/>
  <c r="H32" i="58" s="1"/>
  <c r="I32" i="58" s="1"/>
  <c r="C32" i="57"/>
  <c r="D32" i="57" s="1"/>
  <c r="H32" i="57" s="1"/>
  <c r="I32" i="57" s="1"/>
  <c r="C26" i="70"/>
  <c r="D26" i="70" s="1"/>
  <c r="H26" i="70" s="1"/>
  <c r="I26" i="70" s="1"/>
  <c r="C26" i="175"/>
  <c r="D26" i="175" s="1"/>
  <c r="H26" i="175" s="1"/>
  <c r="I26" i="175" s="1"/>
  <c r="C26" i="68"/>
  <c r="D26" i="68" s="1"/>
  <c r="H26" i="68" s="1"/>
  <c r="I26" i="68" s="1"/>
  <c r="C25" i="73"/>
  <c r="D25" i="73" s="1"/>
  <c r="H25" i="73" s="1"/>
  <c r="I25" i="73" s="1"/>
  <c r="C25" i="170"/>
  <c r="D25" i="170" s="1"/>
  <c r="H25" i="170" s="1"/>
  <c r="I25" i="170" s="1"/>
  <c r="C25" i="75"/>
  <c r="D25" i="75" s="1"/>
  <c r="H25" i="75" s="1"/>
  <c r="I25" i="75" s="1"/>
  <c r="C25" i="173"/>
  <c r="D25" i="173" s="1"/>
  <c r="H25" i="173" s="1"/>
  <c r="I25" i="173" s="1"/>
  <c r="C25" i="79"/>
  <c r="D25" i="79" s="1"/>
  <c r="H25" i="79" s="1"/>
  <c r="I25" i="79" s="1"/>
  <c r="C25" i="81"/>
  <c r="D25" i="81" s="1"/>
  <c r="H25" i="81" s="1"/>
  <c r="I25" i="81" s="1"/>
  <c r="C32" i="208"/>
  <c r="D32" i="208" s="1"/>
  <c r="H32" i="208" s="1"/>
  <c r="I32" i="208" s="1"/>
  <c r="C32" i="209"/>
  <c r="D32" i="209" s="1"/>
  <c r="H32" i="209" s="1"/>
  <c r="I32" i="209" s="1"/>
  <c r="C32" i="211"/>
  <c r="D32" i="211" s="1"/>
  <c r="H32" i="211" s="1"/>
  <c r="I32" i="211" s="1"/>
  <c r="C32" i="210"/>
  <c r="D32" i="210" s="1"/>
  <c r="H32" i="210" s="1"/>
  <c r="I32" i="210" s="1"/>
  <c r="C32" i="205"/>
  <c r="D32" i="205" s="1"/>
  <c r="H32" i="205" s="1"/>
  <c r="I32" i="205" s="1"/>
  <c r="C32" i="204"/>
  <c r="D32" i="204" s="1"/>
  <c r="H32" i="204" s="1"/>
  <c r="I32" i="204" s="1"/>
  <c r="C32" i="207"/>
  <c r="D32" i="207" s="1"/>
  <c r="H32" i="207" s="1"/>
  <c r="I32" i="207" s="1"/>
  <c r="C32" i="206"/>
  <c r="D32" i="206" s="1"/>
  <c r="H32" i="206" s="1"/>
  <c r="I32" i="206" s="1"/>
  <c r="C25" i="223"/>
  <c r="D25" i="223" s="1"/>
  <c r="H25" i="223" s="1"/>
  <c r="I25" i="223" s="1"/>
  <c r="C25" i="220"/>
  <c r="D25" i="220" s="1"/>
  <c r="H25" i="220" s="1"/>
  <c r="I25" i="220" s="1"/>
  <c r="C25" i="222"/>
  <c r="D25" i="222" s="1"/>
  <c r="H25" i="222" s="1"/>
  <c r="I25" i="222" s="1"/>
  <c r="H24" i="223" l="1"/>
  <c r="I24" i="223" s="1"/>
  <c r="D26" i="223"/>
  <c r="H31" i="206"/>
  <c r="I31" i="206" s="1"/>
  <c r="D33" i="206"/>
  <c r="H31" i="208"/>
  <c r="I31" i="208" s="1"/>
  <c r="D33" i="208"/>
  <c r="H31" i="58"/>
  <c r="I31" i="58" s="1"/>
  <c r="D33" i="58"/>
  <c r="H31" i="181"/>
  <c r="I31" i="181" s="1"/>
  <c r="D33" i="181"/>
  <c r="H33" i="181" s="1"/>
  <c r="I33" i="181" s="1"/>
  <c r="D33" i="47"/>
  <c r="H31" i="47"/>
  <c r="I31" i="47" s="1"/>
  <c r="D27" i="169"/>
  <c r="H25" i="169"/>
  <c r="I25" i="169" s="1"/>
  <c r="D33" i="212"/>
  <c r="H31" i="212"/>
  <c r="I31" i="212" s="1"/>
  <c r="D26" i="219"/>
  <c r="H24" i="219"/>
  <c r="I24" i="219" s="1"/>
  <c r="H31" i="203"/>
  <c r="I31" i="203" s="1"/>
  <c r="D33" i="203"/>
  <c r="H24" i="76"/>
  <c r="I24" i="76" s="1"/>
  <c r="D26" i="76"/>
  <c r="D26" i="72"/>
  <c r="H24" i="72"/>
  <c r="I24" i="72" s="1"/>
  <c r="H31" i="61"/>
  <c r="I31" i="61" s="1"/>
  <c r="D33" i="61"/>
  <c r="D33" i="168"/>
  <c r="H31" i="168"/>
  <c r="I31" i="168" s="1"/>
  <c r="H31" i="50"/>
  <c r="I31" i="50" s="1"/>
  <c r="D33" i="50"/>
  <c r="D26" i="220"/>
  <c r="H24" i="220"/>
  <c r="I24" i="220" s="1"/>
  <c r="H31" i="205"/>
  <c r="I31" i="205" s="1"/>
  <c r="D33" i="205"/>
  <c r="H31" i="210"/>
  <c r="I31" i="210" s="1"/>
  <c r="D33" i="210"/>
  <c r="D26" i="81"/>
  <c r="H24" i="81"/>
  <c r="I24" i="81" s="1"/>
  <c r="H24" i="170"/>
  <c r="I24" i="170" s="1"/>
  <c r="D26" i="170"/>
  <c r="D27" i="70"/>
  <c r="H25" i="70"/>
  <c r="I25" i="70" s="1"/>
  <c r="D33" i="59"/>
  <c r="H31" i="59"/>
  <c r="I31" i="59" s="1"/>
  <c r="D33" i="51"/>
  <c r="H33" i="51" s="1"/>
  <c r="I33" i="51" s="1"/>
  <c r="H31" i="51"/>
  <c r="I31" i="51" s="1"/>
  <c r="D33" i="180"/>
  <c r="H31" i="180"/>
  <c r="I31" i="180" s="1"/>
  <c r="D33" i="214"/>
  <c r="H31" i="214"/>
  <c r="I31" i="214" s="1"/>
  <c r="D26" i="216"/>
  <c r="H24" i="216"/>
  <c r="I24" i="216" s="1"/>
  <c r="D33" i="202"/>
  <c r="H31" i="202"/>
  <c r="I31" i="202" s="1"/>
  <c r="D33" i="183"/>
  <c r="H31" i="183"/>
  <c r="I31" i="183" s="1"/>
  <c r="H31" i="56"/>
  <c r="I31" i="56" s="1"/>
  <c r="D33" i="56"/>
  <c r="D33" i="49"/>
  <c r="H31" i="49"/>
  <c r="I31" i="49" s="1"/>
  <c r="D33" i="207"/>
  <c r="H31" i="207"/>
  <c r="I31" i="207" s="1"/>
  <c r="H31" i="211"/>
  <c r="I31" i="211" s="1"/>
  <c r="D33" i="211"/>
  <c r="H24" i="79"/>
  <c r="I24" i="79" s="1"/>
  <c r="D26" i="79"/>
  <c r="H24" i="75"/>
  <c r="I24" i="75" s="1"/>
  <c r="D26" i="75"/>
  <c r="D27" i="68"/>
  <c r="H25" i="68"/>
  <c r="I25" i="68" s="1"/>
  <c r="D33" i="57"/>
  <c r="H31" i="57"/>
  <c r="I31" i="57" s="1"/>
  <c r="D33" i="52"/>
  <c r="H33" i="52" s="1"/>
  <c r="I33" i="52" s="1"/>
  <c r="H31" i="52"/>
  <c r="I31" i="52" s="1"/>
  <c r="H31" i="4"/>
  <c r="I31" i="4" s="1"/>
  <c r="D33" i="4"/>
  <c r="D27" i="64"/>
  <c r="H25" i="64"/>
  <c r="I25" i="64" s="1"/>
  <c r="D33" i="215"/>
  <c r="H31" i="215"/>
  <c r="I31" i="215" s="1"/>
  <c r="D26" i="218"/>
  <c r="H24" i="218"/>
  <c r="I24" i="218" s="1"/>
  <c r="D33" i="201"/>
  <c r="H31" i="201"/>
  <c r="I31" i="201" s="1"/>
  <c r="H24" i="78"/>
  <c r="I24" i="78" s="1"/>
  <c r="D26" i="78"/>
  <c r="D26" i="5"/>
  <c r="H24" i="5"/>
  <c r="I24" i="5" s="1"/>
  <c r="D33" i="62"/>
  <c r="H31" i="62"/>
  <c r="I31" i="62" s="1"/>
  <c r="H31" i="54"/>
  <c r="I31" i="54" s="1"/>
  <c r="D33" i="54"/>
  <c r="D33" i="182"/>
  <c r="H31" i="182"/>
  <c r="I31" i="182" s="1"/>
  <c r="D26" i="222"/>
  <c r="H24" i="222"/>
  <c r="I24" i="222" s="1"/>
  <c r="H31" i="204"/>
  <c r="I31" i="204" s="1"/>
  <c r="D33" i="204"/>
  <c r="H31" i="209"/>
  <c r="I31" i="209" s="1"/>
  <c r="D33" i="209"/>
  <c r="D26" i="173"/>
  <c r="H24" i="173"/>
  <c r="I24" i="173" s="1"/>
  <c r="D26" i="73"/>
  <c r="H24" i="73"/>
  <c r="I24" i="73" s="1"/>
  <c r="H25" i="175"/>
  <c r="I25" i="175" s="1"/>
  <c r="D27" i="175"/>
  <c r="H31" i="184"/>
  <c r="I31" i="184" s="1"/>
  <c r="D33" i="184"/>
  <c r="D33" i="53"/>
  <c r="H33" i="53" s="1"/>
  <c r="I33" i="53" s="1"/>
  <c r="H31" i="53"/>
  <c r="I31" i="53" s="1"/>
  <c r="D33" i="46"/>
  <c r="H31" i="46"/>
  <c r="I31" i="46" s="1"/>
  <c r="D27" i="25"/>
  <c r="H25" i="25"/>
  <c r="I25" i="25" s="1"/>
  <c r="D33" i="213"/>
  <c r="H31" i="213"/>
  <c r="I31" i="213" s="1"/>
  <c r="D33" i="200"/>
  <c r="H31" i="200"/>
  <c r="I31" i="200" s="1"/>
  <c r="D26" i="172"/>
  <c r="H24" i="172"/>
  <c r="I24" i="172" s="1"/>
  <c r="D26" i="171"/>
  <c r="H24" i="171"/>
  <c r="I24" i="171" s="1"/>
  <c r="H31" i="60"/>
  <c r="I31" i="60" s="1"/>
  <c r="D33" i="60"/>
  <c r="H31" i="104"/>
  <c r="I31" i="104" s="1"/>
  <c r="D33" i="104"/>
  <c r="D33" i="48"/>
  <c r="H31" i="48"/>
  <c r="I31" i="48" s="1"/>
  <c r="H33" i="60" l="1"/>
  <c r="I33" i="60" s="1"/>
  <c r="H27" i="175"/>
  <c r="I27" i="175" s="1"/>
  <c r="H33" i="204"/>
  <c r="I33" i="204" s="1"/>
  <c r="H26" i="78"/>
  <c r="I26" i="78" s="1"/>
  <c r="D27" i="79"/>
  <c r="H27" i="79" s="1"/>
  <c r="I27" i="79" s="1"/>
  <c r="D34" i="79"/>
  <c r="D37" i="79" s="1"/>
  <c r="H26" i="79"/>
  <c r="I26" i="79" s="1"/>
  <c r="H33" i="205"/>
  <c r="I33" i="205" s="1"/>
  <c r="H33" i="50"/>
  <c r="I33" i="50" s="1"/>
  <c r="H33" i="61"/>
  <c r="I33" i="61" s="1"/>
  <c r="H26" i="76"/>
  <c r="I26" i="76" s="1"/>
  <c r="H33" i="206"/>
  <c r="I33" i="206" s="1"/>
  <c r="H33" i="48"/>
  <c r="I33" i="48" s="1"/>
  <c r="H26" i="172"/>
  <c r="I26" i="172" s="1"/>
  <c r="H27" i="25"/>
  <c r="I27" i="25" s="1"/>
  <c r="H26" i="173"/>
  <c r="I26" i="173" s="1"/>
  <c r="D34" i="173"/>
  <c r="D37" i="173" s="1"/>
  <c r="D27" i="173"/>
  <c r="H27" i="173" s="1"/>
  <c r="I27" i="173" s="1"/>
  <c r="H33" i="182"/>
  <c r="I33" i="182" s="1"/>
  <c r="H33" i="62"/>
  <c r="I33" i="62" s="1"/>
  <c r="H26" i="218"/>
  <c r="I26" i="218" s="1"/>
  <c r="H27" i="64"/>
  <c r="I27" i="64" s="1"/>
  <c r="H27" i="68"/>
  <c r="I27" i="68" s="1"/>
  <c r="H33" i="207"/>
  <c r="I33" i="207" s="1"/>
  <c r="H33" i="49"/>
  <c r="I33" i="49" s="1"/>
  <c r="H33" i="183"/>
  <c r="I33" i="183" s="1"/>
  <c r="H26" i="216"/>
  <c r="I26" i="216" s="1"/>
  <c r="H27" i="70"/>
  <c r="I27" i="70" s="1"/>
  <c r="D27" i="81"/>
  <c r="H27" i="81" s="1"/>
  <c r="I27" i="81" s="1"/>
  <c r="D34" i="81"/>
  <c r="D37" i="81" s="1"/>
  <c r="H26" i="81"/>
  <c r="I26" i="81" s="1"/>
  <c r="H26" i="219"/>
  <c r="I26" i="219" s="1"/>
  <c r="H27" i="169"/>
  <c r="I27" i="169" s="1"/>
  <c r="H33" i="104"/>
  <c r="I33" i="104" s="1"/>
  <c r="H33" i="184"/>
  <c r="I33" i="184" s="1"/>
  <c r="H33" i="209"/>
  <c r="I33" i="209" s="1"/>
  <c r="H33" i="54"/>
  <c r="I33" i="54" s="1"/>
  <c r="H33" i="4"/>
  <c r="I33" i="4" s="1"/>
  <c r="H26" i="75"/>
  <c r="I26" i="75" s="1"/>
  <c r="H33" i="211"/>
  <c r="I33" i="211" s="1"/>
  <c r="H33" i="56"/>
  <c r="I33" i="56" s="1"/>
  <c r="H26" i="170"/>
  <c r="I26" i="170" s="1"/>
  <c r="H33" i="210"/>
  <c r="I33" i="210" s="1"/>
  <c r="H33" i="203"/>
  <c r="I33" i="203" s="1"/>
  <c r="H33" i="58"/>
  <c r="I33" i="58" s="1"/>
  <c r="H33" i="208"/>
  <c r="I33" i="208" s="1"/>
  <c r="H26" i="223"/>
  <c r="I26" i="223" s="1"/>
  <c r="H26" i="171"/>
  <c r="I26" i="171" s="1"/>
  <c r="H33" i="200"/>
  <c r="I33" i="200" s="1"/>
  <c r="H33" i="213"/>
  <c r="I33" i="213" s="1"/>
  <c r="H33" i="46"/>
  <c r="I33" i="46" s="1"/>
  <c r="H26" i="73"/>
  <c r="I26" i="73" s="1"/>
  <c r="H26" i="222"/>
  <c r="I26" i="222" s="1"/>
  <c r="H26" i="5"/>
  <c r="I26" i="5" s="1"/>
  <c r="H33" i="201"/>
  <c r="I33" i="201" s="1"/>
  <c r="H33" i="215"/>
  <c r="I33" i="215" s="1"/>
  <c r="H33" i="57"/>
  <c r="I33" i="57" s="1"/>
  <c r="H33" i="202"/>
  <c r="I33" i="202" s="1"/>
  <c r="H33" i="214"/>
  <c r="I33" i="214" s="1"/>
  <c r="H33" i="180"/>
  <c r="I33" i="180" s="1"/>
  <c r="H33" i="59"/>
  <c r="I33" i="59" s="1"/>
  <c r="H26" i="220"/>
  <c r="I26" i="220" s="1"/>
  <c r="H33" i="168"/>
  <c r="I33" i="168" s="1"/>
  <c r="H26" i="72"/>
  <c r="I26" i="72" s="1"/>
  <c r="H33" i="212"/>
  <c r="I33" i="212" s="1"/>
  <c r="H33" i="47"/>
  <c r="I33" i="47" s="1"/>
  <c r="H34" i="173" l="1"/>
  <c r="I34" i="173" s="1"/>
  <c r="D35" i="173"/>
  <c r="H35" i="173" s="1"/>
  <c r="I35" i="173" s="1"/>
  <c r="D35" i="81"/>
  <c r="H35" i="81" s="1"/>
  <c r="I35" i="81" s="1"/>
  <c r="H34" i="81"/>
  <c r="I34" i="81" s="1"/>
  <c r="D35" i="79"/>
  <c r="H35" i="79" s="1"/>
  <c r="I35" i="79" s="1"/>
  <c r="H34" i="79"/>
  <c r="I34" i="79" s="1"/>
  <c r="D36" i="79" l="1"/>
  <c r="H37" i="79" s="1"/>
  <c r="I37" i="79" s="1"/>
  <c r="D36" i="81"/>
  <c r="D36" i="173"/>
  <c r="H36" i="79" l="1"/>
  <c r="I36" i="79" s="1"/>
  <c r="D38" i="79"/>
  <c r="H38" i="79" s="1"/>
  <c r="H36" i="173"/>
  <c r="I36" i="173" s="1"/>
  <c r="H37" i="173"/>
  <c r="I37" i="173" s="1"/>
  <c r="H36" i="81"/>
  <c r="I36" i="81" s="1"/>
  <c r="H37" i="81"/>
  <c r="I37" i="81" s="1"/>
  <c r="E44" i="7" l="1"/>
  <c r="I38" i="79"/>
  <c r="I44" i="7" s="1"/>
  <c r="H44" i="7"/>
  <c r="D38" i="81"/>
  <c r="D38" i="173"/>
  <c r="E45" i="7" l="1"/>
  <c r="H38" i="173"/>
  <c r="H38" i="81"/>
  <c r="E46" i="7"/>
  <c r="H46" i="7" l="1"/>
  <c r="I38" i="81"/>
  <c r="I46" i="7" s="1"/>
  <c r="I38" i="173"/>
  <c r="I45" i="7" s="1"/>
  <c r="H45" i="7"/>
  <c r="O10" i="3" l="1"/>
  <c r="P10" i="3"/>
  <c r="C26" i="174" l="1"/>
  <c r="D26" i="174" s="1"/>
  <c r="H26" i="174" s="1"/>
  <c r="I26" i="174" s="1"/>
  <c r="C26" i="67"/>
  <c r="D26" i="67" s="1"/>
  <c r="H26" i="67" s="1"/>
  <c r="I26" i="67" s="1"/>
  <c r="C26" i="65"/>
  <c r="D26" i="65" s="1"/>
  <c r="H26" i="65" s="1"/>
  <c r="I26" i="65" s="1"/>
  <c r="C25" i="65"/>
  <c r="D25" i="65" s="1"/>
  <c r="C25" i="174"/>
  <c r="D25" i="174" s="1"/>
  <c r="C25" i="67"/>
  <c r="D25" i="67" s="1"/>
  <c r="H25" i="67" l="1"/>
  <c r="I25" i="67" s="1"/>
  <c r="D27" i="67"/>
  <c r="H25" i="174"/>
  <c r="I25" i="174" s="1"/>
  <c r="D27" i="174"/>
  <c r="D27" i="65"/>
  <c r="H25" i="65"/>
  <c r="I25" i="65" s="1"/>
  <c r="H27" i="67" l="1"/>
  <c r="I27" i="67" s="1"/>
  <c r="H27" i="65"/>
  <c r="I27" i="65" s="1"/>
  <c r="H27" i="174"/>
  <c r="I27" i="174" s="1"/>
  <c r="G14" i="3" l="1"/>
  <c r="Q14" i="3"/>
  <c r="F16" i="172" l="1"/>
  <c r="G16" i="172" s="1"/>
  <c r="F16" i="78"/>
  <c r="G16" i="78" s="1"/>
  <c r="F16" i="76"/>
  <c r="G16" i="76" s="1"/>
  <c r="C16" i="172"/>
  <c r="D16" i="172" s="1"/>
  <c r="C16" i="76"/>
  <c r="D16" i="76" s="1"/>
  <c r="C16" i="78"/>
  <c r="D16" i="78" s="1"/>
  <c r="H16" i="76" l="1"/>
  <c r="I16" i="76" s="1"/>
  <c r="H16" i="78"/>
  <c r="I16" i="78" s="1"/>
  <c r="H16" i="172"/>
  <c r="I16" i="172" s="1"/>
  <c r="J18" i="3" l="1"/>
  <c r="G18" i="3" l="1"/>
  <c r="G21" i="3"/>
  <c r="C20" i="216"/>
  <c r="D20" i="216" s="1"/>
  <c r="C20" i="218"/>
  <c r="D20" i="218" s="1"/>
  <c r="G17" i="3"/>
  <c r="J17" i="3"/>
  <c r="J21" i="3"/>
  <c r="C16" i="222" l="1"/>
  <c r="D16" i="222" s="1"/>
  <c r="C16" i="223"/>
  <c r="D16" i="223" s="1"/>
  <c r="D23" i="223" s="1"/>
  <c r="C16" i="220"/>
  <c r="D16" i="220" s="1"/>
  <c r="C19" i="211"/>
  <c r="D19" i="211" s="1"/>
  <c r="C19" i="209"/>
  <c r="D19" i="209" s="1"/>
  <c r="C19" i="208"/>
  <c r="D19" i="208" s="1"/>
  <c r="C19" i="210"/>
  <c r="D19" i="210" s="1"/>
  <c r="C20" i="220"/>
  <c r="D20" i="220" s="1"/>
  <c r="C20" i="222"/>
  <c r="D20" i="222" s="1"/>
  <c r="G6" i="3"/>
  <c r="J11" i="3"/>
  <c r="C23" i="209"/>
  <c r="D23" i="209" s="1"/>
  <c r="C23" i="211"/>
  <c r="D23" i="211" s="1"/>
  <c r="C23" i="208"/>
  <c r="D23" i="208" s="1"/>
  <c r="C23" i="210"/>
  <c r="D23" i="210" s="1"/>
  <c r="G11" i="3"/>
  <c r="C16" i="219"/>
  <c r="D16" i="219" s="1"/>
  <c r="D23" i="219" s="1"/>
  <c r="C16" i="216"/>
  <c r="D16" i="216" s="1"/>
  <c r="D23" i="216" s="1"/>
  <c r="C16" i="218"/>
  <c r="D16" i="218" s="1"/>
  <c r="D23" i="218" s="1"/>
  <c r="D23" i="222" l="1"/>
  <c r="D34" i="222" s="1"/>
  <c r="D37" i="222" s="1"/>
  <c r="D34" i="216"/>
  <c r="D37" i="216" s="1"/>
  <c r="D27" i="216"/>
  <c r="D34" i="218"/>
  <c r="D37" i="218" s="1"/>
  <c r="D27" i="218"/>
  <c r="D27" i="219"/>
  <c r="D34" i="219"/>
  <c r="D37" i="219" s="1"/>
  <c r="D25" i="208"/>
  <c r="D27" i="223"/>
  <c r="D34" i="223"/>
  <c r="D37" i="223" s="1"/>
  <c r="C19" i="168"/>
  <c r="D19" i="168" s="1"/>
  <c r="C19" i="104"/>
  <c r="D19" i="104" s="1"/>
  <c r="C19" i="56"/>
  <c r="D19" i="56" s="1"/>
  <c r="C19" i="54"/>
  <c r="D19" i="54" s="1"/>
  <c r="G4" i="3"/>
  <c r="D25" i="209"/>
  <c r="J6" i="3"/>
  <c r="C19" i="70"/>
  <c r="D19" i="70" s="1"/>
  <c r="C19" i="68"/>
  <c r="D19" i="68" s="1"/>
  <c r="C19" i="175"/>
  <c r="D19" i="175" s="1"/>
  <c r="D25" i="211"/>
  <c r="C15" i="68"/>
  <c r="D15" i="68" s="1"/>
  <c r="C15" i="175"/>
  <c r="D15" i="175" s="1"/>
  <c r="C15" i="70"/>
  <c r="D15" i="70" s="1"/>
  <c r="D25" i="210"/>
  <c r="D23" i="220"/>
  <c r="D27" i="222" l="1"/>
  <c r="D22" i="70"/>
  <c r="D24" i="70" s="1"/>
  <c r="C23" i="54"/>
  <c r="D23" i="54" s="1"/>
  <c r="D25" i="54" s="1"/>
  <c r="C23" i="104"/>
  <c r="D23" i="104" s="1"/>
  <c r="D25" i="104" s="1"/>
  <c r="C23" i="56"/>
  <c r="D23" i="56" s="1"/>
  <c r="D25" i="56" s="1"/>
  <c r="C23" i="168"/>
  <c r="D23" i="168" s="1"/>
  <c r="D25" i="168" s="1"/>
  <c r="D35" i="219"/>
  <c r="D36" i="219" s="1"/>
  <c r="D27" i="220"/>
  <c r="D34" i="220"/>
  <c r="D37" i="220" s="1"/>
  <c r="D29" i="211"/>
  <c r="D34" i="211" s="1"/>
  <c r="D30" i="211"/>
  <c r="D35" i="211" s="1"/>
  <c r="D42" i="211"/>
  <c r="D45" i="211" s="1"/>
  <c r="D47" i="211"/>
  <c r="D50" i="211" s="1"/>
  <c r="D30" i="209"/>
  <c r="D35" i="209" s="1"/>
  <c r="D29" i="209"/>
  <c r="D34" i="209" s="1"/>
  <c r="D42" i="209"/>
  <c r="D45" i="209" s="1"/>
  <c r="D47" i="209"/>
  <c r="D50" i="209" s="1"/>
  <c r="D35" i="223"/>
  <c r="D36" i="223" s="1"/>
  <c r="J4" i="3"/>
  <c r="D30" i="210"/>
  <c r="D35" i="210" s="1"/>
  <c r="D29" i="210"/>
  <c r="D34" i="210" s="1"/>
  <c r="D42" i="210"/>
  <c r="D45" i="210" s="1"/>
  <c r="D47" i="210"/>
  <c r="D50" i="210" s="1"/>
  <c r="D22" i="175"/>
  <c r="D24" i="175" s="1"/>
  <c r="D35" i="222"/>
  <c r="D36" i="222" s="1"/>
  <c r="D22" i="68"/>
  <c r="D24" i="68" s="1"/>
  <c r="C19" i="50"/>
  <c r="D19" i="50" s="1"/>
  <c r="C19" i="182"/>
  <c r="D19" i="182" s="1"/>
  <c r="C19" i="49"/>
  <c r="D19" i="49" s="1"/>
  <c r="C19" i="48"/>
  <c r="D19" i="48" s="1"/>
  <c r="D29" i="208"/>
  <c r="D34" i="208" s="1"/>
  <c r="D30" i="208"/>
  <c r="D35" i="208" s="1"/>
  <c r="D47" i="208"/>
  <c r="D50" i="208" s="1"/>
  <c r="D42" i="208"/>
  <c r="D45" i="208" s="1"/>
  <c r="D35" i="218"/>
  <c r="D36" i="218" s="1"/>
  <c r="D35" i="216"/>
  <c r="D36" i="216" s="1"/>
  <c r="D38" i="222" l="1"/>
  <c r="E67" i="7" s="1"/>
  <c r="D38" i="219"/>
  <c r="E57" i="7" s="1"/>
  <c r="D38" i="218"/>
  <c r="E56" i="7" s="1"/>
  <c r="D35" i="175"/>
  <c r="D38" i="175" s="1"/>
  <c r="D28" i="175"/>
  <c r="C23" i="50"/>
  <c r="D23" i="50" s="1"/>
  <c r="D25" i="50" s="1"/>
  <c r="C23" i="182"/>
  <c r="D23" i="182" s="1"/>
  <c r="D25" i="182" s="1"/>
  <c r="C23" i="48"/>
  <c r="D23" i="48" s="1"/>
  <c r="D25" i="48" s="1"/>
  <c r="C23" i="49"/>
  <c r="D23" i="49" s="1"/>
  <c r="D25" i="49" s="1"/>
  <c r="D35" i="220"/>
  <c r="D36" i="220" s="1"/>
  <c r="D30" i="54"/>
  <c r="D35" i="54" s="1"/>
  <c r="D29" i="54"/>
  <c r="D34" i="54" s="1"/>
  <c r="D47" i="54"/>
  <c r="D50" i="54" s="1"/>
  <c r="D42" i="54"/>
  <c r="D45" i="54" s="1"/>
  <c r="D35" i="70"/>
  <c r="D38" i="70" s="1"/>
  <c r="D28" i="70"/>
  <c r="D43" i="208"/>
  <c r="D44" i="208" s="1"/>
  <c r="G16" i="3"/>
  <c r="D48" i="209"/>
  <c r="D49" i="209" s="1"/>
  <c r="D29" i="168"/>
  <c r="D34" i="168" s="1"/>
  <c r="D30" i="168"/>
  <c r="D35" i="168" s="1"/>
  <c r="D47" i="168"/>
  <c r="D50" i="168" s="1"/>
  <c r="D42" i="168"/>
  <c r="D45" i="168" s="1"/>
  <c r="G8" i="3"/>
  <c r="J19" i="3"/>
  <c r="G20" i="3"/>
  <c r="D38" i="216"/>
  <c r="E55" i="7" s="1"/>
  <c r="D48" i="208"/>
  <c r="D49" i="208" s="1"/>
  <c r="D48" i="210"/>
  <c r="D49" i="210" s="1"/>
  <c r="D43" i="209"/>
  <c r="D44" i="209" s="1"/>
  <c r="D48" i="211"/>
  <c r="D30" i="56"/>
  <c r="D35" i="56" s="1"/>
  <c r="D29" i="56"/>
  <c r="D34" i="56" s="1"/>
  <c r="D42" i="56"/>
  <c r="D45" i="56" s="1"/>
  <c r="D47" i="56"/>
  <c r="D50" i="56" s="1"/>
  <c r="D28" i="68"/>
  <c r="D35" i="68"/>
  <c r="D38" i="68" s="1"/>
  <c r="D43" i="210"/>
  <c r="D44" i="210" s="1"/>
  <c r="D43" i="211"/>
  <c r="D44" i="211" s="1"/>
  <c r="D29" i="104"/>
  <c r="D34" i="104" s="1"/>
  <c r="D30" i="104"/>
  <c r="D35" i="104" s="1"/>
  <c r="D42" i="104"/>
  <c r="D45" i="104" s="1"/>
  <c r="D47" i="104"/>
  <c r="D50" i="104" s="1"/>
  <c r="G13" i="3"/>
  <c r="J20" i="3"/>
  <c r="D51" i="210" l="1"/>
  <c r="E53" i="7" s="1"/>
  <c r="J13" i="3"/>
  <c r="C16" i="170"/>
  <c r="D16" i="170" s="1"/>
  <c r="C16" i="75"/>
  <c r="D16" i="75" s="1"/>
  <c r="D23" i="75" s="1"/>
  <c r="C16" i="73"/>
  <c r="D16" i="73" s="1"/>
  <c r="D43" i="56"/>
  <c r="C19" i="215"/>
  <c r="D19" i="215" s="1"/>
  <c r="C19" i="213"/>
  <c r="D19" i="213" s="1"/>
  <c r="C19" i="214"/>
  <c r="D19" i="214" s="1"/>
  <c r="C19" i="212"/>
  <c r="D19" i="212" s="1"/>
  <c r="C19" i="183"/>
  <c r="D19" i="183" s="1"/>
  <c r="C19" i="61"/>
  <c r="D19" i="61" s="1"/>
  <c r="C19" i="62"/>
  <c r="D19" i="62" s="1"/>
  <c r="C19" i="60"/>
  <c r="D19" i="60" s="1"/>
  <c r="G7" i="3"/>
  <c r="S17" i="3"/>
  <c r="D29" i="48"/>
  <c r="D34" i="48" s="1"/>
  <c r="D30" i="48"/>
  <c r="D35" i="48" s="1"/>
  <c r="D47" i="48"/>
  <c r="D50" i="48" s="1"/>
  <c r="D42" i="48"/>
  <c r="D45" i="48" s="1"/>
  <c r="D36" i="175"/>
  <c r="D37" i="175" s="1"/>
  <c r="G10" i="3"/>
  <c r="J12" i="3"/>
  <c r="C23" i="213"/>
  <c r="D23" i="213" s="1"/>
  <c r="C23" i="215"/>
  <c r="D23" i="215" s="1"/>
  <c r="C23" i="212"/>
  <c r="D23" i="212" s="1"/>
  <c r="C23" i="214"/>
  <c r="D23" i="214" s="1"/>
  <c r="D49" i="211"/>
  <c r="G19" i="3"/>
  <c r="D43" i="168"/>
  <c r="D36" i="70"/>
  <c r="D37" i="70" s="1"/>
  <c r="D43" i="54"/>
  <c r="D44" i="54" s="1"/>
  <c r="D30" i="182"/>
  <c r="D35" i="182" s="1"/>
  <c r="D29" i="182"/>
  <c r="D34" i="182" s="1"/>
  <c r="D47" i="182"/>
  <c r="D50" i="182" s="1"/>
  <c r="D42" i="182"/>
  <c r="D45" i="182" s="1"/>
  <c r="J7" i="3"/>
  <c r="D48" i="104"/>
  <c r="D49" i="104" s="1"/>
  <c r="D46" i="211"/>
  <c r="D36" i="68"/>
  <c r="D37" i="68" s="1"/>
  <c r="D46" i="209"/>
  <c r="D48" i="168"/>
  <c r="D49" i="168" s="1"/>
  <c r="C19" i="201"/>
  <c r="D19" i="201" s="1"/>
  <c r="C19" i="202"/>
  <c r="D19" i="202" s="1"/>
  <c r="C19" i="203"/>
  <c r="D19" i="203" s="1"/>
  <c r="C19" i="200"/>
  <c r="D19" i="200" s="1"/>
  <c r="G12" i="3"/>
  <c r="G9" i="3"/>
  <c r="G5" i="3"/>
  <c r="D48" i="54"/>
  <c r="D49" i="54" s="1"/>
  <c r="D38" i="223"/>
  <c r="E68" i="7" s="1"/>
  <c r="D29" i="50"/>
  <c r="D34" i="50" s="1"/>
  <c r="D30" i="50"/>
  <c r="D35" i="50" s="1"/>
  <c r="D42" i="50"/>
  <c r="D45" i="50" s="1"/>
  <c r="D47" i="50"/>
  <c r="D50" i="50" s="1"/>
  <c r="J9" i="3"/>
  <c r="J10" i="3"/>
  <c r="S3" i="3"/>
  <c r="J16" i="3"/>
  <c r="J8" i="3"/>
  <c r="D43" i="104"/>
  <c r="J14" i="3"/>
  <c r="D48" i="56"/>
  <c r="D51" i="208"/>
  <c r="E51" i="7" s="1"/>
  <c r="C23" i="204"/>
  <c r="D23" i="204" s="1"/>
  <c r="C23" i="207"/>
  <c r="D23" i="207" s="1"/>
  <c r="C23" i="205"/>
  <c r="D23" i="205" s="1"/>
  <c r="C23" i="206"/>
  <c r="D23" i="206" s="1"/>
  <c r="D46" i="208"/>
  <c r="D29" i="49"/>
  <c r="D34" i="49" s="1"/>
  <c r="D30" i="49"/>
  <c r="D35" i="49" s="1"/>
  <c r="D47" i="49"/>
  <c r="D50" i="49" s="1"/>
  <c r="D42" i="49"/>
  <c r="D45" i="49" s="1"/>
  <c r="D39" i="68" l="1"/>
  <c r="E38" i="7" s="1"/>
  <c r="D51" i="54"/>
  <c r="E14" i="7" s="1"/>
  <c r="C20" i="78"/>
  <c r="D20" i="78" s="1"/>
  <c r="D23" i="78" s="1"/>
  <c r="C20" i="172"/>
  <c r="D20" i="172" s="1"/>
  <c r="D23" i="172" s="1"/>
  <c r="C20" i="76"/>
  <c r="D20" i="76" s="1"/>
  <c r="D23" i="76" s="1"/>
  <c r="F23" i="4"/>
  <c r="G23" i="4" s="1"/>
  <c r="F23" i="180"/>
  <c r="G23" i="180" s="1"/>
  <c r="F23" i="46"/>
  <c r="G23" i="46" s="1"/>
  <c r="F23" i="47"/>
  <c r="G23" i="47" s="1"/>
  <c r="D43" i="50"/>
  <c r="D44" i="50" s="1"/>
  <c r="C16" i="5"/>
  <c r="D16" i="5" s="1"/>
  <c r="C16" i="171"/>
  <c r="D16" i="171" s="1"/>
  <c r="C16" i="72"/>
  <c r="D16" i="72" s="1"/>
  <c r="D23" i="72" s="1"/>
  <c r="D51" i="104"/>
  <c r="E15" i="7" s="1"/>
  <c r="C23" i="59"/>
  <c r="D23" i="59" s="1"/>
  <c r="C23" i="58"/>
  <c r="D23" i="58" s="1"/>
  <c r="C23" i="184"/>
  <c r="D23" i="184" s="1"/>
  <c r="C23" i="57"/>
  <c r="D23" i="57" s="1"/>
  <c r="D48" i="182"/>
  <c r="D49" i="182" s="1"/>
  <c r="D51" i="211"/>
  <c r="E54" i="7" s="1"/>
  <c r="D25" i="214"/>
  <c r="J5" i="3"/>
  <c r="D43" i="49"/>
  <c r="D44" i="49" s="1"/>
  <c r="C23" i="61"/>
  <c r="D23" i="61" s="1"/>
  <c r="D25" i="61" s="1"/>
  <c r="C23" i="60"/>
  <c r="D23" i="60" s="1"/>
  <c r="D25" i="60" s="1"/>
  <c r="C23" i="183"/>
  <c r="D23" i="183" s="1"/>
  <c r="D25" i="183" s="1"/>
  <c r="C23" i="62"/>
  <c r="D23" i="62" s="1"/>
  <c r="D25" i="62" s="1"/>
  <c r="G3" i="3"/>
  <c r="C19" i="174"/>
  <c r="D19" i="174" s="1"/>
  <c r="C19" i="67"/>
  <c r="D19" i="67" s="1"/>
  <c r="C19" i="65"/>
  <c r="D19" i="65" s="1"/>
  <c r="S18" i="3"/>
  <c r="D43" i="48"/>
  <c r="D44" i="48" s="1"/>
  <c r="C19" i="184"/>
  <c r="D19" i="184" s="1"/>
  <c r="C19" i="59"/>
  <c r="D19" i="59" s="1"/>
  <c r="C19" i="57"/>
  <c r="D19" i="57" s="1"/>
  <c r="C19" i="58"/>
  <c r="D19" i="58" s="1"/>
  <c r="D25" i="213"/>
  <c r="D34" i="75"/>
  <c r="D37" i="75" s="1"/>
  <c r="D27" i="75"/>
  <c r="D48" i="49"/>
  <c r="C23" i="201"/>
  <c r="D23" i="201" s="1"/>
  <c r="D25" i="201" s="1"/>
  <c r="C23" i="203"/>
  <c r="D23" i="203" s="1"/>
  <c r="D25" i="203" s="1"/>
  <c r="C23" i="202"/>
  <c r="D23" i="202" s="1"/>
  <c r="D25" i="202" s="1"/>
  <c r="C23" i="200"/>
  <c r="D23" i="200" s="1"/>
  <c r="D25" i="200" s="1"/>
  <c r="C19" i="169"/>
  <c r="D19" i="169" s="1"/>
  <c r="C19" i="64"/>
  <c r="D19" i="64" s="1"/>
  <c r="C19" i="25"/>
  <c r="D19" i="25" s="1"/>
  <c r="C19" i="52"/>
  <c r="D19" i="52" s="1"/>
  <c r="C19" i="181"/>
  <c r="D19" i="181" s="1"/>
  <c r="C19" i="51"/>
  <c r="D19" i="51" s="1"/>
  <c r="C19" i="53"/>
  <c r="D19" i="53" s="1"/>
  <c r="D46" i="54"/>
  <c r="Q18" i="3"/>
  <c r="C15" i="174"/>
  <c r="D15" i="174" s="1"/>
  <c r="C15" i="67"/>
  <c r="D15" i="67" s="1"/>
  <c r="C15" i="65"/>
  <c r="D15" i="65" s="1"/>
  <c r="D48" i="48"/>
  <c r="D49" i="48" s="1"/>
  <c r="F23" i="208"/>
  <c r="G23" i="208" s="1"/>
  <c r="F23" i="209"/>
  <c r="G23" i="209" s="1"/>
  <c r="F23" i="211"/>
  <c r="G23" i="211" s="1"/>
  <c r="F23" i="210"/>
  <c r="G23" i="210" s="1"/>
  <c r="D25" i="215"/>
  <c r="C20" i="170"/>
  <c r="D20" i="170" s="1"/>
  <c r="D23" i="170" s="1"/>
  <c r="C20" i="73"/>
  <c r="D20" i="73" s="1"/>
  <c r="D23" i="73" s="1"/>
  <c r="D51" i="209"/>
  <c r="E52" i="7" s="1"/>
  <c r="D49" i="56"/>
  <c r="D44" i="104"/>
  <c r="J3" i="3"/>
  <c r="D48" i="50"/>
  <c r="D49" i="50" s="1"/>
  <c r="D38" i="220"/>
  <c r="E66" i="7" s="1"/>
  <c r="C15" i="25"/>
  <c r="D15" i="25" s="1"/>
  <c r="C15" i="169"/>
  <c r="D15" i="169" s="1"/>
  <c r="C15" i="64"/>
  <c r="D15" i="64" s="1"/>
  <c r="D43" i="182"/>
  <c r="D44" i="182" s="1"/>
  <c r="D44" i="168"/>
  <c r="C19" i="206"/>
  <c r="D19" i="206" s="1"/>
  <c r="D25" i="206" s="1"/>
  <c r="C19" i="207"/>
  <c r="D19" i="207" s="1"/>
  <c r="D25" i="207" s="1"/>
  <c r="C19" i="205"/>
  <c r="D19" i="205" s="1"/>
  <c r="D25" i="205" s="1"/>
  <c r="C19" i="204"/>
  <c r="D19" i="204" s="1"/>
  <c r="D25" i="204" s="1"/>
  <c r="C20" i="5"/>
  <c r="D20" i="5" s="1"/>
  <c r="C20" i="171"/>
  <c r="D20" i="171" s="1"/>
  <c r="D23" i="171" s="1"/>
  <c r="Q17" i="3"/>
  <c r="D25" i="212"/>
  <c r="D44" i="56"/>
  <c r="D46" i="210"/>
  <c r="D23" i="5" l="1"/>
  <c r="D34" i="5" s="1"/>
  <c r="D37" i="5" s="1"/>
  <c r="D30" i="207"/>
  <c r="D35" i="207" s="1"/>
  <c r="D29" i="207"/>
  <c r="D34" i="207" s="1"/>
  <c r="D47" i="207"/>
  <c r="D50" i="207" s="1"/>
  <c r="D42" i="207"/>
  <c r="D45" i="207" s="1"/>
  <c r="D29" i="206"/>
  <c r="D34" i="206" s="1"/>
  <c r="D30" i="206"/>
  <c r="D35" i="206" s="1"/>
  <c r="D42" i="206"/>
  <c r="D45" i="206" s="1"/>
  <c r="D47" i="206"/>
  <c r="D50" i="206" s="1"/>
  <c r="D29" i="204"/>
  <c r="D34" i="204" s="1"/>
  <c r="D30" i="204"/>
  <c r="D35" i="204" s="1"/>
  <c r="D47" i="204"/>
  <c r="D50" i="204" s="1"/>
  <c r="D42" i="204"/>
  <c r="D45" i="204" s="1"/>
  <c r="D46" i="48"/>
  <c r="D46" i="50"/>
  <c r="D29" i="205"/>
  <c r="D34" i="205" s="1"/>
  <c r="D30" i="205"/>
  <c r="D35" i="205" s="1"/>
  <c r="D42" i="205"/>
  <c r="D45" i="205" s="1"/>
  <c r="D47" i="205"/>
  <c r="D50" i="205" s="1"/>
  <c r="D27" i="5"/>
  <c r="D46" i="168"/>
  <c r="D51" i="50"/>
  <c r="E9" i="7" s="1"/>
  <c r="D29" i="215"/>
  <c r="D34" i="215" s="1"/>
  <c r="D30" i="215"/>
  <c r="D35" i="215" s="1"/>
  <c r="D42" i="215"/>
  <c r="D45" i="215" s="1"/>
  <c r="D47" i="215"/>
  <c r="D50" i="215" s="1"/>
  <c r="H23" i="208"/>
  <c r="I23" i="208" s="1"/>
  <c r="D22" i="169"/>
  <c r="D24" i="169" s="1"/>
  <c r="D30" i="203"/>
  <c r="D35" i="203" s="1"/>
  <c r="D29" i="203"/>
  <c r="D34" i="203" s="1"/>
  <c r="D47" i="203"/>
  <c r="D50" i="203" s="1"/>
  <c r="D42" i="203"/>
  <c r="D45" i="203" s="1"/>
  <c r="D22" i="174"/>
  <c r="D24" i="174" s="1"/>
  <c r="D30" i="60"/>
  <c r="D35" i="60" s="1"/>
  <c r="D29" i="60"/>
  <c r="D34" i="60" s="1"/>
  <c r="D47" i="60"/>
  <c r="D50" i="60" s="1"/>
  <c r="D42" i="60"/>
  <c r="D45" i="60" s="1"/>
  <c r="C23" i="52"/>
  <c r="D23" i="52" s="1"/>
  <c r="D25" i="52" s="1"/>
  <c r="C23" i="181"/>
  <c r="D23" i="181" s="1"/>
  <c r="D25" i="181" s="1"/>
  <c r="C23" i="51"/>
  <c r="D23" i="51" s="1"/>
  <c r="D25" i="51" s="1"/>
  <c r="C23" i="53"/>
  <c r="D23" i="53" s="1"/>
  <c r="D25" i="53" s="1"/>
  <c r="D25" i="57"/>
  <c r="D27" i="72"/>
  <c r="D34" i="72"/>
  <c r="D37" i="72" s="1"/>
  <c r="D46" i="56"/>
  <c r="D46" i="182"/>
  <c r="C23" i="180"/>
  <c r="D23" i="180" s="1"/>
  <c r="H23" i="180" s="1"/>
  <c r="I23" i="180" s="1"/>
  <c r="C23" i="4"/>
  <c r="D23" i="4" s="1"/>
  <c r="H23" i="4" s="1"/>
  <c r="I23" i="4" s="1"/>
  <c r="C23" i="46"/>
  <c r="D23" i="46" s="1"/>
  <c r="H23" i="46" s="1"/>
  <c r="I23" i="46" s="1"/>
  <c r="C23" i="47"/>
  <c r="D23" i="47" s="1"/>
  <c r="H23" i="47" s="1"/>
  <c r="I23" i="47" s="1"/>
  <c r="H23" i="210"/>
  <c r="I23" i="210" s="1"/>
  <c r="F16" i="216"/>
  <c r="G16" i="216" s="1"/>
  <c r="F16" i="218"/>
  <c r="G16" i="218" s="1"/>
  <c r="F16" i="219"/>
  <c r="G16" i="219" s="1"/>
  <c r="D30" i="201"/>
  <c r="D35" i="201" s="1"/>
  <c r="D29" i="201"/>
  <c r="D34" i="201" s="1"/>
  <c r="D47" i="201"/>
  <c r="D50" i="201" s="1"/>
  <c r="D42" i="201"/>
  <c r="D45" i="201" s="1"/>
  <c r="D22" i="65"/>
  <c r="D24" i="65" s="1"/>
  <c r="C19" i="47"/>
  <c r="D19" i="47" s="1"/>
  <c r="C19" i="180"/>
  <c r="D19" i="180" s="1"/>
  <c r="C19" i="46"/>
  <c r="D19" i="46" s="1"/>
  <c r="C19" i="4"/>
  <c r="D19" i="4" s="1"/>
  <c r="D30" i="61"/>
  <c r="D35" i="61" s="1"/>
  <c r="D29" i="61"/>
  <c r="D34" i="61" s="1"/>
  <c r="D42" i="61"/>
  <c r="D45" i="61" s="1"/>
  <c r="D47" i="61"/>
  <c r="D50" i="61" s="1"/>
  <c r="D25" i="184"/>
  <c r="D34" i="78"/>
  <c r="D37" i="78" s="1"/>
  <c r="D27" i="78"/>
  <c r="D30" i="212"/>
  <c r="D35" i="212" s="1"/>
  <c r="D29" i="212"/>
  <c r="D34" i="212" s="1"/>
  <c r="D47" i="212"/>
  <c r="D50" i="212" s="1"/>
  <c r="D42" i="212"/>
  <c r="D45" i="212" s="1"/>
  <c r="D34" i="171"/>
  <c r="D37" i="171" s="1"/>
  <c r="D27" i="171"/>
  <c r="D51" i="56"/>
  <c r="E17" i="7" s="1"/>
  <c r="D34" i="73"/>
  <c r="D37" i="73" s="1"/>
  <c r="D27" i="73"/>
  <c r="H23" i="211"/>
  <c r="I23" i="211" s="1"/>
  <c r="D51" i="48"/>
  <c r="E6" i="7" s="1"/>
  <c r="D22" i="25"/>
  <c r="D24" i="25" s="1"/>
  <c r="D29" i="200"/>
  <c r="D34" i="200" s="1"/>
  <c r="D30" i="200"/>
  <c r="D35" i="200" s="1"/>
  <c r="D47" i="200"/>
  <c r="D50" i="200" s="1"/>
  <c r="D42" i="200"/>
  <c r="D45" i="200" s="1"/>
  <c r="F20" i="216"/>
  <c r="G20" i="216" s="1"/>
  <c r="F20" i="218"/>
  <c r="G20" i="218" s="1"/>
  <c r="D29" i="62"/>
  <c r="D34" i="62" s="1"/>
  <c r="D30" i="62"/>
  <c r="D35" i="62" s="1"/>
  <c r="D47" i="62"/>
  <c r="D50" i="62" s="1"/>
  <c r="D42" i="62"/>
  <c r="D45" i="62" s="1"/>
  <c r="D46" i="49"/>
  <c r="D51" i="182"/>
  <c r="E8" i="7" s="1"/>
  <c r="D25" i="58"/>
  <c r="D27" i="76"/>
  <c r="D34" i="76"/>
  <c r="D37" i="76" s="1"/>
  <c r="F19" i="210"/>
  <c r="G19" i="210" s="1"/>
  <c r="F19" i="211"/>
  <c r="G19" i="211" s="1"/>
  <c r="F19" i="208"/>
  <c r="G19" i="208" s="1"/>
  <c r="F19" i="209"/>
  <c r="G19" i="209" s="1"/>
  <c r="D34" i="170"/>
  <c r="D37" i="170" s="1"/>
  <c r="D27" i="170"/>
  <c r="H23" i="209"/>
  <c r="I23" i="209" s="1"/>
  <c r="D39" i="70"/>
  <c r="E40" i="7" s="1"/>
  <c r="D22" i="64"/>
  <c r="D24" i="64" s="1"/>
  <c r="D29" i="202"/>
  <c r="D34" i="202" s="1"/>
  <c r="D30" i="202"/>
  <c r="D35" i="202" s="1"/>
  <c r="D42" i="202"/>
  <c r="D45" i="202" s="1"/>
  <c r="D47" i="202"/>
  <c r="D50" i="202" s="1"/>
  <c r="D49" i="49"/>
  <c r="D35" i="75"/>
  <c r="D36" i="75" s="1"/>
  <c r="D29" i="213"/>
  <c r="D34" i="213" s="1"/>
  <c r="D30" i="213"/>
  <c r="D35" i="213" s="1"/>
  <c r="D47" i="213"/>
  <c r="D50" i="213" s="1"/>
  <c r="D42" i="213"/>
  <c r="D45" i="213" s="1"/>
  <c r="D22" i="67"/>
  <c r="D24" i="67" s="1"/>
  <c r="D29" i="183"/>
  <c r="D34" i="183" s="1"/>
  <c r="D30" i="183"/>
  <c r="D35" i="183" s="1"/>
  <c r="D42" i="183"/>
  <c r="D45" i="183" s="1"/>
  <c r="D47" i="183"/>
  <c r="D50" i="183" s="1"/>
  <c r="D29" i="214"/>
  <c r="D34" i="214" s="1"/>
  <c r="D30" i="214"/>
  <c r="D35" i="214" s="1"/>
  <c r="D47" i="214"/>
  <c r="D50" i="214" s="1"/>
  <c r="D42" i="214"/>
  <c r="D45" i="214" s="1"/>
  <c r="D25" i="59"/>
  <c r="D27" i="172"/>
  <c r="D34" i="172"/>
  <c r="D37" i="172" s="1"/>
  <c r="D39" i="175"/>
  <c r="E39" i="7" s="1"/>
  <c r="D51" i="168"/>
  <c r="E16" i="7" s="1"/>
  <c r="D25" i="4" l="1"/>
  <c r="D47" i="4" s="1"/>
  <c r="D50" i="4" s="1"/>
  <c r="D25" i="180"/>
  <c r="D42" i="180" s="1"/>
  <c r="D45" i="180" s="1"/>
  <c r="D25" i="47"/>
  <c r="D47" i="47" s="1"/>
  <c r="D50" i="47" s="1"/>
  <c r="D25" i="46"/>
  <c r="D29" i="46" s="1"/>
  <c r="D34" i="46" s="1"/>
  <c r="D38" i="75"/>
  <c r="E31" i="7" s="1"/>
  <c r="D42" i="52"/>
  <c r="D45" i="52" s="1"/>
  <c r="D30" i="52"/>
  <c r="D35" i="52" s="1"/>
  <c r="D29" i="52"/>
  <c r="D34" i="52" s="1"/>
  <c r="D47" i="52"/>
  <c r="D50" i="52" s="1"/>
  <c r="D29" i="59"/>
  <c r="D34" i="59" s="1"/>
  <c r="D30" i="59"/>
  <c r="D35" i="59" s="1"/>
  <c r="D47" i="59"/>
  <c r="D50" i="59" s="1"/>
  <c r="D42" i="59"/>
  <c r="D45" i="59" s="1"/>
  <c r="H19" i="211"/>
  <c r="I19" i="211" s="1"/>
  <c r="G25" i="211"/>
  <c r="D30" i="58"/>
  <c r="D35" i="58" s="1"/>
  <c r="D29" i="58"/>
  <c r="D34" i="58" s="1"/>
  <c r="D47" i="58"/>
  <c r="D50" i="58" s="1"/>
  <c r="D42" i="58"/>
  <c r="D45" i="58" s="1"/>
  <c r="D43" i="62"/>
  <c r="D43" i="200"/>
  <c r="D35" i="25"/>
  <c r="D38" i="25" s="1"/>
  <c r="D28" i="25"/>
  <c r="D35" i="73"/>
  <c r="D48" i="212"/>
  <c r="D49" i="212" s="1"/>
  <c r="D28" i="65"/>
  <c r="D35" i="65"/>
  <c r="D38" i="65" s="1"/>
  <c r="D48" i="201"/>
  <c r="D49" i="201" s="1"/>
  <c r="Q3" i="3"/>
  <c r="D28" i="169"/>
  <c r="D35" i="169"/>
  <c r="D38" i="169" s="1"/>
  <c r="D48" i="204"/>
  <c r="D43" i="206"/>
  <c r="D44" i="206" s="1"/>
  <c r="D43" i="207"/>
  <c r="D43" i="214"/>
  <c r="D48" i="183"/>
  <c r="D49" i="183" s="1"/>
  <c r="D35" i="67"/>
  <c r="D38" i="67" s="1"/>
  <c r="D28" i="67"/>
  <c r="D43" i="213"/>
  <c r="D44" i="213" s="1"/>
  <c r="H19" i="210"/>
  <c r="I19" i="210" s="1"/>
  <c r="G25" i="210"/>
  <c r="D35" i="76"/>
  <c r="D36" i="76" s="1"/>
  <c r="D48" i="62"/>
  <c r="D49" i="62" s="1"/>
  <c r="G23" i="218"/>
  <c r="H20" i="218"/>
  <c r="I20" i="218" s="1"/>
  <c r="D48" i="200"/>
  <c r="D49" i="200" s="1"/>
  <c r="D48" i="61"/>
  <c r="D49" i="61" s="1"/>
  <c r="G23" i="219"/>
  <c r="H16" i="219"/>
  <c r="I16" i="219" s="1"/>
  <c r="D43" i="60"/>
  <c r="D44" i="60" s="1"/>
  <c r="D28" i="174"/>
  <c r="D35" i="174"/>
  <c r="D38" i="174" s="1"/>
  <c r="D48" i="215"/>
  <c r="D49" i="215" s="1"/>
  <c r="D48" i="207"/>
  <c r="D49" i="207" s="1"/>
  <c r="D48" i="214"/>
  <c r="D49" i="214" s="1"/>
  <c r="D43" i="183"/>
  <c r="D44" i="183" s="1"/>
  <c r="D48" i="213"/>
  <c r="D49" i="213" s="1"/>
  <c r="D48" i="202"/>
  <c r="D49" i="202" s="1"/>
  <c r="D35" i="64"/>
  <c r="D38" i="64" s="1"/>
  <c r="D28" i="64"/>
  <c r="H19" i="209"/>
  <c r="I19" i="209" s="1"/>
  <c r="G25" i="209"/>
  <c r="H20" i="216"/>
  <c r="I20" i="216" s="1"/>
  <c r="D42" i="51"/>
  <c r="D45" i="51" s="1"/>
  <c r="D47" i="51"/>
  <c r="D50" i="51" s="1"/>
  <c r="D29" i="51"/>
  <c r="D34" i="51" s="1"/>
  <c r="D30" i="51"/>
  <c r="D35" i="51" s="1"/>
  <c r="D35" i="171"/>
  <c r="D36" i="171" s="1"/>
  <c r="D35" i="78"/>
  <c r="D29" i="184"/>
  <c r="D34" i="184" s="1"/>
  <c r="D30" i="184"/>
  <c r="D35" i="184" s="1"/>
  <c r="D47" i="184"/>
  <c r="D50" i="184" s="1"/>
  <c r="D42" i="184"/>
  <c r="D45" i="184" s="1"/>
  <c r="D43" i="61"/>
  <c r="D44" i="61" s="1"/>
  <c r="D30" i="53"/>
  <c r="D35" i="53" s="1"/>
  <c r="D29" i="53"/>
  <c r="D34" i="53" s="1"/>
  <c r="D42" i="53"/>
  <c r="D45" i="53" s="1"/>
  <c r="D47" i="53"/>
  <c r="D50" i="53" s="1"/>
  <c r="H16" i="218"/>
  <c r="I16" i="218" s="1"/>
  <c r="D35" i="72"/>
  <c r="D48" i="60"/>
  <c r="D49" i="60" s="1"/>
  <c r="D43" i="203"/>
  <c r="D44" i="203" s="1"/>
  <c r="D43" i="215"/>
  <c r="D44" i="215" s="1"/>
  <c r="D48" i="205"/>
  <c r="D49" i="205" s="1"/>
  <c r="D35" i="172"/>
  <c r="D36" i="172" s="1"/>
  <c r="D43" i="202"/>
  <c r="D29" i="181"/>
  <c r="D34" i="181" s="1"/>
  <c r="D47" i="181"/>
  <c r="D50" i="181" s="1"/>
  <c r="D42" i="181"/>
  <c r="D45" i="181" s="1"/>
  <c r="D30" i="181"/>
  <c r="D35" i="181" s="1"/>
  <c r="D35" i="170"/>
  <c r="D36" i="170" s="1"/>
  <c r="G25" i="208"/>
  <c r="H19" i="208"/>
  <c r="I19" i="208" s="1"/>
  <c r="D46" i="104"/>
  <c r="D43" i="212"/>
  <c r="D44" i="212" s="1"/>
  <c r="D43" i="201"/>
  <c r="D44" i="201" s="1"/>
  <c r="H16" i="216"/>
  <c r="I16" i="216" s="1"/>
  <c r="G23" i="216"/>
  <c r="D30" i="57"/>
  <c r="D35" i="57" s="1"/>
  <c r="D29" i="57"/>
  <c r="D34" i="57" s="1"/>
  <c r="D47" i="57"/>
  <c r="D50" i="57" s="1"/>
  <c r="D42" i="57"/>
  <c r="D45" i="57" s="1"/>
  <c r="D48" i="203"/>
  <c r="D35" i="5"/>
  <c r="D36" i="5" s="1"/>
  <c r="D43" i="205"/>
  <c r="D43" i="204"/>
  <c r="D44" i="204" s="1"/>
  <c r="D48" i="206"/>
  <c r="D49" i="206" s="1"/>
  <c r="D47" i="180" l="1"/>
  <c r="D50" i="180" s="1"/>
  <c r="D29" i="4"/>
  <c r="D34" i="4" s="1"/>
  <c r="D42" i="4"/>
  <c r="D30" i="4"/>
  <c r="D35" i="4" s="1"/>
  <c r="D30" i="180"/>
  <c r="D35" i="180" s="1"/>
  <c r="D30" i="46"/>
  <c r="D35" i="46" s="1"/>
  <c r="D42" i="47"/>
  <c r="D45" i="47" s="1"/>
  <c r="D29" i="180"/>
  <c r="D34" i="180" s="1"/>
  <c r="D42" i="46"/>
  <c r="D45" i="46" s="1"/>
  <c r="D29" i="47"/>
  <c r="D34" i="47" s="1"/>
  <c r="D30" i="47"/>
  <c r="D35" i="47" s="1"/>
  <c r="D47" i="46"/>
  <c r="D51" i="205"/>
  <c r="E59" i="7" s="1"/>
  <c r="D51" i="212"/>
  <c r="E62" i="7" s="1"/>
  <c r="D46" i="183"/>
  <c r="D38" i="76"/>
  <c r="E41" i="7" s="1"/>
  <c r="D46" i="201"/>
  <c r="D51" i="60"/>
  <c r="E22" i="7" s="1"/>
  <c r="D51" i="214"/>
  <c r="E64" i="7" s="1"/>
  <c r="D51" i="62"/>
  <c r="E25" i="7" s="1"/>
  <c r="D51" i="201"/>
  <c r="E48" i="7" s="1"/>
  <c r="D38" i="172"/>
  <c r="E42" i="7" s="1"/>
  <c r="D51" i="213"/>
  <c r="E63" i="7" s="1"/>
  <c r="D51" i="200"/>
  <c r="E47" i="7" s="1"/>
  <c r="D38" i="5"/>
  <c r="E26" i="7" s="1"/>
  <c r="D38" i="170"/>
  <c r="E30" i="7" s="1"/>
  <c r="D48" i="57"/>
  <c r="D49" i="57" s="1"/>
  <c r="D48" i="47"/>
  <c r="H25" i="208"/>
  <c r="G30" i="208"/>
  <c r="G47" i="208"/>
  <c r="G50" i="208" s="1"/>
  <c r="G29" i="208"/>
  <c r="G42" i="208"/>
  <c r="G45" i="208" s="1"/>
  <c r="D43" i="181"/>
  <c r="D44" i="181" s="1"/>
  <c r="D48" i="184"/>
  <c r="D49" i="184" s="1"/>
  <c r="D36" i="64"/>
  <c r="H23" i="219"/>
  <c r="G27" i="219"/>
  <c r="G34" i="219"/>
  <c r="G37" i="219" s="1"/>
  <c r="D36" i="67"/>
  <c r="D37" i="67" s="1"/>
  <c r="D48" i="52"/>
  <c r="D49" i="52" s="1"/>
  <c r="D51" i="202"/>
  <c r="E49" i="7" s="1"/>
  <c r="D46" i="60"/>
  <c r="H23" i="218"/>
  <c r="G34" i="218"/>
  <c r="G37" i="218" s="1"/>
  <c r="G27" i="218"/>
  <c r="D51" i="183"/>
  <c r="E24" i="7" s="1"/>
  <c r="D46" i="206"/>
  <c r="F19" i="4"/>
  <c r="G19" i="4" s="1"/>
  <c r="F19" i="46"/>
  <c r="G19" i="46" s="1"/>
  <c r="F19" i="180"/>
  <c r="G19" i="180" s="1"/>
  <c r="F19" i="47"/>
  <c r="G19" i="47" s="1"/>
  <c r="D43" i="58"/>
  <c r="D44" i="58" s="1"/>
  <c r="H25" i="211"/>
  <c r="G30" i="211"/>
  <c r="G29" i="211"/>
  <c r="G42" i="211"/>
  <c r="G45" i="211" s="1"/>
  <c r="G47" i="211"/>
  <c r="G50" i="211" s="1"/>
  <c r="D48" i="181"/>
  <c r="D48" i="53"/>
  <c r="D51" i="206"/>
  <c r="E60" i="7" s="1"/>
  <c r="D49" i="203"/>
  <c r="D43" i="53"/>
  <c r="D44" i="53" s="1"/>
  <c r="D43" i="180"/>
  <c r="D48" i="51"/>
  <c r="D49" i="51" s="1"/>
  <c r="D51" i="207"/>
  <c r="E61" i="7" s="1"/>
  <c r="D36" i="169"/>
  <c r="D37" i="169" s="1"/>
  <c r="D48" i="4"/>
  <c r="D36" i="25"/>
  <c r="D37" i="25" s="1"/>
  <c r="D48" i="58"/>
  <c r="D49" i="58" s="1"/>
  <c r="D43" i="59"/>
  <c r="D44" i="59" s="1"/>
  <c r="D46" i="204"/>
  <c r="D46" i="212"/>
  <c r="D46" i="203"/>
  <c r="D44" i="205"/>
  <c r="D43" i="57"/>
  <c r="D44" i="57" s="1"/>
  <c r="H23" i="216"/>
  <c r="G34" i="216"/>
  <c r="G37" i="216" s="1"/>
  <c r="G27" i="216"/>
  <c r="D44" i="202"/>
  <c r="D51" i="49"/>
  <c r="E7" i="7" s="1"/>
  <c r="D36" i="72"/>
  <c r="D48" i="180"/>
  <c r="D49" i="180" s="1"/>
  <c r="D43" i="184"/>
  <c r="D44" i="184" s="1"/>
  <c r="D36" i="78"/>
  <c r="D43" i="51"/>
  <c r="D44" i="51" s="1"/>
  <c r="G29" i="209"/>
  <c r="G30" i="209"/>
  <c r="G42" i="209"/>
  <c r="G45" i="209" s="1"/>
  <c r="H25" i="209"/>
  <c r="G47" i="209"/>
  <c r="G50" i="209" s="1"/>
  <c r="D36" i="174"/>
  <c r="D37" i="174" s="1"/>
  <c r="H25" i="210"/>
  <c r="G42" i="210"/>
  <c r="G45" i="210" s="1"/>
  <c r="G47" i="210"/>
  <c r="G50" i="210" s="1"/>
  <c r="G30" i="210"/>
  <c r="G29" i="210"/>
  <c r="D44" i="214"/>
  <c r="D44" i="207"/>
  <c r="D49" i="204"/>
  <c r="D36" i="65"/>
  <c r="D37" i="65" s="1"/>
  <c r="D36" i="73"/>
  <c r="D44" i="200"/>
  <c r="D44" i="62"/>
  <c r="D48" i="59"/>
  <c r="D49" i="59" s="1"/>
  <c r="D43" i="52"/>
  <c r="D44" i="52" s="1"/>
  <c r="D43" i="46" l="1"/>
  <c r="D44" i="46" s="1"/>
  <c r="D48" i="46"/>
  <c r="D49" i="46" s="1"/>
  <c r="D50" i="46"/>
  <c r="D43" i="4"/>
  <c r="D44" i="4" s="1"/>
  <c r="D45" i="4"/>
  <c r="D43" i="47"/>
  <c r="D44" i="47" s="1"/>
  <c r="D46" i="47" s="1"/>
  <c r="D51" i="52"/>
  <c r="E11" i="7" s="1"/>
  <c r="D51" i="184"/>
  <c r="E20" i="7" s="1"/>
  <c r="D39" i="65"/>
  <c r="E35" i="7" s="1"/>
  <c r="D46" i="51"/>
  <c r="D46" i="57"/>
  <c r="D39" i="25"/>
  <c r="E32" i="7" s="1"/>
  <c r="D39" i="169"/>
  <c r="E33" i="7" s="1"/>
  <c r="D51" i="51"/>
  <c r="E10" i="7" s="1"/>
  <c r="D51" i="57"/>
  <c r="E18" i="7" s="1"/>
  <c r="D51" i="58"/>
  <c r="E19" i="7" s="1"/>
  <c r="G48" i="210"/>
  <c r="G49" i="210" s="1"/>
  <c r="H47" i="210"/>
  <c r="I47" i="210" s="1"/>
  <c r="D39" i="174"/>
  <c r="E36" i="7" s="1"/>
  <c r="G43" i="209"/>
  <c r="G44" i="209" s="1"/>
  <c r="H42" i="209"/>
  <c r="I42" i="209" s="1"/>
  <c r="D38" i="72"/>
  <c r="E28" i="7" s="1"/>
  <c r="H27" i="216"/>
  <c r="I27" i="216" s="1"/>
  <c r="G34" i="211"/>
  <c r="H29" i="211"/>
  <c r="I29" i="211" s="1"/>
  <c r="D46" i="4"/>
  <c r="G25" i="4"/>
  <c r="H19" i="4"/>
  <c r="I19" i="4" s="1"/>
  <c r="G35" i="218"/>
  <c r="G36" i="218" s="1"/>
  <c r="H34" i="218"/>
  <c r="I34" i="218" s="1"/>
  <c r="D46" i="181"/>
  <c r="G43" i="208"/>
  <c r="G44" i="208" s="1"/>
  <c r="H42" i="208"/>
  <c r="I42" i="208" s="1"/>
  <c r="I25" i="208"/>
  <c r="G51" i="7" s="1"/>
  <c r="F51" i="7"/>
  <c r="D46" i="52"/>
  <c r="D51" i="59"/>
  <c r="E21" i="7" s="1"/>
  <c r="D46" i="62"/>
  <c r="D51" i="204"/>
  <c r="E58" i="7" s="1"/>
  <c r="G43" i="210"/>
  <c r="G44" i="210" s="1"/>
  <c r="H42" i="210"/>
  <c r="I42" i="210" s="1"/>
  <c r="H30" i="209"/>
  <c r="I30" i="209" s="1"/>
  <c r="G35" i="209"/>
  <c r="G35" i="216"/>
  <c r="G36" i="216" s="1"/>
  <c r="H34" i="216"/>
  <c r="I34" i="216" s="1"/>
  <c r="D46" i="46"/>
  <c r="D44" i="180"/>
  <c r="D51" i="203"/>
  <c r="E50" i="7" s="1"/>
  <c r="D46" i="215"/>
  <c r="G35" i="211"/>
  <c r="H30" i="211"/>
  <c r="I30" i="211" s="1"/>
  <c r="G25" i="47"/>
  <c r="H19" i="47"/>
  <c r="I19" i="47" s="1"/>
  <c r="I23" i="218"/>
  <c r="G56" i="7" s="1"/>
  <c r="F56" i="7"/>
  <c r="D39" i="67"/>
  <c r="E37" i="7" s="1"/>
  <c r="G35" i="219"/>
  <c r="H34" i="219"/>
  <c r="I34" i="219" s="1"/>
  <c r="G34" i="208"/>
  <c r="H29" i="208"/>
  <c r="I29" i="208" s="1"/>
  <c r="D49" i="47"/>
  <c r="D51" i="215"/>
  <c r="E65" i="7" s="1"/>
  <c r="D38" i="171"/>
  <c r="E27" i="7" s="1"/>
  <c r="D46" i="200"/>
  <c r="H29" i="210"/>
  <c r="I29" i="210" s="1"/>
  <c r="G34" i="210"/>
  <c r="I25" i="210"/>
  <c r="G53" i="7" s="1"/>
  <c r="F53" i="7"/>
  <c r="G48" i="209"/>
  <c r="G49" i="209" s="1"/>
  <c r="H47" i="209"/>
  <c r="I47" i="209" s="1"/>
  <c r="H29" i="209"/>
  <c r="I29" i="209" s="1"/>
  <c r="G34" i="209"/>
  <c r="D38" i="78"/>
  <c r="E43" i="7" s="1"/>
  <c r="F55" i="7"/>
  <c r="I23" i="216"/>
  <c r="G55" i="7" s="1"/>
  <c r="D46" i="53"/>
  <c r="D49" i="181"/>
  <c r="G48" i="211"/>
  <c r="G49" i="211" s="1"/>
  <c r="H47" i="211"/>
  <c r="I47" i="211" s="1"/>
  <c r="F54" i="7"/>
  <c r="I25" i="211"/>
  <c r="G54" i="7" s="1"/>
  <c r="G25" i="180"/>
  <c r="H19" i="180"/>
  <c r="I19" i="180" s="1"/>
  <c r="H27" i="219"/>
  <c r="I27" i="219" s="1"/>
  <c r="G48" i="208"/>
  <c r="G49" i="208" s="1"/>
  <c r="H47" i="208"/>
  <c r="I47" i="208" s="1"/>
  <c r="D38" i="73"/>
  <c r="E29" i="7" s="1"/>
  <c r="D46" i="214"/>
  <c r="H30" i="210"/>
  <c r="I30" i="210" s="1"/>
  <c r="G35" i="210"/>
  <c r="D51" i="61"/>
  <c r="E23" i="7" s="1"/>
  <c r="F52" i="7"/>
  <c r="I25" i="209"/>
  <c r="G52" i="7" s="1"/>
  <c r="D46" i="184"/>
  <c r="D46" i="205"/>
  <c r="D49" i="4"/>
  <c r="D49" i="53"/>
  <c r="G43" i="211"/>
  <c r="H42" i="211"/>
  <c r="I42" i="211" s="1"/>
  <c r="D46" i="58"/>
  <c r="G25" i="46"/>
  <c r="H19" i="46"/>
  <c r="I19" i="46" s="1"/>
  <c r="H27" i="218"/>
  <c r="I27" i="218" s="1"/>
  <c r="I23" i="219"/>
  <c r="G57" i="7" s="1"/>
  <c r="F57" i="7"/>
  <c r="D37" i="64"/>
  <c r="G35" i="208"/>
  <c r="H30" i="208"/>
  <c r="I30" i="208" s="1"/>
  <c r="D46" i="61"/>
  <c r="D46" i="213"/>
  <c r="G51" i="211" l="1"/>
  <c r="H49" i="211"/>
  <c r="I49" i="211" s="1"/>
  <c r="H49" i="210"/>
  <c r="I49" i="210" s="1"/>
  <c r="H49" i="209"/>
  <c r="I49" i="209" s="1"/>
  <c r="H37" i="218"/>
  <c r="I37" i="218" s="1"/>
  <c r="H36" i="218"/>
  <c r="I36" i="218" s="1"/>
  <c r="H37" i="216"/>
  <c r="I37" i="216" s="1"/>
  <c r="H36" i="216"/>
  <c r="I36" i="216" s="1"/>
  <c r="H44" i="210"/>
  <c r="I44" i="210" s="1"/>
  <c r="D51" i="4"/>
  <c r="E2" i="7" s="1"/>
  <c r="H49" i="208"/>
  <c r="I49" i="208" s="1"/>
  <c r="H34" i="208"/>
  <c r="I34" i="208" s="1"/>
  <c r="H25" i="47"/>
  <c r="G29" i="47"/>
  <c r="G47" i="47"/>
  <c r="G50" i="47" s="1"/>
  <c r="G42" i="47"/>
  <c r="G45" i="47" s="1"/>
  <c r="G30" i="47"/>
  <c r="H43" i="208"/>
  <c r="I43" i="208" s="1"/>
  <c r="H43" i="209"/>
  <c r="I43" i="209" s="1"/>
  <c r="H35" i="208"/>
  <c r="I35" i="208" s="1"/>
  <c r="G44" i="211"/>
  <c r="H43" i="211"/>
  <c r="I43" i="211" s="1"/>
  <c r="H48" i="208"/>
  <c r="I48" i="208" s="1"/>
  <c r="G29" i="180"/>
  <c r="G30" i="180"/>
  <c r="G42" i="180"/>
  <c r="G45" i="180" s="1"/>
  <c r="G47" i="180"/>
  <c r="G50" i="180" s="1"/>
  <c r="H25" i="180"/>
  <c r="H34" i="209"/>
  <c r="I34" i="209" s="1"/>
  <c r="D46" i="207"/>
  <c r="H35" i="211"/>
  <c r="I35" i="211" s="1"/>
  <c r="D46" i="180"/>
  <c r="H35" i="216"/>
  <c r="I35" i="216" s="1"/>
  <c r="H35" i="209"/>
  <c r="I35" i="209" s="1"/>
  <c r="H35" i="218"/>
  <c r="I35" i="218" s="1"/>
  <c r="S21" i="3"/>
  <c r="H25" i="4"/>
  <c r="G47" i="4"/>
  <c r="G50" i="4" s="1"/>
  <c r="G30" i="4"/>
  <c r="G29" i="4"/>
  <c r="G42" i="4"/>
  <c r="G45" i="4" s="1"/>
  <c r="D39" i="64"/>
  <c r="E34" i="7" s="1"/>
  <c r="G42" i="46"/>
  <c r="G45" i="46" s="1"/>
  <c r="G47" i="46"/>
  <c r="G50" i="46" s="1"/>
  <c r="G30" i="46"/>
  <c r="H25" i="46"/>
  <c r="G29" i="46"/>
  <c r="D51" i="46"/>
  <c r="E3" i="7" s="1"/>
  <c r="H35" i="210"/>
  <c r="I35" i="210" s="1"/>
  <c r="H48" i="211"/>
  <c r="I48" i="211" s="1"/>
  <c r="D51" i="181"/>
  <c r="E12" i="7" s="1"/>
  <c r="H48" i="209"/>
  <c r="I48" i="209" s="1"/>
  <c r="H34" i="210"/>
  <c r="I34" i="210" s="1"/>
  <c r="G36" i="219"/>
  <c r="H35" i="219"/>
  <c r="I35" i="219" s="1"/>
  <c r="H43" i="210"/>
  <c r="I43" i="210" s="1"/>
  <c r="H34" i="211"/>
  <c r="I34" i="211" s="1"/>
  <c r="D51" i="53"/>
  <c r="E13" i="7" s="1"/>
  <c r="D46" i="59"/>
  <c r="D46" i="202"/>
  <c r="D51" i="180"/>
  <c r="E4" i="7" s="1"/>
  <c r="H44" i="208"/>
  <c r="I44" i="208" s="1"/>
  <c r="H44" i="209"/>
  <c r="I44" i="209" s="1"/>
  <c r="H48" i="210"/>
  <c r="I48" i="210" s="1"/>
  <c r="K49" i="211" l="1"/>
  <c r="K48" i="211"/>
  <c r="K34" i="211"/>
  <c r="K35" i="211"/>
  <c r="S16" i="3"/>
  <c r="G46" i="208"/>
  <c r="J45" i="208" s="1"/>
  <c r="H45" i="208"/>
  <c r="I45" i="208" s="1"/>
  <c r="S12" i="3"/>
  <c r="S20" i="3"/>
  <c r="H36" i="219"/>
  <c r="I36" i="219" s="1"/>
  <c r="G48" i="46"/>
  <c r="H47" i="46"/>
  <c r="I47" i="46" s="1"/>
  <c r="G43" i="4"/>
  <c r="H42" i="4"/>
  <c r="I42" i="4" s="1"/>
  <c r="F2" i="7"/>
  <c r="I25" i="4"/>
  <c r="G2" i="7" s="1"/>
  <c r="F20" i="222"/>
  <c r="G20" i="222" s="1"/>
  <c r="F20" i="220"/>
  <c r="G20" i="220" s="1"/>
  <c r="G48" i="180"/>
  <c r="H47" i="180"/>
  <c r="I47" i="180" s="1"/>
  <c r="S19" i="3"/>
  <c r="G43" i="47"/>
  <c r="G44" i="47" s="1"/>
  <c r="H42" i="47"/>
  <c r="I42" i="47" s="1"/>
  <c r="Q10" i="3"/>
  <c r="H50" i="209"/>
  <c r="I50" i="209" s="1"/>
  <c r="S7" i="3"/>
  <c r="Q16" i="3"/>
  <c r="Q12" i="3"/>
  <c r="Q20" i="3"/>
  <c r="G34" i="46"/>
  <c r="H29" i="46"/>
  <c r="I29" i="46" s="1"/>
  <c r="G43" i="46"/>
  <c r="H42" i="46"/>
  <c r="I42" i="46" s="1"/>
  <c r="G34" i="4"/>
  <c r="H29" i="4"/>
  <c r="I29" i="4" s="1"/>
  <c r="Q21" i="3"/>
  <c r="D51" i="47"/>
  <c r="E5" i="7" s="1"/>
  <c r="G43" i="180"/>
  <c r="G44" i="180" s="1"/>
  <c r="H42" i="180"/>
  <c r="I42" i="180" s="1"/>
  <c r="Q13" i="3"/>
  <c r="Q8" i="3"/>
  <c r="G46" i="211"/>
  <c r="H44" i="211"/>
  <c r="I44" i="211" s="1"/>
  <c r="S9" i="3"/>
  <c r="Q11" i="3"/>
  <c r="G48" i="47"/>
  <c r="G49" i="47" s="1"/>
  <c r="H47" i="47"/>
  <c r="I47" i="47" s="1"/>
  <c r="G46" i="210"/>
  <c r="J45" i="210" s="1"/>
  <c r="H45" i="210"/>
  <c r="I45" i="210" s="1"/>
  <c r="G51" i="210"/>
  <c r="K50" i="210" s="1"/>
  <c r="H50" i="210"/>
  <c r="I50" i="210" s="1"/>
  <c r="K17" i="211"/>
  <c r="K37" i="211"/>
  <c r="K39" i="211"/>
  <c r="K38" i="211"/>
  <c r="K41" i="211"/>
  <c r="K22" i="211"/>
  <c r="K28" i="211"/>
  <c r="K20" i="211"/>
  <c r="K18" i="211"/>
  <c r="K31" i="211"/>
  <c r="K15" i="211"/>
  <c r="K32" i="211"/>
  <c r="K26" i="211"/>
  <c r="K24" i="211"/>
  <c r="K33" i="211"/>
  <c r="K21" i="211"/>
  <c r="K16" i="211"/>
  <c r="K51" i="211"/>
  <c r="K36" i="211"/>
  <c r="K40" i="211"/>
  <c r="K27" i="211"/>
  <c r="H51" i="211"/>
  <c r="K23" i="211"/>
  <c r="K19" i="211"/>
  <c r="K25" i="211"/>
  <c r="K29" i="211"/>
  <c r="K30" i="211"/>
  <c r="K47" i="211"/>
  <c r="I25" i="46"/>
  <c r="G3" i="7" s="1"/>
  <c r="F3" i="7"/>
  <c r="G35" i="4"/>
  <c r="H30" i="4"/>
  <c r="I30" i="4" s="1"/>
  <c r="H30" i="180"/>
  <c r="I30" i="180" s="1"/>
  <c r="G35" i="180"/>
  <c r="Q19" i="3"/>
  <c r="G34" i="47"/>
  <c r="H29" i="47"/>
  <c r="I29" i="47" s="1"/>
  <c r="G38" i="216"/>
  <c r="K50" i="211"/>
  <c r="H50" i="211"/>
  <c r="I50" i="211" s="1"/>
  <c r="G46" i="209"/>
  <c r="J45" i="209" s="1"/>
  <c r="H45" i="209"/>
  <c r="I45" i="209" s="1"/>
  <c r="Q7" i="3"/>
  <c r="S14" i="3"/>
  <c r="G35" i="46"/>
  <c r="H30" i="46"/>
  <c r="I30" i="46" s="1"/>
  <c r="G48" i="4"/>
  <c r="H47" i="4"/>
  <c r="I47" i="4" s="1"/>
  <c r="I25" i="180"/>
  <c r="G4" i="7" s="1"/>
  <c r="F4" i="7"/>
  <c r="G34" i="180"/>
  <c r="H29" i="180"/>
  <c r="I29" i="180" s="1"/>
  <c r="Q9" i="3"/>
  <c r="G35" i="47"/>
  <c r="H30" i="47"/>
  <c r="I30" i="47" s="1"/>
  <c r="I25" i="47"/>
  <c r="G5" i="7" s="1"/>
  <c r="F5" i="7"/>
  <c r="G51" i="208"/>
  <c r="K50" i="208" s="1"/>
  <c r="H50" i="208"/>
  <c r="I50" i="208" s="1"/>
  <c r="G38" i="218"/>
  <c r="G51" i="209"/>
  <c r="K50" i="209" s="1"/>
  <c r="G46" i="180" l="1"/>
  <c r="J44" i="180" s="1"/>
  <c r="H44" i="180"/>
  <c r="I44" i="180" s="1"/>
  <c r="J28" i="211"/>
  <c r="J33" i="211"/>
  <c r="J37" i="211"/>
  <c r="J27" i="211"/>
  <c r="J32" i="211"/>
  <c r="J40" i="211"/>
  <c r="J20" i="211"/>
  <c r="J21" i="211"/>
  <c r="J36" i="211"/>
  <c r="J24" i="211"/>
  <c r="J26" i="211"/>
  <c r="J46" i="211"/>
  <c r="J14" i="211"/>
  <c r="J12" i="211"/>
  <c r="J31" i="211"/>
  <c r="J13" i="211"/>
  <c r="J18" i="211"/>
  <c r="J39" i="211"/>
  <c r="J41" i="211"/>
  <c r="J38" i="211"/>
  <c r="J22" i="211"/>
  <c r="H46" i="211"/>
  <c r="I46" i="211" s="1"/>
  <c r="J23" i="211"/>
  <c r="J19" i="211"/>
  <c r="J25" i="211"/>
  <c r="J30" i="211"/>
  <c r="J29" i="211"/>
  <c r="J42" i="211"/>
  <c r="J34" i="211"/>
  <c r="J43" i="211"/>
  <c r="J35" i="211"/>
  <c r="J44" i="211"/>
  <c r="F15" i="25"/>
  <c r="G15" i="25" s="1"/>
  <c r="F15" i="169"/>
  <c r="G15" i="169" s="1"/>
  <c r="F15" i="64"/>
  <c r="G15" i="64" s="1"/>
  <c r="J41" i="210"/>
  <c r="J31" i="210"/>
  <c r="J21" i="210"/>
  <c r="J22" i="210"/>
  <c r="J37" i="210"/>
  <c r="J32" i="210"/>
  <c r="J38" i="210"/>
  <c r="J14" i="210"/>
  <c r="J20" i="210"/>
  <c r="J33" i="210"/>
  <c r="J18" i="210"/>
  <c r="J39" i="210"/>
  <c r="J36" i="210"/>
  <c r="J13" i="210"/>
  <c r="J28" i="210"/>
  <c r="J12" i="210"/>
  <c r="J26" i="210"/>
  <c r="J24" i="210"/>
  <c r="J27" i="210"/>
  <c r="J46" i="210"/>
  <c r="J40" i="210"/>
  <c r="H46" i="210"/>
  <c r="I46" i="210" s="1"/>
  <c r="J23" i="210"/>
  <c r="J19" i="210"/>
  <c r="J25" i="210"/>
  <c r="J30" i="210"/>
  <c r="J42" i="210"/>
  <c r="J29" i="210"/>
  <c r="J35" i="210"/>
  <c r="J34" i="210"/>
  <c r="J43" i="210"/>
  <c r="J44" i="210"/>
  <c r="F16" i="220"/>
  <c r="G16" i="220" s="1"/>
  <c r="F16" i="222"/>
  <c r="G16" i="222" s="1"/>
  <c r="G23" i="222" s="1"/>
  <c r="F16" i="223"/>
  <c r="G16" i="223" s="1"/>
  <c r="H34" i="4"/>
  <c r="I34" i="4" s="1"/>
  <c r="F19" i="215"/>
  <c r="G19" i="215" s="1"/>
  <c r="F19" i="214"/>
  <c r="G19" i="214" s="1"/>
  <c r="F19" i="213"/>
  <c r="G19" i="213" s="1"/>
  <c r="F19" i="212"/>
  <c r="G19" i="212" s="1"/>
  <c r="F15" i="174"/>
  <c r="G15" i="174" s="1"/>
  <c r="F15" i="65"/>
  <c r="G15" i="65" s="1"/>
  <c r="F15" i="67"/>
  <c r="G15" i="67" s="1"/>
  <c r="H43" i="47"/>
  <c r="I43" i="47" s="1"/>
  <c r="H20" i="220"/>
  <c r="I20" i="220" s="1"/>
  <c r="G44" i="4"/>
  <c r="H43" i="4"/>
  <c r="I43" i="4" s="1"/>
  <c r="J37" i="218"/>
  <c r="J29" i="218"/>
  <c r="J32" i="218"/>
  <c r="J25" i="218"/>
  <c r="J13" i="218"/>
  <c r="J15" i="218"/>
  <c r="J14" i="218"/>
  <c r="J28" i="218"/>
  <c r="J18" i="218"/>
  <c r="J19" i="218"/>
  <c r="J24" i="218"/>
  <c r="J30" i="218"/>
  <c r="J22" i="218"/>
  <c r="J26" i="218"/>
  <c r="J31" i="218"/>
  <c r="J17" i="218"/>
  <c r="J33" i="218"/>
  <c r="J21" i="218"/>
  <c r="J38" i="218"/>
  <c r="H38" i="218"/>
  <c r="J20" i="218"/>
  <c r="J16" i="218"/>
  <c r="J23" i="218"/>
  <c r="J34" i="218"/>
  <c r="J27" i="218"/>
  <c r="J36" i="218"/>
  <c r="J35" i="218"/>
  <c r="J37" i="216"/>
  <c r="J15" i="216"/>
  <c r="J19" i="216"/>
  <c r="J18" i="216"/>
  <c r="J26" i="216"/>
  <c r="J38" i="216"/>
  <c r="J13" i="216"/>
  <c r="J22" i="216"/>
  <c r="J33" i="216"/>
  <c r="J14" i="216"/>
  <c r="J31" i="216"/>
  <c r="J29" i="216"/>
  <c r="J28" i="216"/>
  <c r="J32" i="216"/>
  <c r="J30" i="216"/>
  <c r="J17" i="216"/>
  <c r="J21" i="216"/>
  <c r="J25" i="216"/>
  <c r="J24" i="216"/>
  <c r="H38" i="216"/>
  <c r="J20" i="216"/>
  <c r="J16" i="216"/>
  <c r="J23" i="216"/>
  <c r="J34" i="216"/>
  <c r="J27" i="216"/>
  <c r="J36" i="216"/>
  <c r="J35" i="216"/>
  <c r="F19" i="204"/>
  <c r="G19" i="204" s="1"/>
  <c r="F19" i="207"/>
  <c r="G19" i="207" s="1"/>
  <c r="F19" i="206"/>
  <c r="G19" i="206" s="1"/>
  <c r="F19" i="205"/>
  <c r="G19" i="205" s="1"/>
  <c r="Q4" i="3"/>
  <c r="I51" i="211"/>
  <c r="I54" i="7" s="1"/>
  <c r="H54" i="7"/>
  <c r="K21" i="210"/>
  <c r="K51" i="210"/>
  <c r="K20" i="210"/>
  <c r="K18" i="210"/>
  <c r="K27" i="210"/>
  <c r="K32" i="210"/>
  <c r="K31" i="210"/>
  <c r="K15" i="210"/>
  <c r="K22" i="210"/>
  <c r="K36" i="210"/>
  <c r="K28" i="210"/>
  <c r="K40" i="210"/>
  <c r="K38" i="210"/>
  <c r="K33" i="210"/>
  <c r="K39" i="210"/>
  <c r="K26" i="210"/>
  <c r="K37" i="210"/>
  <c r="K24" i="210"/>
  <c r="K16" i="210"/>
  <c r="K41" i="210"/>
  <c r="K17" i="210"/>
  <c r="H51" i="210"/>
  <c r="K23" i="210"/>
  <c r="K19" i="210"/>
  <c r="K25" i="210"/>
  <c r="K47" i="210"/>
  <c r="K29" i="210"/>
  <c r="K30" i="210"/>
  <c r="K35" i="210"/>
  <c r="K49" i="210"/>
  <c r="K34" i="210"/>
  <c r="K48" i="210"/>
  <c r="H49" i="47"/>
  <c r="I49" i="47" s="1"/>
  <c r="F15" i="68"/>
  <c r="G15" i="68" s="1"/>
  <c r="F15" i="175"/>
  <c r="G15" i="175" s="1"/>
  <c r="F15" i="70"/>
  <c r="G15" i="70" s="1"/>
  <c r="F19" i="61"/>
  <c r="G19" i="61" s="1"/>
  <c r="F19" i="62"/>
  <c r="G19" i="62" s="1"/>
  <c r="F19" i="183"/>
  <c r="G19" i="183" s="1"/>
  <c r="F19" i="60"/>
  <c r="G19" i="60" s="1"/>
  <c r="G44" i="46"/>
  <c r="H43" i="46"/>
  <c r="I43" i="46" s="1"/>
  <c r="H34" i="46"/>
  <c r="I34" i="46" s="1"/>
  <c r="F19" i="202"/>
  <c r="G19" i="202" s="1"/>
  <c r="F19" i="203"/>
  <c r="G19" i="203" s="1"/>
  <c r="F19" i="201"/>
  <c r="G19" i="201" s="1"/>
  <c r="F19" i="200"/>
  <c r="G19" i="200" s="1"/>
  <c r="Q5" i="3"/>
  <c r="F20" i="5"/>
  <c r="G20" i="5" s="1"/>
  <c r="F20" i="171"/>
  <c r="G20" i="171" s="1"/>
  <c r="K38" i="209"/>
  <c r="K31" i="209"/>
  <c r="K33" i="209"/>
  <c r="K26" i="209"/>
  <c r="K28" i="209"/>
  <c r="K21" i="209"/>
  <c r="K16" i="209"/>
  <c r="K24" i="209"/>
  <c r="K41" i="209"/>
  <c r="K37" i="209"/>
  <c r="K36" i="209"/>
  <c r="K40" i="209"/>
  <c r="K32" i="209"/>
  <c r="K15" i="209"/>
  <c r="K22" i="209"/>
  <c r="K27" i="209"/>
  <c r="K39" i="209"/>
  <c r="K18" i="209"/>
  <c r="K17" i="209"/>
  <c r="K20" i="209"/>
  <c r="K51" i="209"/>
  <c r="H51" i="209"/>
  <c r="K23" i="209"/>
  <c r="K19" i="209"/>
  <c r="K25" i="209"/>
  <c r="K30" i="209"/>
  <c r="K29" i="209"/>
  <c r="K47" i="209"/>
  <c r="K48" i="209"/>
  <c r="K49" i="209"/>
  <c r="K35" i="209"/>
  <c r="K34" i="209"/>
  <c r="K36" i="208"/>
  <c r="K32" i="208"/>
  <c r="K39" i="208"/>
  <c r="K24" i="208"/>
  <c r="K40" i="208"/>
  <c r="K38" i="208"/>
  <c r="K26" i="208"/>
  <c r="K16" i="208"/>
  <c r="K28" i="208"/>
  <c r="K51" i="208"/>
  <c r="K31" i="208"/>
  <c r="K22" i="208"/>
  <c r="K17" i="208"/>
  <c r="K37" i="208"/>
  <c r="K33" i="208"/>
  <c r="K21" i="208"/>
  <c r="K15" i="208"/>
  <c r="K41" i="208"/>
  <c r="K18" i="208"/>
  <c r="K20" i="208"/>
  <c r="K27" i="208"/>
  <c r="H51" i="208"/>
  <c r="K23" i="208"/>
  <c r="K19" i="208"/>
  <c r="K25" i="208"/>
  <c r="K47" i="208"/>
  <c r="K29" i="208"/>
  <c r="K30" i="208"/>
  <c r="K35" i="208"/>
  <c r="K49" i="208"/>
  <c r="K48" i="208"/>
  <c r="K34" i="208"/>
  <c r="S11" i="3"/>
  <c r="G49" i="4"/>
  <c r="H48" i="4"/>
  <c r="I48" i="4" s="1"/>
  <c r="H35" i="46"/>
  <c r="I35" i="46" s="1"/>
  <c r="J36" i="209"/>
  <c r="J26" i="209"/>
  <c r="J39" i="209"/>
  <c r="J13" i="209"/>
  <c r="J32" i="209"/>
  <c r="J46" i="209"/>
  <c r="J24" i="209"/>
  <c r="J33" i="209"/>
  <c r="J31" i="209"/>
  <c r="J27" i="209"/>
  <c r="J37" i="209"/>
  <c r="J28" i="209"/>
  <c r="J38" i="209"/>
  <c r="J22" i="209"/>
  <c r="J21" i="209"/>
  <c r="J40" i="209"/>
  <c r="J20" i="209"/>
  <c r="J41" i="209"/>
  <c r="J18" i="209"/>
  <c r="J12" i="209"/>
  <c r="J14" i="209"/>
  <c r="H46" i="209"/>
  <c r="I46" i="209" s="1"/>
  <c r="J23" i="209"/>
  <c r="J19" i="209"/>
  <c r="J25" i="209"/>
  <c r="J42" i="209"/>
  <c r="J30" i="209"/>
  <c r="J29" i="209"/>
  <c r="J35" i="209"/>
  <c r="J44" i="209"/>
  <c r="J34" i="209"/>
  <c r="J43" i="209"/>
  <c r="H34" i="47"/>
  <c r="I34" i="47" s="1"/>
  <c r="H35" i="180"/>
  <c r="I35" i="180" s="1"/>
  <c r="H35" i="4"/>
  <c r="I35" i="4" s="1"/>
  <c r="H48" i="47"/>
  <c r="I48" i="47" s="1"/>
  <c r="F19" i="25"/>
  <c r="G19" i="25" s="1"/>
  <c r="F19" i="169"/>
  <c r="G19" i="169" s="1"/>
  <c r="F19" i="64"/>
  <c r="G19" i="64" s="1"/>
  <c r="F23" i="59"/>
  <c r="G23" i="59" s="1"/>
  <c r="F23" i="58"/>
  <c r="G23" i="58" s="1"/>
  <c r="F23" i="57"/>
  <c r="G23" i="57" s="1"/>
  <c r="F23" i="184"/>
  <c r="G23" i="184" s="1"/>
  <c r="G49" i="180"/>
  <c r="H48" i="180"/>
  <c r="I48" i="180" s="1"/>
  <c r="H20" i="222"/>
  <c r="I20" i="222" s="1"/>
  <c r="G38" i="219"/>
  <c r="J37" i="219" s="1"/>
  <c r="H37" i="219"/>
  <c r="I37" i="219" s="1"/>
  <c r="F23" i="214"/>
  <c r="G23" i="214" s="1"/>
  <c r="F23" i="212"/>
  <c r="G23" i="212" s="1"/>
  <c r="F23" i="213"/>
  <c r="G23" i="213" s="1"/>
  <c r="F23" i="215"/>
  <c r="G23" i="215" s="1"/>
  <c r="J21" i="208"/>
  <c r="J39" i="208"/>
  <c r="J27" i="208"/>
  <c r="J38" i="208"/>
  <c r="J31" i="208"/>
  <c r="J18" i="208"/>
  <c r="J32" i="208"/>
  <c r="J26" i="208"/>
  <c r="J41" i="208"/>
  <c r="J20" i="208"/>
  <c r="J13" i="208"/>
  <c r="J36" i="208"/>
  <c r="J22" i="208"/>
  <c r="J40" i="208"/>
  <c r="J14" i="208"/>
  <c r="J12" i="208"/>
  <c r="J46" i="208"/>
  <c r="J28" i="208"/>
  <c r="J33" i="208"/>
  <c r="J37" i="208"/>
  <c r="J24" i="208"/>
  <c r="H46" i="208"/>
  <c r="I46" i="208" s="1"/>
  <c r="J23" i="208"/>
  <c r="J19" i="208"/>
  <c r="J25" i="208"/>
  <c r="J30" i="208"/>
  <c r="J42" i="208"/>
  <c r="J29" i="208"/>
  <c r="J34" i="208"/>
  <c r="J44" i="208"/>
  <c r="J43" i="208"/>
  <c r="J35" i="208"/>
  <c r="H35" i="47"/>
  <c r="I35" i="47" s="1"/>
  <c r="S8" i="3"/>
  <c r="H34" i="180"/>
  <c r="I34" i="180" s="1"/>
  <c r="Q6" i="3"/>
  <c r="F20" i="78"/>
  <c r="G20" i="78" s="1"/>
  <c r="F20" i="76"/>
  <c r="G20" i="76" s="1"/>
  <c r="F20" i="172"/>
  <c r="G20" i="172" s="1"/>
  <c r="F19" i="58"/>
  <c r="G19" i="58" s="1"/>
  <c r="F19" i="184"/>
  <c r="G19" i="184" s="1"/>
  <c r="F19" i="57"/>
  <c r="G19" i="57" s="1"/>
  <c r="F19" i="59"/>
  <c r="G19" i="59" s="1"/>
  <c r="S10" i="3"/>
  <c r="J45" i="211"/>
  <c r="H45" i="211"/>
  <c r="I45" i="211" s="1"/>
  <c r="F16" i="73"/>
  <c r="G16" i="73" s="1"/>
  <c r="F16" i="75"/>
  <c r="G16" i="75" s="1"/>
  <c r="F16" i="170"/>
  <c r="G16" i="170" s="1"/>
  <c r="H43" i="180"/>
  <c r="I43" i="180" s="1"/>
  <c r="F16" i="5"/>
  <c r="G16" i="5" s="1"/>
  <c r="F16" i="72"/>
  <c r="G16" i="72" s="1"/>
  <c r="F16" i="171"/>
  <c r="G16" i="171" s="1"/>
  <c r="H44" i="47"/>
  <c r="I44" i="47" s="1"/>
  <c r="F23" i="207"/>
  <c r="G23" i="207" s="1"/>
  <c r="F23" i="206"/>
  <c r="G23" i="206" s="1"/>
  <c r="F23" i="204"/>
  <c r="G23" i="204" s="1"/>
  <c r="F23" i="205"/>
  <c r="G23" i="205" s="1"/>
  <c r="S13" i="3"/>
  <c r="G49" i="46"/>
  <c r="H48" i="46"/>
  <c r="I48" i="46" s="1"/>
  <c r="F23" i="200"/>
  <c r="G23" i="200" s="1"/>
  <c r="F23" i="203"/>
  <c r="G23" i="203" s="1"/>
  <c r="F23" i="202"/>
  <c r="G23" i="202" s="1"/>
  <c r="F23" i="201"/>
  <c r="G23" i="201" s="1"/>
  <c r="J35" i="180" l="1"/>
  <c r="J43" i="180"/>
  <c r="J34" i="180"/>
  <c r="H23" i="202"/>
  <c r="I23" i="202" s="1"/>
  <c r="H23" i="204"/>
  <c r="I23" i="204" s="1"/>
  <c r="H16" i="170"/>
  <c r="I16" i="170" s="1"/>
  <c r="H19" i="58"/>
  <c r="I19" i="58" s="1"/>
  <c r="G25" i="58"/>
  <c r="H20" i="78"/>
  <c r="I20" i="78" s="1"/>
  <c r="G23" i="78"/>
  <c r="H23" i="215"/>
  <c r="I23" i="215" s="1"/>
  <c r="H23" i="58"/>
  <c r="I23" i="58" s="1"/>
  <c r="F19" i="70"/>
  <c r="G19" i="70" s="1"/>
  <c r="G22" i="70" s="1"/>
  <c r="F19" i="175"/>
  <c r="G19" i="175" s="1"/>
  <c r="G22" i="175" s="1"/>
  <c r="F19" i="68"/>
  <c r="G19" i="68" s="1"/>
  <c r="G22" i="68" s="1"/>
  <c r="H51" i="7"/>
  <c r="I51" i="208"/>
  <c r="I51" i="7" s="1"/>
  <c r="F19" i="51"/>
  <c r="G19" i="51" s="1"/>
  <c r="F19" i="53"/>
  <c r="G19" i="53" s="1"/>
  <c r="F19" i="52"/>
  <c r="G19" i="52" s="1"/>
  <c r="F19" i="181"/>
  <c r="G19" i="181" s="1"/>
  <c r="H19" i="202"/>
  <c r="I19" i="202" s="1"/>
  <c r="G25" i="202"/>
  <c r="H45" i="46"/>
  <c r="I45" i="46" s="1"/>
  <c r="H44" i="46"/>
  <c r="I44" i="46" s="1"/>
  <c r="H19" i="61"/>
  <c r="I19" i="61" s="1"/>
  <c r="H15" i="68"/>
  <c r="I15" i="68" s="1"/>
  <c r="H50" i="47"/>
  <c r="I50" i="47" s="1"/>
  <c r="I51" i="210"/>
  <c r="I53" i="7" s="1"/>
  <c r="H53" i="7"/>
  <c r="H19" i="206"/>
  <c r="I19" i="206" s="1"/>
  <c r="G25" i="206"/>
  <c r="I38" i="218"/>
  <c r="I56" i="7" s="1"/>
  <c r="H56" i="7"/>
  <c r="G25" i="215"/>
  <c r="H19" i="215"/>
  <c r="I19" i="215" s="1"/>
  <c r="G23" i="223"/>
  <c r="H16" i="223"/>
  <c r="I16" i="223" s="1"/>
  <c r="H15" i="64"/>
  <c r="I15" i="64" s="1"/>
  <c r="G22" i="64"/>
  <c r="F20" i="73"/>
  <c r="G20" i="73" s="1"/>
  <c r="G23" i="73" s="1"/>
  <c r="F20" i="170"/>
  <c r="G20" i="170" s="1"/>
  <c r="G23" i="170" s="1"/>
  <c r="H23" i="206"/>
  <c r="I23" i="206" s="1"/>
  <c r="G46" i="47"/>
  <c r="J45" i="47" s="1"/>
  <c r="H45" i="47"/>
  <c r="I45" i="47" s="1"/>
  <c r="G23" i="5"/>
  <c r="H16" i="5"/>
  <c r="I16" i="5" s="1"/>
  <c r="G23" i="75"/>
  <c r="H16" i="75"/>
  <c r="I16" i="75" s="1"/>
  <c r="F19" i="67"/>
  <c r="G19" i="67" s="1"/>
  <c r="G22" i="67" s="1"/>
  <c r="F19" i="65"/>
  <c r="G19" i="65" s="1"/>
  <c r="G22" i="65" s="1"/>
  <c r="F19" i="174"/>
  <c r="G19" i="174" s="1"/>
  <c r="G22" i="174" s="1"/>
  <c r="G25" i="59"/>
  <c r="H19" i="59"/>
  <c r="I19" i="59" s="1"/>
  <c r="H20" i="172"/>
  <c r="I20" i="172" s="1"/>
  <c r="G23" i="172"/>
  <c r="F19" i="54"/>
  <c r="G19" i="54" s="1"/>
  <c r="F19" i="104"/>
  <c r="G19" i="104" s="1"/>
  <c r="F19" i="168"/>
  <c r="G19" i="168" s="1"/>
  <c r="F19" i="56"/>
  <c r="G19" i="56" s="1"/>
  <c r="H23" i="213"/>
  <c r="I23" i="213" s="1"/>
  <c r="H49" i="180"/>
  <c r="I49" i="180" s="1"/>
  <c r="H23" i="59"/>
  <c r="I23" i="59" s="1"/>
  <c r="H19" i="25"/>
  <c r="I19" i="25" s="1"/>
  <c r="H20" i="171"/>
  <c r="I20" i="171" s="1"/>
  <c r="G25" i="200"/>
  <c r="H19" i="200"/>
  <c r="I19" i="200" s="1"/>
  <c r="H19" i="60"/>
  <c r="I19" i="60" s="1"/>
  <c r="H19" i="207"/>
  <c r="I19" i="207" s="1"/>
  <c r="G25" i="207"/>
  <c r="H15" i="67"/>
  <c r="I15" i="67" s="1"/>
  <c r="H19" i="212"/>
  <c r="I19" i="212" s="1"/>
  <c r="G25" i="212"/>
  <c r="H16" i="222"/>
  <c r="I16" i="222" s="1"/>
  <c r="H23" i="200"/>
  <c r="I23" i="200" s="1"/>
  <c r="H23" i="207"/>
  <c r="I23" i="207" s="1"/>
  <c r="H16" i="171"/>
  <c r="I16" i="171" s="1"/>
  <c r="G23" i="171"/>
  <c r="H19" i="57"/>
  <c r="I19" i="57" s="1"/>
  <c r="G25" i="57"/>
  <c r="H20" i="76"/>
  <c r="I20" i="76" s="1"/>
  <c r="G23" i="76"/>
  <c r="F23" i="62"/>
  <c r="G23" i="62" s="1"/>
  <c r="G25" i="62" s="1"/>
  <c r="F23" i="61"/>
  <c r="G23" i="61" s="1"/>
  <c r="F23" i="60"/>
  <c r="G23" i="60" s="1"/>
  <c r="F23" i="183"/>
  <c r="G23" i="183" s="1"/>
  <c r="G25" i="183" s="1"/>
  <c r="H23" i="212"/>
  <c r="I23" i="212" s="1"/>
  <c r="J35" i="219"/>
  <c r="J24" i="219"/>
  <c r="J21" i="219"/>
  <c r="J33" i="219"/>
  <c r="J25" i="219"/>
  <c r="J32" i="219"/>
  <c r="J17" i="219"/>
  <c r="J20" i="219"/>
  <c r="J19" i="219"/>
  <c r="J13" i="219"/>
  <c r="J22" i="219"/>
  <c r="J28" i="219"/>
  <c r="J31" i="219"/>
  <c r="J29" i="219"/>
  <c r="J15" i="219"/>
  <c r="J30" i="219"/>
  <c r="J38" i="219"/>
  <c r="J26" i="219"/>
  <c r="J18" i="219"/>
  <c r="J14" i="219"/>
  <c r="H38" i="219"/>
  <c r="J16" i="219"/>
  <c r="J23" i="219"/>
  <c r="J27" i="219"/>
  <c r="J34" i="219"/>
  <c r="J36" i="219"/>
  <c r="H23" i="222"/>
  <c r="G27" i="222"/>
  <c r="G34" i="222"/>
  <c r="G37" i="222" s="1"/>
  <c r="H23" i="184"/>
  <c r="I23" i="184" s="1"/>
  <c r="H19" i="64"/>
  <c r="I19" i="64" s="1"/>
  <c r="H20" i="5"/>
  <c r="I20" i="5" s="1"/>
  <c r="H19" i="201"/>
  <c r="I19" i="201" s="1"/>
  <c r="G25" i="201"/>
  <c r="H19" i="183"/>
  <c r="I19" i="183" s="1"/>
  <c r="H15" i="70"/>
  <c r="I15" i="70" s="1"/>
  <c r="F19" i="182"/>
  <c r="G19" i="182" s="1"/>
  <c r="F19" i="49"/>
  <c r="G19" i="49" s="1"/>
  <c r="F19" i="48"/>
  <c r="G19" i="48" s="1"/>
  <c r="F19" i="50"/>
  <c r="G19" i="50" s="1"/>
  <c r="H19" i="204"/>
  <c r="I19" i="204" s="1"/>
  <c r="G25" i="204"/>
  <c r="I38" i="216"/>
  <c r="I55" i="7" s="1"/>
  <c r="H55" i="7"/>
  <c r="H45" i="4"/>
  <c r="I45" i="4" s="1"/>
  <c r="H44" i="4"/>
  <c r="I44" i="4" s="1"/>
  <c r="H15" i="65"/>
  <c r="I15" i="65" s="1"/>
  <c r="H19" i="213"/>
  <c r="I19" i="213" s="1"/>
  <c r="G25" i="213"/>
  <c r="H16" i="220"/>
  <c r="I16" i="220" s="1"/>
  <c r="G23" i="220"/>
  <c r="H15" i="169"/>
  <c r="I15" i="169" s="1"/>
  <c r="J37" i="180"/>
  <c r="J36" i="180"/>
  <c r="J40" i="180"/>
  <c r="J28" i="180"/>
  <c r="J13" i="180"/>
  <c r="J38" i="180"/>
  <c r="J12" i="180"/>
  <c r="J46" i="180"/>
  <c r="J26" i="180"/>
  <c r="J39" i="180"/>
  <c r="J18" i="180"/>
  <c r="J27" i="180"/>
  <c r="J14" i="180"/>
  <c r="J33" i="180"/>
  <c r="J22" i="180"/>
  <c r="J20" i="180"/>
  <c r="J21" i="180"/>
  <c r="J32" i="180"/>
  <c r="J31" i="180"/>
  <c r="J41" i="180"/>
  <c r="J24" i="180"/>
  <c r="J23" i="180"/>
  <c r="J19" i="180"/>
  <c r="J25" i="180"/>
  <c r="H46" i="180"/>
  <c r="I46" i="180" s="1"/>
  <c r="J42" i="180"/>
  <c r="J30" i="180"/>
  <c r="J29" i="180"/>
  <c r="G25" i="203"/>
  <c r="H23" i="203"/>
  <c r="I23" i="203" s="1"/>
  <c r="H23" i="201"/>
  <c r="I23" i="201" s="1"/>
  <c r="H50" i="46"/>
  <c r="I50" i="46" s="1"/>
  <c r="H49" i="46"/>
  <c r="I49" i="46" s="1"/>
  <c r="H23" i="205"/>
  <c r="I23" i="205" s="1"/>
  <c r="H16" i="72"/>
  <c r="I16" i="72" s="1"/>
  <c r="G23" i="72"/>
  <c r="H16" i="73"/>
  <c r="I16" i="73" s="1"/>
  <c r="H19" i="184"/>
  <c r="I19" i="184" s="1"/>
  <c r="G25" i="184"/>
  <c r="H23" i="214"/>
  <c r="I23" i="214" s="1"/>
  <c r="H23" i="57"/>
  <c r="I23" i="57" s="1"/>
  <c r="G22" i="169"/>
  <c r="H19" i="169"/>
  <c r="I19" i="169" s="1"/>
  <c r="H49" i="4"/>
  <c r="I49" i="4" s="1"/>
  <c r="I51" i="209"/>
  <c r="I52" i="7" s="1"/>
  <c r="H52" i="7"/>
  <c r="H19" i="203"/>
  <c r="I19" i="203" s="1"/>
  <c r="H19" i="62"/>
  <c r="I19" i="62" s="1"/>
  <c r="H15" i="175"/>
  <c r="I15" i="175" s="1"/>
  <c r="G51" i="47"/>
  <c r="H19" i="205"/>
  <c r="I19" i="205" s="1"/>
  <c r="G25" i="205"/>
  <c r="H15" i="174"/>
  <c r="I15" i="174" s="1"/>
  <c r="H19" i="214"/>
  <c r="I19" i="214" s="1"/>
  <c r="G25" i="214"/>
  <c r="G22" i="25"/>
  <c r="H15" i="25"/>
  <c r="I15" i="25" s="1"/>
  <c r="J45" i="180"/>
  <c r="H45" i="180"/>
  <c r="I45" i="180" s="1"/>
  <c r="G51" i="46" l="1"/>
  <c r="K49" i="46" s="1"/>
  <c r="G27" i="170"/>
  <c r="H23" i="170"/>
  <c r="G34" i="170"/>
  <c r="G37" i="170" s="1"/>
  <c r="H22" i="174"/>
  <c r="G24" i="174"/>
  <c r="G47" i="205"/>
  <c r="G50" i="205" s="1"/>
  <c r="G42" i="205"/>
  <c r="G45" i="205" s="1"/>
  <c r="G29" i="205"/>
  <c r="G30" i="205"/>
  <c r="H25" i="205"/>
  <c r="G24" i="175"/>
  <c r="H22" i="175"/>
  <c r="G47" i="62"/>
  <c r="G50" i="62" s="1"/>
  <c r="G30" i="62"/>
  <c r="H25" i="62"/>
  <c r="G29" i="62"/>
  <c r="G42" i="62"/>
  <c r="G45" i="62" s="1"/>
  <c r="G42" i="184"/>
  <c r="G45" i="184" s="1"/>
  <c r="G29" i="184"/>
  <c r="H25" i="184"/>
  <c r="G30" i="184"/>
  <c r="G47" i="184"/>
  <c r="G50" i="184" s="1"/>
  <c r="G30" i="204"/>
  <c r="G29" i="204"/>
  <c r="H25" i="204"/>
  <c r="G42" i="204"/>
  <c r="G45" i="204" s="1"/>
  <c r="G47" i="204"/>
  <c r="G50" i="204" s="1"/>
  <c r="H19" i="49"/>
  <c r="I19" i="49" s="1"/>
  <c r="H27" i="222"/>
  <c r="I27" i="222" s="1"/>
  <c r="H23" i="60"/>
  <c r="I23" i="60" s="1"/>
  <c r="G42" i="57"/>
  <c r="G45" i="57" s="1"/>
  <c r="G30" i="57"/>
  <c r="H25" i="57"/>
  <c r="G29" i="57"/>
  <c r="G47" i="57"/>
  <c r="G50" i="57" s="1"/>
  <c r="G30" i="212"/>
  <c r="G42" i="212"/>
  <c r="G45" i="212" s="1"/>
  <c r="G47" i="212"/>
  <c r="G50" i="212" s="1"/>
  <c r="G29" i="212"/>
  <c r="H25" i="212"/>
  <c r="H50" i="180"/>
  <c r="I50" i="180" s="1"/>
  <c r="H19" i="56"/>
  <c r="I19" i="56" s="1"/>
  <c r="G27" i="172"/>
  <c r="G34" i="172"/>
  <c r="G37" i="172" s="1"/>
  <c r="H23" i="172"/>
  <c r="H19" i="65"/>
  <c r="I19" i="65" s="1"/>
  <c r="G27" i="5"/>
  <c r="H23" i="5"/>
  <c r="G34" i="5"/>
  <c r="G37" i="5" s="1"/>
  <c r="H19" i="52"/>
  <c r="I19" i="52" s="1"/>
  <c r="H19" i="70"/>
  <c r="I19" i="70" s="1"/>
  <c r="H25" i="58"/>
  <c r="G30" i="58"/>
  <c r="G47" i="58"/>
  <c r="G50" i="58" s="1"/>
  <c r="G29" i="58"/>
  <c r="G42" i="58"/>
  <c r="G45" i="58" s="1"/>
  <c r="G42" i="214"/>
  <c r="G45" i="214" s="1"/>
  <c r="G29" i="214"/>
  <c r="G47" i="214"/>
  <c r="G50" i="214" s="1"/>
  <c r="H25" i="214"/>
  <c r="G30" i="214"/>
  <c r="K22" i="46"/>
  <c r="K24" i="46"/>
  <c r="H51" i="46"/>
  <c r="K34" i="46"/>
  <c r="G42" i="203"/>
  <c r="G45" i="203" s="1"/>
  <c r="G47" i="203"/>
  <c r="G50" i="203" s="1"/>
  <c r="G30" i="203"/>
  <c r="G29" i="203"/>
  <c r="H25" i="203"/>
  <c r="H19" i="182"/>
  <c r="I19" i="182" s="1"/>
  <c r="S5" i="3"/>
  <c r="I23" i="222"/>
  <c r="G67" i="7" s="1"/>
  <c r="F67" i="7"/>
  <c r="H23" i="61"/>
  <c r="I23" i="61" s="1"/>
  <c r="H23" i="171"/>
  <c r="G27" i="171"/>
  <c r="G34" i="171"/>
  <c r="G37" i="171" s="1"/>
  <c r="H19" i="168"/>
  <c r="I19" i="168" s="1"/>
  <c r="G27" i="75"/>
  <c r="G34" i="75"/>
  <c r="G37" i="75" s="1"/>
  <c r="H23" i="75"/>
  <c r="H20" i="73"/>
  <c r="I20" i="73" s="1"/>
  <c r="S4" i="3"/>
  <c r="G24" i="68"/>
  <c r="H22" i="68"/>
  <c r="G25" i="61"/>
  <c r="G46" i="46"/>
  <c r="G42" i="202"/>
  <c r="G45" i="202" s="1"/>
  <c r="G47" i="202"/>
  <c r="G50" i="202" s="1"/>
  <c r="H25" i="202"/>
  <c r="G29" i="202"/>
  <c r="G30" i="202"/>
  <c r="H19" i="53"/>
  <c r="I19" i="53" s="1"/>
  <c r="H19" i="68"/>
  <c r="I19" i="68" s="1"/>
  <c r="S6" i="3"/>
  <c r="K38" i="47"/>
  <c r="K37" i="47"/>
  <c r="K26" i="47"/>
  <c r="K39" i="47"/>
  <c r="K40" i="47"/>
  <c r="K24" i="47"/>
  <c r="K36" i="47"/>
  <c r="K41" i="47"/>
  <c r="K33" i="47"/>
  <c r="K20" i="47"/>
  <c r="K21" i="47"/>
  <c r="K22" i="47"/>
  <c r="K16" i="47"/>
  <c r="K17" i="47"/>
  <c r="K27" i="47"/>
  <c r="K32" i="47"/>
  <c r="K28" i="47"/>
  <c r="K15" i="47"/>
  <c r="K51" i="47"/>
  <c r="K31" i="47"/>
  <c r="K18" i="47"/>
  <c r="H51" i="47"/>
  <c r="K23" i="47"/>
  <c r="K19" i="47"/>
  <c r="K25" i="47"/>
  <c r="K29" i="47"/>
  <c r="K47" i="47"/>
  <c r="K30" i="47"/>
  <c r="K34" i="47"/>
  <c r="K48" i="47"/>
  <c r="K49" i="47"/>
  <c r="K35" i="47"/>
  <c r="H22" i="169"/>
  <c r="I22" i="169" s="1"/>
  <c r="G24" i="169"/>
  <c r="G34" i="72"/>
  <c r="G37" i="72" s="1"/>
  <c r="H23" i="72"/>
  <c r="G27" i="72"/>
  <c r="H22" i="65"/>
  <c r="G24" i="65"/>
  <c r="G46" i="4"/>
  <c r="H19" i="50"/>
  <c r="I19" i="50" s="1"/>
  <c r="H23" i="62"/>
  <c r="I23" i="62" s="1"/>
  <c r="G25" i="60"/>
  <c r="H19" i="104"/>
  <c r="I19" i="104" s="1"/>
  <c r="G29" i="59"/>
  <c r="G42" i="59"/>
  <c r="G45" i="59" s="1"/>
  <c r="H25" i="59"/>
  <c r="G47" i="59"/>
  <c r="G50" i="59" s="1"/>
  <c r="G30" i="59"/>
  <c r="H19" i="67"/>
  <c r="I19" i="67" s="1"/>
  <c r="H19" i="51"/>
  <c r="I19" i="51" s="1"/>
  <c r="G24" i="25"/>
  <c r="H22" i="25"/>
  <c r="G51" i="4"/>
  <c r="K50" i="4" s="1"/>
  <c r="H50" i="4"/>
  <c r="I50" i="4" s="1"/>
  <c r="G27" i="73"/>
  <c r="H23" i="73"/>
  <c r="G34" i="73"/>
  <c r="G37" i="73" s="1"/>
  <c r="G27" i="220"/>
  <c r="G34" i="220"/>
  <c r="G37" i="220" s="1"/>
  <c r="H23" i="220"/>
  <c r="H25" i="213"/>
  <c r="G29" i="213"/>
  <c r="G30" i="213"/>
  <c r="G42" i="213"/>
  <c r="G45" i="213" s="1"/>
  <c r="G47" i="213"/>
  <c r="G50" i="213" s="1"/>
  <c r="H19" i="48"/>
  <c r="I19" i="48" s="1"/>
  <c r="H22" i="70"/>
  <c r="G24" i="70"/>
  <c r="G29" i="183"/>
  <c r="G47" i="183"/>
  <c r="G50" i="183" s="1"/>
  <c r="G30" i="183"/>
  <c r="H25" i="183"/>
  <c r="G42" i="183"/>
  <c r="G45" i="183" s="1"/>
  <c r="G29" i="201"/>
  <c r="H25" i="201"/>
  <c r="G30" i="201"/>
  <c r="G47" i="201"/>
  <c r="G50" i="201" s="1"/>
  <c r="G42" i="201"/>
  <c r="G45" i="201" s="1"/>
  <c r="G35" i="222"/>
  <c r="H34" i="222"/>
  <c r="I34" i="222" s="1"/>
  <c r="H57" i="7"/>
  <c r="I38" i="219"/>
  <c r="I57" i="7" s="1"/>
  <c r="H23" i="183"/>
  <c r="I23" i="183" s="1"/>
  <c r="H23" i="76"/>
  <c r="G27" i="76"/>
  <c r="G34" i="76"/>
  <c r="G37" i="76" s="1"/>
  <c r="G24" i="67"/>
  <c r="H22" i="67"/>
  <c r="G30" i="207"/>
  <c r="G42" i="207"/>
  <c r="G45" i="207" s="1"/>
  <c r="G47" i="207"/>
  <c r="G50" i="207" s="1"/>
  <c r="G29" i="207"/>
  <c r="H25" i="207"/>
  <c r="H25" i="200"/>
  <c r="G47" i="200"/>
  <c r="G50" i="200" s="1"/>
  <c r="G42" i="200"/>
  <c r="G45" i="200" s="1"/>
  <c r="G29" i="200"/>
  <c r="G30" i="200"/>
  <c r="G51" i="180"/>
  <c r="H19" i="54"/>
  <c r="I19" i="54" s="1"/>
  <c r="H19" i="174"/>
  <c r="I19" i="174" s="1"/>
  <c r="J20" i="47"/>
  <c r="J21" i="47"/>
  <c r="J31" i="47"/>
  <c r="J28" i="47"/>
  <c r="J41" i="47"/>
  <c r="J22" i="47"/>
  <c r="J26" i="47"/>
  <c r="J37" i="47"/>
  <c r="J18" i="47"/>
  <c r="J40" i="47"/>
  <c r="J24" i="47"/>
  <c r="J12" i="47"/>
  <c r="J36" i="47"/>
  <c r="J39" i="47"/>
  <c r="J27" i="47"/>
  <c r="J14" i="47"/>
  <c r="J13" i="47"/>
  <c r="J38" i="47"/>
  <c r="J46" i="47"/>
  <c r="J32" i="47"/>
  <c r="J33" i="47"/>
  <c r="J23" i="47"/>
  <c r="J19" i="47"/>
  <c r="J25" i="47"/>
  <c r="H46" i="47"/>
  <c r="I46" i="47" s="1"/>
  <c r="J42" i="47"/>
  <c r="J30" i="47"/>
  <c r="J29" i="47"/>
  <c r="J35" i="47"/>
  <c r="J43" i="47"/>
  <c r="J34" i="47"/>
  <c r="J44" i="47"/>
  <c r="H20" i="170"/>
  <c r="I20" i="170" s="1"/>
  <c r="G24" i="64"/>
  <c r="H22" i="64"/>
  <c r="G34" i="223"/>
  <c r="G37" i="223" s="1"/>
  <c r="G27" i="223"/>
  <c r="H23" i="223"/>
  <c r="G42" i="215"/>
  <c r="G45" i="215" s="1"/>
  <c r="G30" i="215"/>
  <c r="G47" i="215"/>
  <c r="G50" i="215" s="1"/>
  <c r="G29" i="215"/>
  <c r="H25" i="215"/>
  <c r="G42" i="206"/>
  <c r="G45" i="206" s="1"/>
  <c r="G30" i="206"/>
  <c r="G47" i="206"/>
  <c r="G50" i="206" s="1"/>
  <c r="H25" i="206"/>
  <c r="G29" i="206"/>
  <c r="K50" i="47"/>
  <c r="H19" i="181"/>
  <c r="I19" i="181" s="1"/>
  <c r="H19" i="175"/>
  <c r="I19" i="175" s="1"/>
  <c r="H23" i="78"/>
  <c r="G34" i="78"/>
  <c r="G37" i="78" s="1"/>
  <c r="G27" i="78"/>
  <c r="K47" i="46" l="1"/>
  <c r="K37" i="46"/>
  <c r="K26" i="46"/>
  <c r="K39" i="46"/>
  <c r="K29" i="46"/>
  <c r="K20" i="46"/>
  <c r="K32" i="46"/>
  <c r="K15" i="46"/>
  <c r="K35" i="46"/>
  <c r="K23" i="46"/>
  <c r="K17" i="46"/>
  <c r="K36" i="46"/>
  <c r="K48" i="46"/>
  <c r="K25" i="46"/>
  <c r="K51" i="46"/>
  <c r="K18" i="46"/>
  <c r="K27" i="46"/>
  <c r="K16" i="46"/>
  <c r="K40" i="46"/>
  <c r="K28" i="46"/>
  <c r="K30" i="46"/>
  <c r="K19" i="46"/>
  <c r="K21" i="46"/>
  <c r="K38" i="46"/>
  <c r="K33" i="46"/>
  <c r="K41" i="46"/>
  <c r="K31" i="46"/>
  <c r="K50" i="46"/>
  <c r="G35" i="78"/>
  <c r="G36" i="78" s="1"/>
  <c r="H34" i="78"/>
  <c r="I34" i="78" s="1"/>
  <c r="F43" i="7"/>
  <c r="I23" i="78"/>
  <c r="G43" i="7" s="1"/>
  <c r="I25" i="206"/>
  <c r="G60" i="7" s="1"/>
  <c r="F60" i="7"/>
  <c r="G48" i="215"/>
  <c r="G49" i="215" s="1"/>
  <c r="H47" i="215"/>
  <c r="I47" i="215" s="1"/>
  <c r="I23" i="223"/>
  <c r="G68" i="7" s="1"/>
  <c r="F68" i="7"/>
  <c r="I22" i="64"/>
  <c r="G34" i="7" s="1"/>
  <c r="F34" i="7"/>
  <c r="G48" i="200"/>
  <c r="G49" i="200" s="1"/>
  <c r="H47" i="200"/>
  <c r="I47" i="200" s="1"/>
  <c r="F61" i="7"/>
  <c r="I25" i="207"/>
  <c r="G61" i="7" s="1"/>
  <c r="H30" i="207"/>
  <c r="I30" i="207" s="1"/>
  <c r="G35" i="207"/>
  <c r="H35" i="222"/>
  <c r="I35" i="222" s="1"/>
  <c r="G48" i="201"/>
  <c r="G49" i="201" s="1"/>
  <c r="H47" i="201"/>
  <c r="I47" i="201" s="1"/>
  <c r="H30" i="183"/>
  <c r="I30" i="183" s="1"/>
  <c r="G35" i="183"/>
  <c r="G35" i="70"/>
  <c r="G38" i="70" s="1"/>
  <c r="G28" i="70"/>
  <c r="H24" i="70"/>
  <c r="I24" i="70" s="1"/>
  <c r="G48" i="213"/>
  <c r="G49" i="213" s="1"/>
  <c r="H47" i="213"/>
  <c r="I47" i="213" s="1"/>
  <c r="F63" i="7"/>
  <c r="I25" i="213"/>
  <c r="G63" i="7" s="1"/>
  <c r="H27" i="220"/>
  <c r="I27" i="220" s="1"/>
  <c r="H27" i="73"/>
  <c r="I27" i="73" s="1"/>
  <c r="G35" i="59"/>
  <c r="H30" i="59"/>
  <c r="I30" i="59" s="1"/>
  <c r="H29" i="59"/>
  <c r="I29" i="59" s="1"/>
  <c r="G34" i="59"/>
  <c r="H27" i="72"/>
  <c r="I27" i="72" s="1"/>
  <c r="G28" i="169"/>
  <c r="H24" i="169"/>
  <c r="G35" i="169"/>
  <c r="G38" i="169" s="1"/>
  <c r="I51" i="47"/>
  <c r="I5" i="7" s="1"/>
  <c r="H5" i="7"/>
  <c r="H30" i="202"/>
  <c r="I30" i="202" s="1"/>
  <c r="G35" i="202"/>
  <c r="G43" i="202"/>
  <c r="G44" i="202" s="1"/>
  <c r="H42" i="202"/>
  <c r="I42" i="202" s="1"/>
  <c r="I22" i="68"/>
  <c r="G38" i="7" s="1"/>
  <c r="F38" i="7"/>
  <c r="H27" i="171"/>
  <c r="I27" i="171" s="1"/>
  <c r="H29" i="203"/>
  <c r="I29" i="203" s="1"/>
  <c r="G34" i="203"/>
  <c r="G48" i="214"/>
  <c r="G49" i="214" s="1"/>
  <c r="H47" i="214"/>
  <c r="I47" i="214" s="1"/>
  <c r="G35" i="58"/>
  <c r="H30" i="58"/>
  <c r="I30" i="58" s="1"/>
  <c r="G35" i="5"/>
  <c r="G36" i="5" s="1"/>
  <c r="H34" i="5"/>
  <c r="I34" i="5" s="1"/>
  <c r="H27" i="172"/>
  <c r="I27" i="172" s="1"/>
  <c r="G43" i="212"/>
  <c r="G44" i="212" s="1"/>
  <c r="H42" i="212"/>
  <c r="I42" i="212" s="1"/>
  <c r="G48" i="57"/>
  <c r="H47" i="57"/>
  <c r="I47" i="57" s="1"/>
  <c r="G43" i="57"/>
  <c r="G44" i="57" s="1"/>
  <c r="H42" i="57"/>
  <c r="I42" i="57" s="1"/>
  <c r="G48" i="204"/>
  <c r="G49" i="204" s="1"/>
  <c r="H47" i="204"/>
  <c r="I47" i="204" s="1"/>
  <c r="H30" i="204"/>
  <c r="I30" i="204" s="1"/>
  <c r="G35" i="204"/>
  <c r="H30" i="184"/>
  <c r="I30" i="184" s="1"/>
  <c r="G35" i="184"/>
  <c r="I25" i="62"/>
  <c r="G25" i="7" s="1"/>
  <c r="F25" i="7"/>
  <c r="I22" i="175"/>
  <c r="G39" i="7" s="1"/>
  <c r="F39" i="7"/>
  <c r="F59" i="7"/>
  <c r="I25" i="205"/>
  <c r="G59" i="7" s="1"/>
  <c r="G48" i="205"/>
  <c r="H47" i="205"/>
  <c r="I47" i="205" s="1"/>
  <c r="G48" i="206"/>
  <c r="G49" i="206" s="1"/>
  <c r="H47" i="206"/>
  <c r="I47" i="206" s="1"/>
  <c r="H30" i="215"/>
  <c r="I30" i="215" s="1"/>
  <c r="G35" i="215"/>
  <c r="H27" i="223"/>
  <c r="I27" i="223" s="1"/>
  <c r="H24" i="64"/>
  <c r="I24" i="64" s="1"/>
  <c r="G35" i="64"/>
  <c r="G38" i="64" s="1"/>
  <c r="G28" i="64"/>
  <c r="G35" i="200"/>
  <c r="H30" i="200"/>
  <c r="I30" i="200" s="1"/>
  <c r="I25" i="200"/>
  <c r="G47" i="7" s="1"/>
  <c r="F47" i="7"/>
  <c r="H29" i="207"/>
  <c r="I29" i="207" s="1"/>
  <c r="G34" i="207"/>
  <c r="G35" i="76"/>
  <c r="G36" i="76" s="1"/>
  <c r="H34" i="76"/>
  <c r="I34" i="76" s="1"/>
  <c r="H30" i="201"/>
  <c r="I30" i="201" s="1"/>
  <c r="G35" i="201"/>
  <c r="G48" i="183"/>
  <c r="G49" i="183" s="1"/>
  <c r="H47" i="183"/>
  <c r="I47" i="183" s="1"/>
  <c r="I22" i="70"/>
  <c r="G40" i="7" s="1"/>
  <c r="F40" i="7"/>
  <c r="G43" i="213"/>
  <c r="G44" i="213" s="1"/>
  <c r="H42" i="213"/>
  <c r="I42" i="213" s="1"/>
  <c r="I22" i="25"/>
  <c r="G32" i="7" s="1"/>
  <c r="F32" i="7"/>
  <c r="G48" i="59"/>
  <c r="G49" i="59" s="1"/>
  <c r="H47" i="59"/>
  <c r="I47" i="59" s="1"/>
  <c r="G30" i="60"/>
  <c r="G42" i="60"/>
  <c r="G45" i="60" s="1"/>
  <c r="G29" i="60"/>
  <c r="G47" i="60"/>
  <c r="G50" i="60" s="1"/>
  <c r="H25" i="60"/>
  <c r="G28" i="65"/>
  <c r="G35" i="65"/>
  <c r="G38" i="65" s="1"/>
  <c r="H24" i="65"/>
  <c r="I24" i="65" s="1"/>
  <c r="I23" i="72"/>
  <c r="G28" i="7" s="1"/>
  <c r="F28" i="7"/>
  <c r="H29" i="202"/>
  <c r="I29" i="202" s="1"/>
  <c r="G34" i="202"/>
  <c r="J45" i="46"/>
  <c r="J12" i="46"/>
  <c r="J33" i="46"/>
  <c r="J14" i="46"/>
  <c r="J36" i="46"/>
  <c r="J40" i="46"/>
  <c r="J26" i="46"/>
  <c r="J27" i="46"/>
  <c r="J46" i="46"/>
  <c r="J20" i="46"/>
  <c r="J18" i="46"/>
  <c r="J31" i="46"/>
  <c r="J37" i="46"/>
  <c r="J21" i="46"/>
  <c r="J41" i="46"/>
  <c r="J22" i="46"/>
  <c r="J32" i="46"/>
  <c r="J28" i="46"/>
  <c r="J13" i="46"/>
  <c r="J39" i="46"/>
  <c r="J38" i="46"/>
  <c r="J24" i="46"/>
  <c r="J23" i="46"/>
  <c r="J19" i="46"/>
  <c r="J25" i="46"/>
  <c r="H46" i="46"/>
  <c r="I46" i="46" s="1"/>
  <c r="J30" i="46"/>
  <c r="J29" i="46"/>
  <c r="J42" i="46"/>
  <c r="J43" i="46"/>
  <c r="J35" i="46"/>
  <c r="J34" i="46"/>
  <c r="J44" i="46"/>
  <c r="G35" i="68"/>
  <c r="G38" i="68" s="1"/>
  <c r="G28" i="68"/>
  <c r="H24" i="68"/>
  <c r="I24" i="68" s="1"/>
  <c r="F31" i="7"/>
  <c r="I23" i="75"/>
  <c r="G31" i="7" s="1"/>
  <c r="F27" i="7"/>
  <c r="I23" i="171"/>
  <c r="G27" i="7" s="1"/>
  <c r="G35" i="203"/>
  <c r="H30" i="203"/>
  <c r="I30" i="203" s="1"/>
  <c r="H3" i="7"/>
  <c r="I51" i="46"/>
  <c r="I3" i="7" s="1"/>
  <c r="H29" i="214"/>
  <c r="I29" i="214" s="1"/>
  <c r="G34" i="214"/>
  <c r="G43" i="58"/>
  <c r="H42" i="58"/>
  <c r="I42" i="58" s="1"/>
  <c r="F19" i="7"/>
  <c r="I25" i="58"/>
  <c r="G19" i="7" s="1"/>
  <c r="F26" i="7"/>
  <c r="I23" i="5"/>
  <c r="G26" i="7" s="1"/>
  <c r="F62" i="7"/>
  <c r="I25" i="212"/>
  <c r="G62" i="7" s="1"/>
  <c r="G35" i="212"/>
  <c r="H30" i="212"/>
  <c r="I30" i="212" s="1"/>
  <c r="G34" i="57"/>
  <c r="H29" i="57"/>
  <c r="I29" i="57" s="1"/>
  <c r="G43" i="204"/>
  <c r="G44" i="204" s="1"/>
  <c r="H42" i="204"/>
  <c r="I42" i="204" s="1"/>
  <c r="I25" i="184"/>
  <c r="G20" i="7" s="1"/>
  <c r="F20" i="7"/>
  <c r="H30" i="62"/>
  <c r="I30" i="62" s="1"/>
  <c r="G35" i="62"/>
  <c r="H24" i="175"/>
  <c r="I24" i="175" s="1"/>
  <c r="G35" i="175"/>
  <c r="G38" i="175" s="1"/>
  <c r="G28" i="175"/>
  <c r="G35" i="205"/>
  <c r="H30" i="205"/>
  <c r="I30" i="205" s="1"/>
  <c r="G35" i="170"/>
  <c r="G36" i="170" s="1"/>
  <c r="H34" i="170"/>
  <c r="I34" i="170" s="1"/>
  <c r="H27" i="78"/>
  <c r="I27" i="78" s="1"/>
  <c r="H30" i="206"/>
  <c r="I30" i="206" s="1"/>
  <c r="G35" i="206"/>
  <c r="F65" i="7"/>
  <c r="I25" i="215"/>
  <c r="G65" i="7" s="1"/>
  <c r="G43" i="215"/>
  <c r="H42" i="215"/>
  <c r="I42" i="215" s="1"/>
  <c r="G35" i="223"/>
  <c r="H34" i="223"/>
  <c r="I34" i="223" s="1"/>
  <c r="K41" i="180"/>
  <c r="K17" i="180"/>
  <c r="K32" i="180"/>
  <c r="K28" i="180"/>
  <c r="K20" i="180"/>
  <c r="K24" i="180"/>
  <c r="K51" i="180"/>
  <c r="K40" i="180"/>
  <c r="K18" i="180"/>
  <c r="K38" i="180"/>
  <c r="K31" i="180"/>
  <c r="K15" i="180"/>
  <c r="K16" i="180"/>
  <c r="K37" i="180"/>
  <c r="K27" i="180"/>
  <c r="K26" i="180"/>
  <c r="K21" i="180"/>
  <c r="K33" i="180"/>
  <c r="K36" i="180"/>
  <c r="K39" i="180"/>
  <c r="K22" i="180"/>
  <c r="H51" i="180"/>
  <c r="K23" i="180"/>
  <c r="K19" i="180"/>
  <c r="K25" i="180"/>
  <c r="K47" i="180"/>
  <c r="K30" i="180"/>
  <c r="K29" i="180"/>
  <c r="K35" i="180"/>
  <c r="K48" i="180"/>
  <c r="K34" i="180"/>
  <c r="K49" i="180"/>
  <c r="H29" i="200"/>
  <c r="I29" i="200" s="1"/>
  <c r="G34" i="200"/>
  <c r="G48" i="207"/>
  <c r="G49" i="207" s="1"/>
  <c r="H47" i="207"/>
  <c r="I47" i="207" s="1"/>
  <c r="F37" i="7"/>
  <c r="I22" i="67"/>
  <c r="G37" i="7" s="1"/>
  <c r="H27" i="76"/>
  <c r="I27" i="76" s="1"/>
  <c r="F48" i="7"/>
  <c r="I25" i="201"/>
  <c r="G48" i="7" s="1"/>
  <c r="G43" i="183"/>
  <c r="G44" i="183" s="1"/>
  <c r="H42" i="183"/>
  <c r="I42" i="183" s="1"/>
  <c r="H29" i="183"/>
  <c r="I29" i="183" s="1"/>
  <c r="G34" i="183"/>
  <c r="H30" i="213"/>
  <c r="I30" i="213" s="1"/>
  <c r="G35" i="213"/>
  <c r="F66" i="7"/>
  <c r="I23" i="220"/>
  <c r="G66" i="7" s="1"/>
  <c r="G35" i="73"/>
  <c r="G36" i="73" s="1"/>
  <c r="H34" i="73"/>
  <c r="I34" i="73" s="1"/>
  <c r="G28" i="25"/>
  <c r="H24" i="25"/>
  <c r="I24" i="25" s="1"/>
  <c r="G35" i="25"/>
  <c r="G38" i="25" s="1"/>
  <c r="F21" i="7"/>
  <c r="I25" i="59"/>
  <c r="G21" i="7" s="1"/>
  <c r="I22" i="65"/>
  <c r="G35" i="7" s="1"/>
  <c r="F35" i="7"/>
  <c r="G35" i="72"/>
  <c r="G36" i="72" s="1"/>
  <c r="H34" i="72"/>
  <c r="I34" i="72" s="1"/>
  <c r="F23" i="56"/>
  <c r="G23" i="56" s="1"/>
  <c r="F23" i="54"/>
  <c r="G23" i="54" s="1"/>
  <c r="F23" i="104"/>
  <c r="G23" i="104" s="1"/>
  <c r="F23" i="168"/>
  <c r="G23" i="168" s="1"/>
  <c r="I25" i="202"/>
  <c r="G49" i="7" s="1"/>
  <c r="F49" i="7"/>
  <c r="G47" i="61"/>
  <c r="G50" i="61" s="1"/>
  <c r="H25" i="61"/>
  <c r="G42" i="61"/>
  <c r="G45" i="61" s="1"/>
  <c r="G29" i="61"/>
  <c r="G30" i="61"/>
  <c r="G35" i="75"/>
  <c r="G36" i="75" s="1"/>
  <c r="H34" i="75"/>
  <c r="I34" i="75" s="1"/>
  <c r="G48" i="203"/>
  <c r="G49" i="203" s="1"/>
  <c r="H47" i="203"/>
  <c r="I47" i="203" s="1"/>
  <c r="G35" i="214"/>
  <c r="H30" i="214"/>
  <c r="I30" i="214" s="1"/>
  <c r="G43" i="214"/>
  <c r="G44" i="214" s="1"/>
  <c r="H42" i="214"/>
  <c r="I42" i="214" s="1"/>
  <c r="H29" i="58"/>
  <c r="I29" i="58" s="1"/>
  <c r="G34" i="58"/>
  <c r="H27" i="5"/>
  <c r="I27" i="5" s="1"/>
  <c r="I23" i="172"/>
  <c r="G42" i="7" s="1"/>
  <c r="F42" i="7"/>
  <c r="K50" i="180"/>
  <c r="H29" i="212"/>
  <c r="I29" i="212" s="1"/>
  <c r="G34" i="212"/>
  <c r="F18" i="7"/>
  <c r="I25" i="57"/>
  <c r="G18" i="7" s="1"/>
  <c r="I25" i="204"/>
  <c r="G58" i="7" s="1"/>
  <c r="F58" i="7"/>
  <c r="G34" i="184"/>
  <c r="H29" i="184"/>
  <c r="I29" i="184" s="1"/>
  <c r="G43" i="62"/>
  <c r="H42" i="62"/>
  <c r="I42" i="62" s="1"/>
  <c r="G48" i="62"/>
  <c r="H47" i="62"/>
  <c r="I47" i="62" s="1"/>
  <c r="H29" i="205"/>
  <c r="I29" i="205" s="1"/>
  <c r="G34" i="205"/>
  <c r="H24" i="174"/>
  <c r="I24" i="174" s="1"/>
  <c r="G28" i="174"/>
  <c r="G35" i="174"/>
  <c r="G38" i="174" s="1"/>
  <c r="F30" i="7"/>
  <c r="I23" i="170"/>
  <c r="G30" i="7" s="1"/>
  <c r="G34" i="206"/>
  <c r="H29" i="206"/>
  <c r="I29" i="206" s="1"/>
  <c r="G43" i="206"/>
  <c r="H42" i="206"/>
  <c r="I42" i="206" s="1"/>
  <c r="G34" i="215"/>
  <c r="H29" i="215"/>
  <c r="I29" i="215" s="1"/>
  <c r="G43" i="200"/>
  <c r="G44" i="200" s="1"/>
  <c r="H42" i="200"/>
  <c r="I42" i="200" s="1"/>
  <c r="G43" i="207"/>
  <c r="G44" i="207" s="1"/>
  <c r="H42" i="207"/>
  <c r="I42" i="207" s="1"/>
  <c r="H24" i="67"/>
  <c r="I24" i="67" s="1"/>
  <c r="G35" i="67"/>
  <c r="G38" i="67" s="1"/>
  <c r="G28" i="67"/>
  <c r="I23" i="76"/>
  <c r="G41" i="7" s="1"/>
  <c r="F41" i="7"/>
  <c r="G36" i="222"/>
  <c r="G43" i="201"/>
  <c r="H42" i="201"/>
  <c r="I42" i="201" s="1"/>
  <c r="G34" i="201"/>
  <c r="H29" i="201"/>
  <c r="I29" i="201" s="1"/>
  <c r="F24" i="7"/>
  <c r="I25" i="183"/>
  <c r="G24" i="7" s="1"/>
  <c r="H29" i="213"/>
  <c r="I29" i="213" s="1"/>
  <c r="G34" i="213"/>
  <c r="G35" i="220"/>
  <c r="G36" i="220" s="1"/>
  <c r="H34" i="220"/>
  <c r="I34" i="220" s="1"/>
  <c r="F29" i="7"/>
  <c r="I23" i="73"/>
  <c r="G29" i="7" s="1"/>
  <c r="K51" i="4"/>
  <c r="K18" i="4"/>
  <c r="K26" i="4"/>
  <c r="K41" i="4"/>
  <c r="K31" i="4"/>
  <c r="K24" i="4"/>
  <c r="K36" i="4"/>
  <c r="K40" i="4"/>
  <c r="K32" i="4"/>
  <c r="K33" i="4"/>
  <c r="K22" i="4"/>
  <c r="K21" i="4"/>
  <c r="K16" i="4"/>
  <c r="K38" i="4"/>
  <c r="K17" i="4"/>
  <c r="K28" i="4"/>
  <c r="K20" i="4"/>
  <c r="K27" i="4"/>
  <c r="K15" i="4"/>
  <c r="K39" i="4"/>
  <c r="K37" i="4"/>
  <c r="H51" i="4"/>
  <c r="K23" i="4"/>
  <c r="K19" i="4"/>
  <c r="K25" i="4"/>
  <c r="K29" i="4"/>
  <c r="K47" i="4"/>
  <c r="K30" i="4"/>
  <c r="K34" i="4"/>
  <c r="K48" i="4"/>
  <c r="K35" i="4"/>
  <c r="K49" i="4"/>
  <c r="G43" i="59"/>
  <c r="H42" i="59"/>
  <c r="I42" i="59" s="1"/>
  <c r="J45" i="4"/>
  <c r="J28" i="4"/>
  <c r="J41" i="4"/>
  <c r="J24" i="4"/>
  <c r="J36" i="4"/>
  <c r="J33" i="4"/>
  <c r="J27" i="4"/>
  <c r="J21" i="4"/>
  <c r="J31" i="4"/>
  <c r="J18" i="4"/>
  <c r="J12" i="4"/>
  <c r="J14" i="4"/>
  <c r="J37" i="4"/>
  <c r="J13" i="4"/>
  <c r="J22" i="4"/>
  <c r="J32" i="4"/>
  <c r="J20" i="4"/>
  <c r="J46" i="4"/>
  <c r="J39" i="4"/>
  <c r="J26" i="4"/>
  <c r="J40" i="4"/>
  <c r="J38" i="4"/>
  <c r="J23" i="4"/>
  <c r="J19" i="4"/>
  <c r="J25" i="4"/>
  <c r="H46" i="4"/>
  <c r="I46" i="4" s="1"/>
  <c r="J42" i="4"/>
  <c r="J30" i="4"/>
  <c r="J29" i="4"/>
  <c r="J34" i="4"/>
  <c r="J43" i="4"/>
  <c r="J35" i="4"/>
  <c r="J44" i="4"/>
  <c r="G48" i="202"/>
  <c r="G49" i="202" s="1"/>
  <c r="H47" i="202"/>
  <c r="I47" i="202" s="1"/>
  <c r="F23" i="50"/>
  <c r="G23" i="50" s="1"/>
  <c r="F23" i="182"/>
  <c r="G23" i="182" s="1"/>
  <c r="F23" i="49"/>
  <c r="G23" i="49" s="1"/>
  <c r="F23" i="48"/>
  <c r="G23" i="48" s="1"/>
  <c r="H27" i="75"/>
  <c r="I27" i="75" s="1"/>
  <c r="G35" i="171"/>
  <c r="H34" i="171"/>
  <c r="I34" i="171" s="1"/>
  <c r="F23" i="52"/>
  <c r="G23" i="52" s="1"/>
  <c r="F23" i="53"/>
  <c r="G23" i="53" s="1"/>
  <c r="F23" i="51"/>
  <c r="G23" i="51" s="1"/>
  <c r="F23" i="181"/>
  <c r="G23" i="181" s="1"/>
  <c r="F50" i="7"/>
  <c r="I25" i="203"/>
  <c r="G50" i="7" s="1"/>
  <c r="G43" i="203"/>
  <c r="H42" i="203"/>
  <c r="I42" i="203" s="1"/>
  <c r="F64" i="7"/>
  <c r="I25" i="214"/>
  <c r="G64" i="7" s="1"/>
  <c r="G48" i="58"/>
  <c r="G49" i="58" s="1"/>
  <c r="H47" i="58"/>
  <c r="I47" i="58" s="1"/>
  <c r="G35" i="172"/>
  <c r="G36" i="172" s="1"/>
  <c r="H34" i="172"/>
  <c r="I34" i="172" s="1"/>
  <c r="G48" i="212"/>
  <c r="H47" i="212"/>
  <c r="I47" i="212" s="1"/>
  <c r="G35" i="57"/>
  <c r="H30" i="57"/>
  <c r="I30" i="57" s="1"/>
  <c r="H29" i="204"/>
  <c r="I29" i="204" s="1"/>
  <c r="G34" i="204"/>
  <c r="G48" i="184"/>
  <c r="G49" i="184" s="1"/>
  <c r="H47" i="184"/>
  <c r="I47" i="184" s="1"/>
  <c r="G43" i="184"/>
  <c r="H42" i="184"/>
  <c r="I42" i="184" s="1"/>
  <c r="H29" i="62"/>
  <c r="I29" i="62" s="1"/>
  <c r="G34" i="62"/>
  <c r="G43" i="205"/>
  <c r="G44" i="205" s="1"/>
  <c r="H42" i="205"/>
  <c r="I42" i="205" s="1"/>
  <c r="F36" i="7"/>
  <c r="I22" i="174"/>
  <c r="G36" i="7" s="1"/>
  <c r="H27" i="170"/>
  <c r="I27" i="170" s="1"/>
  <c r="G51" i="184" l="1"/>
  <c r="H49" i="184"/>
  <c r="I49" i="184" s="1"/>
  <c r="G51" i="206"/>
  <c r="H49" i="206"/>
  <c r="I49" i="206" s="1"/>
  <c r="G46" i="57"/>
  <c r="H44" i="57"/>
  <c r="I44" i="57" s="1"/>
  <c r="H44" i="202"/>
  <c r="I44" i="202" s="1"/>
  <c r="H36" i="172"/>
  <c r="I36" i="172" s="1"/>
  <c r="H44" i="205"/>
  <c r="I44" i="205" s="1"/>
  <c r="H49" i="214"/>
  <c r="I49" i="214" s="1"/>
  <c r="H50" i="200"/>
  <c r="I50" i="200" s="1"/>
  <c r="H49" i="200"/>
  <c r="I49" i="200" s="1"/>
  <c r="H36" i="72"/>
  <c r="I36" i="72" s="1"/>
  <c r="H49" i="204"/>
  <c r="I49" i="204" s="1"/>
  <c r="H49" i="213"/>
  <c r="I49" i="213" s="1"/>
  <c r="H36" i="73"/>
  <c r="I36" i="73" s="1"/>
  <c r="H49" i="59"/>
  <c r="I49" i="59" s="1"/>
  <c r="H34" i="204"/>
  <c r="I34" i="204" s="1"/>
  <c r="H48" i="212"/>
  <c r="I48" i="212" s="1"/>
  <c r="G51" i="58"/>
  <c r="H49" i="58"/>
  <c r="I49" i="58" s="1"/>
  <c r="H23" i="53"/>
  <c r="I23" i="53" s="1"/>
  <c r="G25" i="53"/>
  <c r="G36" i="171"/>
  <c r="H35" i="171"/>
  <c r="I35" i="171" s="1"/>
  <c r="H23" i="49"/>
  <c r="I23" i="49" s="1"/>
  <c r="G25" i="49"/>
  <c r="H34" i="201"/>
  <c r="I34" i="201" s="1"/>
  <c r="H43" i="201"/>
  <c r="I43" i="201" s="1"/>
  <c r="H30" i="61"/>
  <c r="I30" i="61" s="1"/>
  <c r="G35" i="61"/>
  <c r="G48" i="61"/>
  <c r="G49" i="61" s="1"/>
  <c r="H47" i="61"/>
  <c r="I47" i="61" s="1"/>
  <c r="H23" i="104"/>
  <c r="I23" i="104" s="1"/>
  <c r="G25" i="104"/>
  <c r="G36" i="25"/>
  <c r="G37" i="25" s="1"/>
  <c r="H35" i="25"/>
  <c r="I35" i="25" s="1"/>
  <c r="H43" i="183"/>
  <c r="I43" i="183" s="1"/>
  <c r="H43" i="215"/>
  <c r="I43" i="215" s="1"/>
  <c r="G38" i="170"/>
  <c r="H36" i="170"/>
  <c r="I36" i="170" s="1"/>
  <c r="G36" i="175"/>
  <c r="G37" i="175" s="1"/>
  <c r="H35" i="175"/>
  <c r="I35" i="175" s="1"/>
  <c r="H35" i="62"/>
  <c r="I35" i="62" s="1"/>
  <c r="H43" i="58"/>
  <c r="I43" i="58" s="1"/>
  <c r="G36" i="68"/>
  <c r="H35" i="68"/>
  <c r="I35" i="68" s="1"/>
  <c r="H34" i="202"/>
  <c r="I34" i="202" s="1"/>
  <c r="G34" i="60"/>
  <c r="H29" i="60"/>
  <c r="I29" i="60" s="1"/>
  <c r="H43" i="213"/>
  <c r="I43" i="213" s="1"/>
  <c r="H35" i="200"/>
  <c r="I35" i="200" s="1"/>
  <c r="G38" i="5"/>
  <c r="H36" i="5"/>
  <c r="I36" i="5" s="1"/>
  <c r="I24" i="169"/>
  <c r="G33" i="7" s="1"/>
  <c r="F33" i="7"/>
  <c r="H35" i="207"/>
  <c r="I35" i="207" s="1"/>
  <c r="H34" i="62"/>
  <c r="I34" i="62" s="1"/>
  <c r="G44" i="184"/>
  <c r="H43" i="184"/>
  <c r="I43" i="184" s="1"/>
  <c r="H48" i="184"/>
  <c r="I48" i="184" s="1"/>
  <c r="H35" i="57"/>
  <c r="I35" i="57" s="1"/>
  <c r="G49" i="212"/>
  <c r="H35" i="172"/>
  <c r="I35" i="172" s="1"/>
  <c r="H48" i="58"/>
  <c r="I48" i="58" s="1"/>
  <c r="H23" i="52"/>
  <c r="I23" i="52" s="1"/>
  <c r="G25" i="52"/>
  <c r="H23" i="182"/>
  <c r="I23" i="182" s="1"/>
  <c r="G25" i="182"/>
  <c r="H48" i="202"/>
  <c r="I48" i="202" s="1"/>
  <c r="H35" i="220"/>
  <c r="I35" i="220" s="1"/>
  <c r="H34" i="213"/>
  <c r="I34" i="213" s="1"/>
  <c r="H37" i="222"/>
  <c r="I37" i="222" s="1"/>
  <c r="H36" i="222"/>
  <c r="I36" i="222" s="1"/>
  <c r="H28" i="67"/>
  <c r="I28" i="67" s="1"/>
  <c r="H34" i="212"/>
  <c r="I34" i="212" s="1"/>
  <c r="H29" i="61"/>
  <c r="I29" i="61" s="1"/>
  <c r="G34" i="61"/>
  <c r="H23" i="54"/>
  <c r="I23" i="54" s="1"/>
  <c r="G25" i="54"/>
  <c r="H48" i="207"/>
  <c r="I48" i="207" s="1"/>
  <c r="H34" i="200"/>
  <c r="I34" i="200" s="1"/>
  <c r="I51" i="180"/>
  <c r="I4" i="7" s="1"/>
  <c r="H4" i="7"/>
  <c r="G36" i="223"/>
  <c r="H35" i="223"/>
  <c r="I35" i="223" s="1"/>
  <c r="G44" i="215"/>
  <c r="H35" i="170"/>
  <c r="I35" i="170" s="1"/>
  <c r="H35" i="205"/>
  <c r="I35" i="205" s="1"/>
  <c r="G44" i="58"/>
  <c r="H35" i="203"/>
  <c r="I35" i="203" s="1"/>
  <c r="G43" i="60"/>
  <c r="G44" i="60" s="1"/>
  <c r="H42" i="60"/>
  <c r="I42" i="60" s="1"/>
  <c r="H48" i="183"/>
  <c r="I48" i="183" s="1"/>
  <c r="H35" i="201"/>
  <c r="I35" i="201" s="1"/>
  <c r="H35" i="76"/>
  <c r="I35" i="76" s="1"/>
  <c r="H34" i="207"/>
  <c r="I34" i="207" s="1"/>
  <c r="H35" i="215"/>
  <c r="I35" i="215" s="1"/>
  <c r="G49" i="205"/>
  <c r="H48" i="205"/>
  <c r="I48" i="205" s="1"/>
  <c r="H35" i="5"/>
  <c r="I35" i="5" s="1"/>
  <c r="H35" i="58"/>
  <c r="I35" i="58" s="1"/>
  <c r="H28" i="169"/>
  <c r="I28" i="169" s="1"/>
  <c r="H43" i="205"/>
  <c r="I43" i="205" s="1"/>
  <c r="H43" i="203"/>
  <c r="I43" i="203" s="1"/>
  <c r="H23" i="181"/>
  <c r="I23" i="181" s="1"/>
  <c r="G25" i="181"/>
  <c r="H23" i="50"/>
  <c r="I23" i="50" s="1"/>
  <c r="G25" i="50"/>
  <c r="H49" i="202"/>
  <c r="I49" i="202" s="1"/>
  <c r="G44" i="59"/>
  <c r="H43" i="59"/>
  <c r="I43" i="59" s="1"/>
  <c r="G38" i="220"/>
  <c r="H36" i="220"/>
  <c r="I36" i="220" s="1"/>
  <c r="G36" i="67"/>
  <c r="G37" i="67" s="1"/>
  <c r="H35" i="67"/>
  <c r="I35" i="67" s="1"/>
  <c r="G46" i="207"/>
  <c r="H44" i="207"/>
  <c r="I44" i="207" s="1"/>
  <c r="G46" i="200"/>
  <c r="H44" i="200"/>
  <c r="I44" i="200" s="1"/>
  <c r="G44" i="206"/>
  <c r="H43" i="206"/>
  <c r="I43" i="206" s="1"/>
  <c r="H34" i="206"/>
  <c r="I34" i="206" s="1"/>
  <c r="G36" i="174"/>
  <c r="H35" i="174"/>
  <c r="I35" i="174" s="1"/>
  <c r="G44" i="62"/>
  <c r="H43" i="62"/>
  <c r="I43" i="62" s="1"/>
  <c r="H34" i="184"/>
  <c r="I34" i="184" s="1"/>
  <c r="H34" i="58"/>
  <c r="I34" i="58" s="1"/>
  <c r="H44" i="214"/>
  <c r="I44" i="214" s="1"/>
  <c r="G51" i="203"/>
  <c r="H49" i="203"/>
  <c r="I49" i="203" s="1"/>
  <c r="G38" i="75"/>
  <c r="H36" i="75"/>
  <c r="I36" i="75" s="1"/>
  <c r="G43" i="61"/>
  <c r="H42" i="61"/>
  <c r="I42" i="61" s="1"/>
  <c r="H23" i="56"/>
  <c r="I23" i="56" s="1"/>
  <c r="G25" i="56"/>
  <c r="H35" i="72"/>
  <c r="I35" i="72" s="1"/>
  <c r="H28" i="25"/>
  <c r="I28" i="25" s="1"/>
  <c r="H35" i="73"/>
  <c r="I35" i="73" s="1"/>
  <c r="H49" i="207"/>
  <c r="I49" i="207" s="1"/>
  <c r="H35" i="206"/>
  <c r="I35" i="206" s="1"/>
  <c r="H45" i="204"/>
  <c r="I45" i="204" s="1"/>
  <c r="H44" i="204"/>
  <c r="I44" i="204" s="1"/>
  <c r="H34" i="214"/>
  <c r="I34" i="214" s="1"/>
  <c r="G36" i="65"/>
  <c r="G37" i="65" s="1"/>
  <c r="H35" i="65"/>
  <c r="I35" i="65" s="1"/>
  <c r="I25" i="60"/>
  <c r="G22" i="7" s="1"/>
  <c r="F22" i="7"/>
  <c r="H30" i="60"/>
  <c r="I30" i="60" s="1"/>
  <c r="G35" i="60"/>
  <c r="H48" i="59"/>
  <c r="I48" i="59" s="1"/>
  <c r="H49" i="183"/>
  <c r="I49" i="183" s="1"/>
  <c r="H36" i="76"/>
  <c r="I36" i="76" s="1"/>
  <c r="H28" i="64"/>
  <c r="I28" i="64" s="1"/>
  <c r="H48" i="206"/>
  <c r="I48" i="206" s="1"/>
  <c r="H35" i="184"/>
  <c r="I35" i="184" s="1"/>
  <c r="H35" i="204"/>
  <c r="I35" i="204" s="1"/>
  <c r="H48" i="57"/>
  <c r="I48" i="57" s="1"/>
  <c r="H44" i="212"/>
  <c r="I44" i="212" s="1"/>
  <c r="H34" i="203"/>
  <c r="I34" i="203" s="1"/>
  <c r="H35" i="202"/>
  <c r="I35" i="202" s="1"/>
  <c r="H34" i="59"/>
  <c r="I34" i="59" s="1"/>
  <c r="H28" i="70"/>
  <c r="I28" i="70" s="1"/>
  <c r="H35" i="183"/>
  <c r="I35" i="183" s="1"/>
  <c r="G51" i="201"/>
  <c r="H49" i="201"/>
  <c r="I49" i="201" s="1"/>
  <c r="G51" i="215"/>
  <c r="K34" i="215" s="1"/>
  <c r="H49" i="215"/>
  <c r="I49" i="215" s="1"/>
  <c r="H36" i="78"/>
  <c r="I36" i="78" s="1"/>
  <c r="G44" i="203"/>
  <c r="H23" i="51"/>
  <c r="I23" i="51" s="1"/>
  <c r="G25" i="51"/>
  <c r="H23" i="48"/>
  <c r="I23" i="48" s="1"/>
  <c r="G25" i="48"/>
  <c r="H2" i="7"/>
  <c r="I51" i="4"/>
  <c r="I2" i="7" s="1"/>
  <c r="G44" i="201"/>
  <c r="H43" i="207"/>
  <c r="I43" i="207" s="1"/>
  <c r="H43" i="200"/>
  <c r="I43" i="200" s="1"/>
  <c r="H34" i="215"/>
  <c r="I34" i="215" s="1"/>
  <c r="H28" i="174"/>
  <c r="I28" i="174" s="1"/>
  <c r="H34" i="205"/>
  <c r="I34" i="205" s="1"/>
  <c r="G49" i="62"/>
  <c r="H48" i="62"/>
  <c r="I48" i="62" s="1"/>
  <c r="H43" i="214"/>
  <c r="I43" i="214" s="1"/>
  <c r="H35" i="214"/>
  <c r="I35" i="214" s="1"/>
  <c r="H48" i="203"/>
  <c r="I48" i="203" s="1"/>
  <c r="H35" i="75"/>
  <c r="I35" i="75" s="1"/>
  <c r="F23" i="7"/>
  <c r="I25" i="61"/>
  <c r="G23" i="7" s="1"/>
  <c r="H23" i="168"/>
  <c r="I23" i="168" s="1"/>
  <c r="G25" i="168"/>
  <c r="H35" i="213"/>
  <c r="I35" i="213" s="1"/>
  <c r="H34" i="183"/>
  <c r="I34" i="183" s="1"/>
  <c r="G46" i="183"/>
  <c r="J34" i="183" s="1"/>
  <c r="H44" i="183"/>
  <c r="I44" i="183" s="1"/>
  <c r="H28" i="175"/>
  <c r="I28" i="175" s="1"/>
  <c r="H43" i="204"/>
  <c r="I43" i="204" s="1"/>
  <c r="H34" i="57"/>
  <c r="I34" i="57" s="1"/>
  <c r="H35" i="212"/>
  <c r="I35" i="212" s="1"/>
  <c r="H28" i="68"/>
  <c r="I28" i="68" s="1"/>
  <c r="H28" i="65"/>
  <c r="I28" i="65" s="1"/>
  <c r="G48" i="60"/>
  <c r="H47" i="60"/>
  <c r="I47" i="60" s="1"/>
  <c r="H44" i="213"/>
  <c r="I44" i="213" s="1"/>
  <c r="G36" i="64"/>
  <c r="H35" i="64"/>
  <c r="I35" i="64" s="1"/>
  <c r="H48" i="204"/>
  <c r="I48" i="204" s="1"/>
  <c r="H43" i="57"/>
  <c r="I43" i="57" s="1"/>
  <c r="G49" i="57"/>
  <c r="H43" i="212"/>
  <c r="I43" i="212" s="1"/>
  <c r="H48" i="214"/>
  <c r="I48" i="214" s="1"/>
  <c r="H43" i="202"/>
  <c r="I43" i="202" s="1"/>
  <c r="G36" i="169"/>
  <c r="H35" i="169"/>
  <c r="I35" i="169" s="1"/>
  <c r="H35" i="59"/>
  <c r="I35" i="59" s="1"/>
  <c r="H48" i="213"/>
  <c r="I48" i="213" s="1"/>
  <c r="G36" i="70"/>
  <c r="G37" i="70" s="1"/>
  <c r="H35" i="70"/>
  <c r="I35" i="70" s="1"/>
  <c r="H48" i="201"/>
  <c r="I48" i="201" s="1"/>
  <c r="H48" i="200"/>
  <c r="I48" i="200" s="1"/>
  <c r="H48" i="215"/>
  <c r="I48" i="215" s="1"/>
  <c r="H35" i="78"/>
  <c r="I35" i="78" s="1"/>
  <c r="K49" i="184" l="1"/>
  <c r="K48" i="184"/>
  <c r="K48" i="203"/>
  <c r="K34" i="203"/>
  <c r="K48" i="215"/>
  <c r="K34" i="184"/>
  <c r="J36" i="75"/>
  <c r="J35" i="75"/>
  <c r="K48" i="58"/>
  <c r="K35" i="58"/>
  <c r="K34" i="58"/>
  <c r="K34" i="206"/>
  <c r="K35" i="206"/>
  <c r="K49" i="206"/>
  <c r="K48" i="206"/>
  <c r="J36" i="5"/>
  <c r="J35" i="5"/>
  <c r="J36" i="170"/>
  <c r="J35" i="170"/>
  <c r="J35" i="57"/>
  <c r="J44" i="57"/>
  <c r="J34" i="57"/>
  <c r="J43" i="57"/>
  <c r="K35" i="184"/>
  <c r="J33" i="200"/>
  <c r="J24" i="200"/>
  <c r="J28" i="200"/>
  <c r="J12" i="200"/>
  <c r="J37" i="200"/>
  <c r="J32" i="200"/>
  <c r="J40" i="200"/>
  <c r="J39" i="200"/>
  <c r="J46" i="200"/>
  <c r="J27" i="200"/>
  <c r="J18" i="200"/>
  <c r="J36" i="200"/>
  <c r="J41" i="200"/>
  <c r="J13" i="200"/>
  <c r="J20" i="200"/>
  <c r="J38" i="200"/>
  <c r="J31" i="200"/>
  <c r="J26" i="200"/>
  <c r="J21" i="200"/>
  <c r="J22" i="200"/>
  <c r="J14" i="200"/>
  <c r="H46" i="200"/>
  <c r="I46" i="200" s="1"/>
  <c r="J23" i="200"/>
  <c r="J19" i="200"/>
  <c r="J25" i="200"/>
  <c r="J30" i="200"/>
  <c r="J42" i="200"/>
  <c r="J29" i="200"/>
  <c r="J34" i="200"/>
  <c r="J44" i="200"/>
  <c r="J35" i="200"/>
  <c r="J43" i="200"/>
  <c r="H37" i="67"/>
  <c r="I37" i="67" s="1"/>
  <c r="K17" i="201"/>
  <c r="K40" i="201"/>
  <c r="K18" i="201"/>
  <c r="K37" i="201"/>
  <c r="K38" i="201"/>
  <c r="K28" i="201"/>
  <c r="K20" i="201"/>
  <c r="K32" i="201"/>
  <c r="K27" i="201"/>
  <c r="K36" i="201"/>
  <c r="K41" i="201"/>
  <c r="K26" i="201"/>
  <c r="K16" i="201"/>
  <c r="K22" i="201"/>
  <c r="K33" i="201"/>
  <c r="K24" i="201"/>
  <c r="K15" i="201"/>
  <c r="K39" i="201"/>
  <c r="K21" i="201"/>
  <c r="K31" i="201"/>
  <c r="K51" i="201"/>
  <c r="H51" i="201"/>
  <c r="K23" i="201"/>
  <c r="K19" i="201"/>
  <c r="K25" i="201"/>
  <c r="K30" i="201"/>
  <c r="K47" i="201"/>
  <c r="K29" i="201"/>
  <c r="K49" i="201"/>
  <c r="K48" i="201"/>
  <c r="K34" i="201"/>
  <c r="K35" i="201"/>
  <c r="J22" i="207"/>
  <c r="J39" i="207"/>
  <c r="J41" i="207"/>
  <c r="J24" i="207"/>
  <c r="J26" i="207"/>
  <c r="J12" i="207"/>
  <c r="J31" i="207"/>
  <c r="J36" i="207"/>
  <c r="J46" i="207"/>
  <c r="J38" i="207"/>
  <c r="J32" i="207"/>
  <c r="J20" i="207"/>
  <c r="J21" i="207"/>
  <c r="J37" i="207"/>
  <c r="J14" i="207"/>
  <c r="J28" i="207"/>
  <c r="J40" i="207"/>
  <c r="J27" i="207"/>
  <c r="J33" i="207"/>
  <c r="J18" i="207"/>
  <c r="J13" i="207"/>
  <c r="H46" i="207"/>
  <c r="I46" i="207" s="1"/>
  <c r="J23" i="207"/>
  <c r="J19" i="207"/>
  <c r="J25" i="207"/>
  <c r="J29" i="207"/>
  <c r="J30" i="207"/>
  <c r="J42" i="207"/>
  <c r="J35" i="207"/>
  <c r="J44" i="207"/>
  <c r="J43" i="207"/>
  <c r="J34" i="207"/>
  <c r="G37" i="64"/>
  <c r="H36" i="64"/>
  <c r="I36" i="64" s="1"/>
  <c r="H45" i="213"/>
  <c r="I45" i="213" s="1"/>
  <c r="J44" i="183"/>
  <c r="K50" i="215"/>
  <c r="H50" i="215"/>
  <c r="I50" i="215" s="1"/>
  <c r="G39" i="65"/>
  <c r="J36" i="65" s="1"/>
  <c r="H37" i="65"/>
  <c r="I37" i="65" s="1"/>
  <c r="H44" i="62"/>
  <c r="I44" i="62" s="1"/>
  <c r="J37" i="220"/>
  <c r="H37" i="220"/>
  <c r="I37" i="220" s="1"/>
  <c r="H44" i="59"/>
  <c r="I44" i="59" s="1"/>
  <c r="H50" i="202"/>
  <c r="I50" i="202" s="1"/>
  <c r="G51" i="205"/>
  <c r="H49" i="205"/>
  <c r="I49" i="205" s="1"/>
  <c r="H44" i="60"/>
  <c r="I44" i="60" s="1"/>
  <c r="H34" i="61"/>
  <c r="I34" i="61" s="1"/>
  <c r="H36" i="171"/>
  <c r="I36" i="171" s="1"/>
  <c r="K40" i="58"/>
  <c r="K24" i="58"/>
  <c r="K21" i="58"/>
  <c r="K22" i="58"/>
  <c r="K36" i="58"/>
  <c r="K33" i="58"/>
  <c r="K26" i="58"/>
  <c r="K18" i="58"/>
  <c r="K27" i="58"/>
  <c r="K15" i="58"/>
  <c r="K28" i="58"/>
  <c r="K17" i="58"/>
  <c r="K39" i="58"/>
  <c r="K31" i="58"/>
  <c r="K16" i="58"/>
  <c r="K41" i="58"/>
  <c r="K20" i="58"/>
  <c r="K51" i="58"/>
  <c r="K38" i="58"/>
  <c r="K32" i="58"/>
  <c r="K37" i="58"/>
  <c r="H51" i="58"/>
  <c r="K19" i="58"/>
  <c r="K23" i="58"/>
  <c r="K25" i="58"/>
  <c r="K47" i="58"/>
  <c r="K30" i="58"/>
  <c r="K29" i="58"/>
  <c r="H50" i="59"/>
  <c r="I50" i="59" s="1"/>
  <c r="H37" i="73"/>
  <c r="I37" i="73" s="1"/>
  <c r="H50" i="213"/>
  <c r="I50" i="213" s="1"/>
  <c r="H50" i="204"/>
  <c r="I50" i="204" s="1"/>
  <c r="G46" i="205"/>
  <c r="J45" i="205" s="1"/>
  <c r="H45" i="205"/>
  <c r="I45" i="205" s="1"/>
  <c r="H37" i="172"/>
  <c r="I37" i="172" s="1"/>
  <c r="G51" i="57"/>
  <c r="K49" i="57" s="1"/>
  <c r="H49" i="57"/>
  <c r="I49" i="57" s="1"/>
  <c r="J36" i="183"/>
  <c r="J41" i="183"/>
  <c r="J24" i="183"/>
  <c r="J26" i="183"/>
  <c r="J28" i="183"/>
  <c r="J40" i="183"/>
  <c r="J32" i="183"/>
  <c r="J46" i="183"/>
  <c r="J37" i="183"/>
  <c r="J38" i="183"/>
  <c r="J18" i="183"/>
  <c r="J21" i="183"/>
  <c r="J12" i="183"/>
  <c r="J39" i="183"/>
  <c r="J22" i="183"/>
  <c r="J31" i="183"/>
  <c r="J20" i="183"/>
  <c r="J13" i="183"/>
  <c r="J33" i="183"/>
  <c r="J14" i="183"/>
  <c r="J27" i="183"/>
  <c r="H46" i="183"/>
  <c r="I46" i="183" s="1"/>
  <c r="J19" i="183"/>
  <c r="J25" i="183"/>
  <c r="J23" i="183"/>
  <c r="J42" i="183"/>
  <c r="J29" i="183"/>
  <c r="J30" i="183"/>
  <c r="G30" i="168"/>
  <c r="G47" i="168"/>
  <c r="G50" i="168" s="1"/>
  <c r="H25" i="168"/>
  <c r="G42" i="168"/>
  <c r="G45" i="168" s="1"/>
  <c r="G29" i="168"/>
  <c r="G38" i="78"/>
  <c r="J37" i="78" s="1"/>
  <c r="H37" i="78"/>
  <c r="I37" i="78" s="1"/>
  <c r="K32" i="215"/>
  <c r="K28" i="215"/>
  <c r="K33" i="215"/>
  <c r="K16" i="215"/>
  <c r="K51" i="215"/>
  <c r="K37" i="215"/>
  <c r="K27" i="215"/>
  <c r="K24" i="215"/>
  <c r="K40" i="215"/>
  <c r="K17" i="215"/>
  <c r="K21" i="215"/>
  <c r="K36" i="215"/>
  <c r="K15" i="215"/>
  <c r="K18" i="215"/>
  <c r="K20" i="215"/>
  <c r="K41" i="215"/>
  <c r="K38" i="215"/>
  <c r="K26" i="215"/>
  <c r="K22" i="215"/>
  <c r="K39" i="215"/>
  <c r="K31" i="215"/>
  <c r="H51" i="215"/>
  <c r="K23" i="215"/>
  <c r="K19" i="215"/>
  <c r="K25" i="215"/>
  <c r="K47" i="215"/>
  <c r="K29" i="215"/>
  <c r="K30" i="215"/>
  <c r="K50" i="201"/>
  <c r="H50" i="201"/>
  <c r="I50" i="201" s="1"/>
  <c r="H37" i="76"/>
  <c r="I37" i="76" s="1"/>
  <c r="G51" i="183"/>
  <c r="K50" i="183" s="1"/>
  <c r="H50" i="183"/>
  <c r="I50" i="183" s="1"/>
  <c r="H36" i="65"/>
  <c r="I36" i="65" s="1"/>
  <c r="H50" i="207"/>
  <c r="I50" i="207" s="1"/>
  <c r="H25" i="56"/>
  <c r="G30" i="56"/>
  <c r="G47" i="56"/>
  <c r="G50" i="56" s="1"/>
  <c r="G42" i="56"/>
  <c r="G45" i="56" s="1"/>
  <c r="G29" i="56"/>
  <c r="K37" i="203"/>
  <c r="K51" i="203"/>
  <c r="K41" i="203"/>
  <c r="K39" i="203"/>
  <c r="K17" i="203"/>
  <c r="K16" i="203"/>
  <c r="K21" i="203"/>
  <c r="K15" i="203"/>
  <c r="K38" i="203"/>
  <c r="K27" i="203"/>
  <c r="K20" i="203"/>
  <c r="K18" i="203"/>
  <c r="K28" i="203"/>
  <c r="K31" i="203"/>
  <c r="K22" i="203"/>
  <c r="K36" i="203"/>
  <c r="K24" i="203"/>
  <c r="K33" i="203"/>
  <c r="K26" i="203"/>
  <c r="K32" i="203"/>
  <c r="K40" i="203"/>
  <c r="H51" i="203"/>
  <c r="K23" i="203"/>
  <c r="K19" i="203"/>
  <c r="K25" i="203"/>
  <c r="K30" i="203"/>
  <c r="K47" i="203"/>
  <c r="K29" i="203"/>
  <c r="H45" i="214"/>
  <c r="I45" i="214" s="1"/>
  <c r="G46" i="206"/>
  <c r="H44" i="206"/>
  <c r="I44" i="206" s="1"/>
  <c r="J45" i="200"/>
  <c r="H45" i="200"/>
  <c r="I45" i="200" s="1"/>
  <c r="J45" i="207"/>
  <c r="H45" i="207"/>
  <c r="I45" i="207" s="1"/>
  <c r="H36" i="67"/>
  <c r="I36" i="67" s="1"/>
  <c r="J32" i="220"/>
  <c r="J38" i="220"/>
  <c r="J22" i="220"/>
  <c r="J33" i="220"/>
  <c r="J24" i="220"/>
  <c r="J19" i="220"/>
  <c r="J31" i="220"/>
  <c r="J30" i="220"/>
  <c r="J17" i="220"/>
  <c r="J18" i="220"/>
  <c r="J13" i="220"/>
  <c r="J28" i="220"/>
  <c r="J26" i="220"/>
  <c r="J14" i="220"/>
  <c r="J25" i="220"/>
  <c r="J21" i="220"/>
  <c r="J29" i="220"/>
  <c r="J15" i="220"/>
  <c r="H38" i="220"/>
  <c r="J20" i="220"/>
  <c r="J16" i="220"/>
  <c r="J23" i="220"/>
  <c r="J27" i="220"/>
  <c r="J34" i="220"/>
  <c r="G29" i="50"/>
  <c r="G47" i="50"/>
  <c r="G50" i="50" s="1"/>
  <c r="G42" i="50"/>
  <c r="G45" i="50" s="1"/>
  <c r="H25" i="50"/>
  <c r="G30" i="50"/>
  <c r="G30" i="181"/>
  <c r="G42" i="181"/>
  <c r="G45" i="181" s="1"/>
  <c r="G47" i="181"/>
  <c r="G50" i="181" s="1"/>
  <c r="G29" i="181"/>
  <c r="H25" i="181"/>
  <c r="H43" i="60"/>
  <c r="I43" i="60" s="1"/>
  <c r="H44" i="58"/>
  <c r="I44" i="58" s="1"/>
  <c r="J35" i="220"/>
  <c r="J21" i="5"/>
  <c r="J14" i="5"/>
  <c r="J38" i="5"/>
  <c r="J28" i="5"/>
  <c r="J18" i="5"/>
  <c r="J15" i="5"/>
  <c r="J33" i="5"/>
  <c r="J19" i="5"/>
  <c r="J13" i="5"/>
  <c r="J29" i="5"/>
  <c r="J31" i="5"/>
  <c r="J30" i="5"/>
  <c r="J25" i="5"/>
  <c r="J24" i="5"/>
  <c r="J17" i="5"/>
  <c r="J32" i="5"/>
  <c r="J22" i="5"/>
  <c r="J26" i="5"/>
  <c r="H38" i="5"/>
  <c r="J16" i="5"/>
  <c r="J20" i="5"/>
  <c r="J23" i="5"/>
  <c r="J34" i="5"/>
  <c r="J27" i="5"/>
  <c r="G37" i="68"/>
  <c r="H36" i="68"/>
  <c r="I36" i="68" s="1"/>
  <c r="G39" i="175"/>
  <c r="H37" i="175"/>
  <c r="I37" i="175" s="1"/>
  <c r="J18" i="170"/>
  <c r="J19" i="170"/>
  <c r="J25" i="170"/>
  <c r="J26" i="170"/>
  <c r="J31" i="170"/>
  <c r="J24" i="170"/>
  <c r="J14" i="170"/>
  <c r="J15" i="170"/>
  <c r="J33" i="170"/>
  <c r="J17" i="170"/>
  <c r="J22" i="170"/>
  <c r="J30" i="170"/>
  <c r="J29" i="170"/>
  <c r="J32" i="170"/>
  <c r="J13" i="170"/>
  <c r="J21" i="170"/>
  <c r="J38" i="170"/>
  <c r="J28" i="170"/>
  <c r="H38" i="170"/>
  <c r="J16" i="170"/>
  <c r="J20" i="170"/>
  <c r="J23" i="170"/>
  <c r="J34" i="170"/>
  <c r="J27" i="170"/>
  <c r="H37" i="25"/>
  <c r="I37" i="25" s="1"/>
  <c r="H49" i="61"/>
  <c r="I49" i="61" s="1"/>
  <c r="H35" i="61"/>
  <c r="I35" i="61" s="1"/>
  <c r="G29" i="53"/>
  <c r="G47" i="53"/>
  <c r="G50" i="53" s="1"/>
  <c r="G30" i="53"/>
  <c r="G42" i="53"/>
  <c r="G45" i="53" s="1"/>
  <c r="H25" i="53"/>
  <c r="H36" i="169"/>
  <c r="I36" i="169" s="1"/>
  <c r="H38" i="70"/>
  <c r="I38" i="70" s="1"/>
  <c r="H37" i="70"/>
  <c r="I37" i="70" s="1"/>
  <c r="G37" i="169"/>
  <c r="J45" i="183"/>
  <c r="H45" i="183"/>
  <c r="I45" i="183" s="1"/>
  <c r="G51" i="62"/>
  <c r="H49" i="62"/>
  <c r="I49" i="62" s="1"/>
  <c r="G42" i="48"/>
  <c r="G45" i="48" s="1"/>
  <c r="G30" i="48"/>
  <c r="H25" i="48"/>
  <c r="G47" i="48"/>
  <c r="G50" i="48" s="1"/>
  <c r="G29" i="48"/>
  <c r="G29" i="51"/>
  <c r="G42" i="51"/>
  <c r="G45" i="51" s="1"/>
  <c r="G47" i="51"/>
  <c r="G50" i="51" s="1"/>
  <c r="G30" i="51"/>
  <c r="H25" i="51"/>
  <c r="G46" i="203"/>
  <c r="H44" i="203"/>
  <c r="I44" i="203" s="1"/>
  <c r="G46" i="212"/>
  <c r="H45" i="212"/>
  <c r="I45" i="212" s="1"/>
  <c r="G38" i="76"/>
  <c r="H35" i="60"/>
  <c r="I35" i="60" s="1"/>
  <c r="G46" i="204"/>
  <c r="G51" i="207"/>
  <c r="J38" i="75"/>
  <c r="J22" i="75"/>
  <c r="J26" i="75"/>
  <c r="J18" i="75"/>
  <c r="J15" i="75"/>
  <c r="J28" i="75"/>
  <c r="J24" i="75"/>
  <c r="J32" i="75"/>
  <c r="J17" i="75"/>
  <c r="J19" i="75"/>
  <c r="J13" i="75"/>
  <c r="J14" i="75"/>
  <c r="J30" i="75"/>
  <c r="J33" i="75"/>
  <c r="J21" i="75"/>
  <c r="J29" i="75"/>
  <c r="J20" i="75"/>
  <c r="J25" i="75"/>
  <c r="J31" i="75"/>
  <c r="H38" i="75"/>
  <c r="J16" i="75"/>
  <c r="J23" i="75"/>
  <c r="J27" i="75"/>
  <c r="J34" i="75"/>
  <c r="K50" i="203"/>
  <c r="H50" i="203"/>
  <c r="I50" i="203" s="1"/>
  <c r="H36" i="223"/>
  <c r="I36" i="223" s="1"/>
  <c r="G29" i="54"/>
  <c r="H25" i="54"/>
  <c r="G30" i="54"/>
  <c r="G42" i="54"/>
  <c r="G45" i="54" s="1"/>
  <c r="G47" i="54"/>
  <c r="G50" i="54" s="1"/>
  <c r="G29" i="182"/>
  <c r="H25" i="182"/>
  <c r="G30" i="182"/>
  <c r="G47" i="182"/>
  <c r="G50" i="182" s="1"/>
  <c r="G42" i="182"/>
  <c r="G45" i="182" s="1"/>
  <c r="G30" i="52"/>
  <c r="G47" i="52"/>
  <c r="G50" i="52" s="1"/>
  <c r="G42" i="52"/>
  <c r="G45" i="52" s="1"/>
  <c r="G29" i="52"/>
  <c r="H25" i="52"/>
  <c r="H49" i="212"/>
  <c r="I49" i="212" s="1"/>
  <c r="H45" i="184"/>
  <c r="I45" i="184" s="1"/>
  <c r="H44" i="184"/>
  <c r="I44" i="184" s="1"/>
  <c r="J37" i="5"/>
  <c r="H37" i="5"/>
  <c r="I37" i="5" s="1"/>
  <c r="H36" i="175"/>
  <c r="I36" i="175" s="1"/>
  <c r="J37" i="170"/>
  <c r="H37" i="170"/>
  <c r="I37" i="170" s="1"/>
  <c r="J43" i="183"/>
  <c r="H36" i="25"/>
  <c r="I36" i="25" s="1"/>
  <c r="H48" i="61"/>
  <c r="I48" i="61" s="1"/>
  <c r="G30" i="49"/>
  <c r="H25" i="49"/>
  <c r="G29" i="49"/>
  <c r="G47" i="49"/>
  <c r="G50" i="49" s="1"/>
  <c r="G42" i="49"/>
  <c r="G45" i="49" s="1"/>
  <c r="K49" i="58"/>
  <c r="G51" i="200"/>
  <c r="G51" i="214"/>
  <c r="K50" i="214" s="1"/>
  <c r="H50" i="214"/>
  <c r="I50" i="214" s="1"/>
  <c r="J38" i="57"/>
  <c r="J31" i="57"/>
  <c r="J27" i="57"/>
  <c r="J32" i="57"/>
  <c r="J33" i="57"/>
  <c r="J18" i="57"/>
  <c r="J21" i="57"/>
  <c r="J28" i="57"/>
  <c r="J14" i="57"/>
  <c r="J46" i="57"/>
  <c r="J24" i="57"/>
  <c r="J37" i="57"/>
  <c r="J20" i="57"/>
  <c r="J13" i="57"/>
  <c r="J12" i="57"/>
  <c r="J40" i="57"/>
  <c r="J22" i="57"/>
  <c r="J41" i="57"/>
  <c r="J26" i="57"/>
  <c r="J39" i="57"/>
  <c r="J36" i="57"/>
  <c r="H46" i="57"/>
  <c r="I46" i="57" s="1"/>
  <c r="J23" i="57"/>
  <c r="J19" i="57"/>
  <c r="J25" i="57"/>
  <c r="J30" i="57"/>
  <c r="J42" i="57"/>
  <c r="J29" i="57"/>
  <c r="K31" i="206"/>
  <c r="K39" i="206"/>
  <c r="K40" i="206"/>
  <c r="K18" i="206"/>
  <c r="K51" i="206"/>
  <c r="K15" i="206"/>
  <c r="K32" i="206"/>
  <c r="K20" i="206"/>
  <c r="K38" i="206"/>
  <c r="K22" i="206"/>
  <c r="K41" i="206"/>
  <c r="K37" i="206"/>
  <c r="K33" i="206"/>
  <c r="K28" i="206"/>
  <c r="K16" i="206"/>
  <c r="K21" i="206"/>
  <c r="K17" i="206"/>
  <c r="K27" i="206"/>
  <c r="K36" i="206"/>
  <c r="K26" i="206"/>
  <c r="K24" i="206"/>
  <c r="H51" i="206"/>
  <c r="K19" i="206"/>
  <c r="K23" i="206"/>
  <c r="K25" i="206"/>
  <c r="K30" i="206"/>
  <c r="K47" i="206"/>
  <c r="K29" i="206"/>
  <c r="K15" i="184"/>
  <c r="K31" i="184"/>
  <c r="K51" i="184"/>
  <c r="K18" i="184"/>
  <c r="K20" i="184"/>
  <c r="K32" i="184"/>
  <c r="K33" i="184"/>
  <c r="K40" i="184"/>
  <c r="K28" i="184"/>
  <c r="K41" i="184"/>
  <c r="K27" i="184"/>
  <c r="K38" i="184"/>
  <c r="K22" i="184"/>
  <c r="K39" i="184"/>
  <c r="K37" i="184"/>
  <c r="K21" i="184"/>
  <c r="K17" i="184"/>
  <c r="K16" i="184"/>
  <c r="K26" i="184"/>
  <c r="K36" i="184"/>
  <c r="K24" i="184"/>
  <c r="H51" i="184"/>
  <c r="K19" i="184"/>
  <c r="K23" i="184"/>
  <c r="K25" i="184"/>
  <c r="K47" i="184"/>
  <c r="K30" i="184"/>
  <c r="K29" i="184"/>
  <c r="H36" i="70"/>
  <c r="I36" i="70" s="1"/>
  <c r="G46" i="213"/>
  <c r="J45" i="213" s="1"/>
  <c r="G49" i="60"/>
  <c r="H48" i="60"/>
  <c r="I48" i="60" s="1"/>
  <c r="H44" i="201"/>
  <c r="I44" i="201" s="1"/>
  <c r="K49" i="215"/>
  <c r="J35" i="183"/>
  <c r="G44" i="61"/>
  <c r="H43" i="61"/>
  <c r="I43" i="61" s="1"/>
  <c r="J37" i="75"/>
  <c r="H37" i="75"/>
  <c r="I37" i="75" s="1"/>
  <c r="K49" i="203"/>
  <c r="G46" i="214"/>
  <c r="G37" i="174"/>
  <c r="H36" i="174"/>
  <c r="I36" i="174" s="1"/>
  <c r="J36" i="220"/>
  <c r="G51" i="202"/>
  <c r="K50" i="202" s="1"/>
  <c r="K35" i="215"/>
  <c r="K35" i="203"/>
  <c r="H44" i="215"/>
  <c r="I44" i="215" s="1"/>
  <c r="G38" i="222"/>
  <c r="H34" i="60"/>
  <c r="I34" i="60" s="1"/>
  <c r="G30" i="104"/>
  <c r="G42" i="104"/>
  <c r="G45" i="104" s="1"/>
  <c r="G29" i="104"/>
  <c r="H25" i="104"/>
  <c r="G47" i="104"/>
  <c r="G50" i="104" s="1"/>
  <c r="K50" i="58"/>
  <c r="H50" i="58"/>
  <c r="I50" i="58" s="1"/>
  <c r="G51" i="59"/>
  <c r="G38" i="73"/>
  <c r="J37" i="73" s="1"/>
  <c r="G51" i="213"/>
  <c r="G51" i="204"/>
  <c r="G38" i="72"/>
  <c r="J37" i="72" s="1"/>
  <c r="H37" i="72"/>
  <c r="I37" i="72" s="1"/>
  <c r="G38" i="172"/>
  <c r="G46" i="202"/>
  <c r="J45" i="202" s="1"/>
  <c r="H45" i="202"/>
  <c r="I45" i="202" s="1"/>
  <c r="J45" i="57"/>
  <c r="H45" i="57"/>
  <c r="I45" i="57" s="1"/>
  <c r="K50" i="206"/>
  <c r="H50" i="206"/>
  <c r="I50" i="206" s="1"/>
  <c r="K50" i="184"/>
  <c r="H50" i="184"/>
  <c r="I50" i="184" s="1"/>
  <c r="J37" i="175" l="1"/>
  <c r="J36" i="175"/>
  <c r="G39" i="70"/>
  <c r="J37" i="70" s="1"/>
  <c r="G46" i="184"/>
  <c r="J44" i="184" s="1"/>
  <c r="J37" i="65"/>
  <c r="J14" i="206"/>
  <c r="J36" i="206"/>
  <c r="J24" i="206"/>
  <c r="J12" i="206"/>
  <c r="J40" i="206"/>
  <c r="J26" i="206"/>
  <c r="J46" i="206"/>
  <c r="J38" i="206"/>
  <c r="J37" i="206"/>
  <c r="J33" i="206"/>
  <c r="J13" i="206"/>
  <c r="J41" i="206"/>
  <c r="J31" i="206"/>
  <c r="J28" i="206"/>
  <c r="J18" i="206"/>
  <c r="J39" i="206"/>
  <c r="J22" i="206"/>
  <c r="J32" i="206"/>
  <c r="J27" i="206"/>
  <c r="J20" i="206"/>
  <c r="J21" i="206"/>
  <c r="H46" i="206"/>
  <c r="I46" i="206" s="1"/>
  <c r="J19" i="206"/>
  <c r="J23" i="206"/>
  <c r="J25" i="206"/>
  <c r="J29" i="206"/>
  <c r="J42" i="206"/>
  <c r="J30" i="206"/>
  <c r="J34" i="206"/>
  <c r="J35" i="206"/>
  <c r="J43" i="206"/>
  <c r="J44" i="206"/>
  <c r="K33" i="205"/>
  <c r="K24" i="205"/>
  <c r="K21" i="205"/>
  <c r="K26" i="205"/>
  <c r="K28" i="205"/>
  <c r="K16" i="205"/>
  <c r="K22" i="205"/>
  <c r="K51" i="205"/>
  <c r="K27" i="205"/>
  <c r="K17" i="205"/>
  <c r="K31" i="205"/>
  <c r="K15" i="205"/>
  <c r="K32" i="205"/>
  <c r="K41" i="205"/>
  <c r="K36" i="205"/>
  <c r="K18" i="205"/>
  <c r="K20" i="205"/>
  <c r="K40" i="205"/>
  <c r="K37" i="205"/>
  <c r="K39" i="205"/>
  <c r="K38" i="205"/>
  <c r="H51" i="205"/>
  <c r="K19" i="205"/>
  <c r="K23" i="205"/>
  <c r="K25" i="205"/>
  <c r="K30" i="205"/>
  <c r="K29" i="205"/>
  <c r="K47" i="205"/>
  <c r="K35" i="205"/>
  <c r="K48" i="205"/>
  <c r="K34" i="205"/>
  <c r="K49" i="205"/>
  <c r="K27" i="62"/>
  <c r="K36" i="62"/>
  <c r="K20" i="62"/>
  <c r="K37" i="62"/>
  <c r="K16" i="62"/>
  <c r="K26" i="62"/>
  <c r="K21" i="62"/>
  <c r="K38" i="62"/>
  <c r="K51" i="62"/>
  <c r="K24" i="62"/>
  <c r="K22" i="62"/>
  <c r="K15" i="62"/>
  <c r="K40" i="62"/>
  <c r="K31" i="62"/>
  <c r="K39" i="62"/>
  <c r="K18" i="62"/>
  <c r="K41" i="62"/>
  <c r="K17" i="62"/>
  <c r="K33" i="62"/>
  <c r="K32" i="62"/>
  <c r="K28" i="62"/>
  <c r="H51" i="62"/>
  <c r="K19" i="62"/>
  <c r="K25" i="62"/>
  <c r="K23" i="62"/>
  <c r="K29" i="62"/>
  <c r="K30" i="62"/>
  <c r="K47" i="62"/>
  <c r="K35" i="62"/>
  <c r="K34" i="62"/>
  <c r="K48" i="62"/>
  <c r="K49" i="62"/>
  <c r="J31" i="172"/>
  <c r="J24" i="172"/>
  <c r="J29" i="172"/>
  <c r="J17" i="172"/>
  <c r="J33" i="172"/>
  <c r="J38" i="172"/>
  <c r="J32" i="172"/>
  <c r="J18" i="172"/>
  <c r="J19" i="172"/>
  <c r="J25" i="172"/>
  <c r="J13" i="172"/>
  <c r="J14" i="172"/>
  <c r="J26" i="172"/>
  <c r="J15" i="172"/>
  <c r="J30" i="172"/>
  <c r="J28" i="172"/>
  <c r="J22" i="172"/>
  <c r="J21" i="172"/>
  <c r="H38" i="172"/>
  <c r="J16" i="172"/>
  <c r="J20" i="172"/>
  <c r="J23" i="172"/>
  <c r="J34" i="172"/>
  <c r="J27" i="172"/>
  <c r="J36" i="172"/>
  <c r="J35" i="172"/>
  <c r="K33" i="204"/>
  <c r="K39" i="204"/>
  <c r="K28" i="204"/>
  <c r="K20" i="204"/>
  <c r="K24" i="204"/>
  <c r="K21" i="204"/>
  <c r="K37" i="204"/>
  <c r="K51" i="204"/>
  <c r="K26" i="204"/>
  <c r="K36" i="204"/>
  <c r="K27" i="204"/>
  <c r="K31" i="204"/>
  <c r="K18" i="204"/>
  <c r="K32" i="204"/>
  <c r="K41" i="204"/>
  <c r="K16" i="204"/>
  <c r="K40" i="204"/>
  <c r="K22" i="204"/>
  <c r="K17" i="204"/>
  <c r="K38" i="204"/>
  <c r="K15" i="204"/>
  <c r="H51" i="204"/>
  <c r="K23" i="204"/>
  <c r="K19" i="204"/>
  <c r="K25" i="204"/>
  <c r="K29" i="204"/>
  <c r="K47" i="204"/>
  <c r="K30" i="204"/>
  <c r="K35" i="204"/>
  <c r="K49" i="204"/>
  <c r="K34" i="204"/>
  <c r="K48" i="204"/>
  <c r="G48" i="104"/>
  <c r="G49" i="104" s="1"/>
  <c r="H47" i="104"/>
  <c r="I47" i="104" s="1"/>
  <c r="H30" i="104"/>
  <c r="I30" i="104" s="1"/>
  <c r="G35" i="104"/>
  <c r="J37" i="222"/>
  <c r="J32" i="222"/>
  <c r="J25" i="222"/>
  <c r="J29" i="222"/>
  <c r="J28" i="222"/>
  <c r="J17" i="222"/>
  <c r="J13" i="222"/>
  <c r="J33" i="222"/>
  <c r="J31" i="222"/>
  <c r="J30" i="222"/>
  <c r="J24" i="222"/>
  <c r="J38" i="222"/>
  <c r="J19" i="222"/>
  <c r="J14" i="222"/>
  <c r="J22" i="222"/>
  <c r="J26" i="222"/>
  <c r="J18" i="222"/>
  <c r="J15" i="222"/>
  <c r="J21" i="222"/>
  <c r="H38" i="222"/>
  <c r="J20" i="222"/>
  <c r="J23" i="222"/>
  <c r="J16" i="222"/>
  <c r="J34" i="222"/>
  <c r="J27" i="222"/>
  <c r="J35" i="222"/>
  <c r="J36" i="222"/>
  <c r="H45" i="215"/>
  <c r="I45" i="215" s="1"/>
  <c r="H38" i="174"/>
  <c r="I38" i="174" s="1"/>
  <c r="H37" i="174"/>
  <c r="I37" i="174" s="1"/>
  <c r="K50" i="200"/>
  <c r="K41" i="200"/>
  <c r="K27" i="200"/>
  <c r="K33" i="200"/>
  <c r="K26" i="200"/>
  <c r="K39" i="200"/>
  <c r="K37" i="200"/>
  <c r="K15" i="200"/>
  <c r="K24" i="200"/>
  <c r="K32" i="200"/>
  <c r="K17" i="200"/>
  <c r="K21" i="200"/>
  <c r="K36" i="200"/>
  <c r="K16" i="200"/>
  <c r="K51" i="200"/>
  <c r="K40" i="200"/>
  <c r="K38" i="200"/>
  <c r="K20" i="200"/>
  <c r="K31" i="200"/>
  <c r="K18" i="200"/>
  <c r="K28" i="200"/>
  <c r="K22" i="200"/>
  <c r="H51" i="200"/>
  <c r="K23" i="200"/>
  <c r="K19" i="200"/>
  <c r="K25" i="200"/>
  <c r="K29" i="200"/>
  <c r="K30" i="200"/>
  <c r="K47" i="200"/>
  <c r="K34" i="200"/>
  <c r="K49" i="200"/>
  <c r="K48" i="200"/>
  <c r="K35" i="200"/>
  <c r="G43" i="49"/>
  <c r="H42" i="49"/>
  <c r="I42" i="49" s="1"/>
  <c r="G35" i="49"/>
  <c r="H30" i="49"/>
  <c r="I30" i="49" s="1"/>
  <c r="H50" i="212"/>
  <c r="I50" i="212" s="1"/>
  <c r="G35" i="52"/>
  <c r="H30" i="52"/>
  <c r="I30" i="52" s="1"/>
  <c r="G48" i="182"/>
  <c r="H47" i="182"/>
  <c r="I47" i="182" s="1"/>
  <c r="H30" i="54"/>
  <c r="I30" i="54" s="1"/>
  <c r="G35" i="54"/>
  <c r="H31" i="7"/>
  <c r="I38" i="75"/>
  <c r="I31" i="7" s="1"/>
  <c r="K20" i="207"/>
  <c r="K32" i="207"/>
  <c r="K15" i="207"/>
  <c r="K38" i="207"/>
  <c r="K17" i="207"/>
  <c r="K33" i="207"/>
  <c r="K37" i="207"/>
  <c r="K39" i="207"/>
  <c r="K36" i="207"/>
  <c r="K26" i="207"/>
  <c r="K40" i="207"/>
  <c r="K24" i="207"/>
  <c r="K22" i="207"/>
  <c r="K41" i="207"/>
  <c r="K28" i="207"/>
  <c r="K21" i="207"/>
  <c r="K31" i="207"/>
  <c r="K27" i="207"/>
  <c r="K18" i="207"/>
  <c r="K16" i="207"/>
  <c r="K51" i="207"/>
  <c r="H51" i="207"/>
  <c r="K19" i="207"/>
  <c r="K23" i="207"/>
  <c r="K25" i="207"/>
  <c r="K30" i="207"/>
  <c r="K29" i="207"/>
  <c r="K47" i="207"/>
  <c r="K34" i="207"/>
  <c r="K48" i="207"/>
  <c r="K35" i="207"/>
  <c r="K49" i="207"/>
  <c r="J18" i="212"/>
  <c r="J36" i="212"/>
  <c r="J24" i="212"/>
  <c r="J41" i="212"/>
  <c r="J28" i="212"/>
  <c r="J12" i="212"/>
  <c r="J32" i="212"/>
  <c r="J38" i="212"/>
  <c r="J13" i="212"/>
  <c r="J20" i="212"/>
  <c r="J33" i="212"/>
  <c r="J37" i="212"/>
  <c r="J39" i="212"/>
  <c r="J21" i="212"/>
  <c r="J14" i="212"/>
  <c r="J27" i="212"/>
  <c r="J22" i="212"/>
  <c r="J40" i="212"/>
  <c r="J26" i="212"/>
  <c r="J46" i="212"/>
  <c r="J31" i="212"/>
  <c r="H46" i="212"/>
  <c r="I46" i="212" s="1"/>
  <c r="J19" i="212"/>
  <c r="J23" i="212"/>
  <c r="J25" i="212"/>
  <c r="J42" i="212"/>
  <c r="J30" i="212"/>
  <c r="J29" i="212"/>
  <c r="J34" i="212"/>
  <c r="J44" i="212"/>
  <c r="J35" i="212"/>
  <c r="J43" i="212"/>
  <c r="I25" i="51"/>
  <c r="G10" i="7" s="1"/>
  <c r="F10" i="7"/>
  <c r="G48" i="51"/>
  <c r="G49" i="51" s="1"/>
  <c r="H47" i="51"/>
  <c r="I47" i="51" s="1"/>
  <c r="H30" i="48"/>
  <c r="I30" i="48" s="1"/>
  <c r="G35" i="48"/>
  <c r="I25" i="53"/>
  <c r="G13" i="7" s="1"/>
  <c r="F13" i="7"/>
  <c r="G35" i="53"/>
  <c r="H30" i="53"/>
  <c r="I30" i="53" s="1"/>
  <c r="G51" i="61"/>
  <c r="K50" i="61" s="1"/>
  <c r="H50" i="61"/>
  <c r="I50" i="61" s="1"/>
  <c r="H38" i="25"/>
  <c r="I38" i="25" s="1"/>
  <c r="G35" i="181"/>
  <c r="H30" i="181"/>
  <c r="I30" i="181" s="1"/>
  <c r="I25" i="50"/>
  <c r="G9" i="7" s="1"/>
  <c r="F9" i="7"/>
  <c r="G48" i="56"/>
  <c r="G49" i="56" s="1"/>
  <c r="H47" i="56"/>
  <c r="I47" i="56" s="1"/>
  <c r="K50" i="207"/>
  <c r="G43" i="168"/>
  <c r="G44" i="168" s="1"/>
  <c r="H42" i="168"/>
  <c r="I42" i="168" s="1"/>
  <c r="J37" i="172"/>
  <c r="G46" i="60"/>
  <c r="H45" i="60"/>
  <c r="I45" i="60" s="1"/>
  <c r="G46" i="62"/>
  <c r="J45" i="62" s="1"/>
  <c r="H45" i="62"/>
  <c r="I45" i="62" s="1"/>
  <c r="J38" i="65"/>
  <c r="H38" i="65"/>
  <c r="I38" i="65" s="1"/>
  <c r="H37" i="64"/>
  <c r="I37" i="64" s="1"/>
  <c r="K32" i="213"/>
  <c r="K40" i="213"/>
  <c r="K37" i="213"/>
  <c r="K15" i="213"/>
  <c r="K21" i="213"/>
  <c r="K27" i="213"/>
  <c r="K36" i="213"/>
  <c r="K26" i="213"/>
  <c r="K41" i="213"/>
  <c r="K39" i="213"/>
  <c r="K31" i="213"/>
  <c r="K24" i="213"/>
  <c r="K16" i="213"/>
  <c r="K51" i="213"/>
  <c r="K28" i="213"/>
  <c r="K38" i="213"/>
  <c r="K33" i="213"/>
  <c r="K22" i="213"/>
  <c r="K20" i="213"/>
  <c r="K17" i="213"/>
  <c r="K18" i="213"/>
  <c r="H51" i="213"/>
  <c r="K23" i="213"/>
  <c r="K19" i="213"/>
  <c r="K25" i="213"/>
  <c r="K30" i="213"/>
  <c r="K47" i="213"/>
  <c r="K29" i="213"/>
  <c r="K34" i="213"/>
  <c r="K49" i="213"/>
  <c r="K48" i="213"/>
  <c r="K35" i="213"/>
  <c r="F15" i="7"/>
  <c r="I25" i="104"/>
  <c r="G15" i="7" s="1"/>
  <c r="J34" i="214"/>
  <c r="J21" i="214"/>
  <c r="J31" i="214"/>
  <c r="J22" i="214"/>
  <c r="J32" i="214"/>
  <c r="J41" i="214"/>
  <c r="J12" i="214"/>
  <c r="J18" i="214"/>
  <c r="J20" i="214"/>
  <c r="J14" i="214"/>
  <c r="J13" i="214"/>
  <c r="J37" i="214"/>
  <c r="J39" i="214"/>
  <c r="J28" i="214"/>
  <c r="J46" i="214"/>
  <c r="J33" i="214"/>
  <c r="J26" i="214"/>
  <c r="J38" i="214"/>
  <c r="J24" i="214"/>
  <c r="J27" i="214"/>
  <c r="J36" i="214"/>
  <c r="J40" i="214"/>
  <c r="H46" i="214"/>
  <c r="I46" i="214" s="1"/>
  <c r="J23" i="214"/>
  <c r="J19" i="214"/>
  <c r="J25" i="214"/>
  <c r="J29" i="214"/>
  <c r="J30" i="214"/>
  <c r="J42" i="214"/>
  <c r="J43" i="214"/>
  <c r="J44" i="214"/>
  <c r="J35" i="214"/>
  <c r="G46" i="201"/>
  <c r="J45" i="201" s="1"/>
  <c r="H45" i="201"/>
  <c r="I45" i="201" s="1"/>
  <c r="G51" i="60"/>
  <c r="K49" i="60" s="1"/>
  <c r="H49" i="60"/>
  <c r="I49" i="60" s="1"/>
  <c r="G48" i="49"/>
  <c r="G49" i="49" s="1"/>
  <c r="H47" i="49"/>
  <c r="I47" i="49" s="1"/>
  <c r="G51" i="212"/>
  <c r="K50" i="212" s="1"/>
  <c r="G34" i="52"/>
  <c r="H29" i="52"/>
  <c r="I29" i="52" s="1"/>
  <c r="G35" i="182"/>
  <c r="H30" i="182"/>
  <c r="I30" i="182" s="1"/>
  <c r="I25" i="54"/>
  <c r="G14" i="7" s="1"/>
  <c r="F14" i="7"/>
  <c r="G38" i="223"/>
  <c r="J37" i="223" s="1"/>
  <c r="H37" i="223"/>
  <c r="I37" i="223" s="1"/>
  <c r="J45" i="204"/>
  <c r="J38" i="204"/>
  <c r="J41" i="204"/>
  <c r="J26" i="204"/>
  <c r="J12" i="204"/>
  <c r="J24" i="204"/>
  <c r="J14" i="204"/>
  <c r="J32" i="204"/>
  <c r="J28" i="204"/>
  <c r="J18" i="204"/>
  <c r="J46" i="204"/>
  <c r="J21" i="204"/>
  <c r="J20" i="204"/>
  <c r="J13" i="204"/>
  <c r="J31" i="204"/>
  <c r="J39" i="204"/>
  <c r="J40" i="204"/>
  <c r="J37" i="204"/>
  <c r="J33" i="204"/>
  <c r="J27" i="204"/>
  <c r="J22" i="204"/>
  <c r="J36" i="204"/>
  <c r="H46" i="204"/>
  <c r="I46" i="204" s="1"/>
  <c r="J23" i="204"/>
  <c r="J19" i="204"/>
  <c r="J25" i="204"/>
  <c r="J29" i="204"/>
  <c r="J42" i="204"/>
  <c r="J30" i="204"/>
  <c r="J35" i="204"/>
  <c r="J44" i="204"/>
  <c r="J34" i="204"/>
  <c r="J43" i="204"/>
  <c r="J28" i="76"/>
  <c r="J17" i="76"/>
  <c r="J26" i="76"/>
  <c r="J13" i="76"/>
  <c r="J21" i="76"/>
  <c r="J14" i="76"/>
  <c r="J18" i="76"/>
  <c r="J38" i="76"/>
  <c r="J33" i="76"/>
  <c r="J22" i="76"/>
  <c r="J25" i="76"/>
  <c r="J19" i="76"/>
  <c r="J24" i="76"/>
  <c r="J15" i="76"/>
  <c r="J30" i="76"/>
  <c r="J31" i="76"/>
  <c r="J29" i="76"/>
  <c r="J32" i="76"/>
  <c r="H38" i="76"/>
  <c r="J16" i="76"/>
  <c r="J20" i="76"/>
  <c r="J23" i="76"/>
  <c r="J34" i="76"/>
  <c r="J27" i="76"/>
  <c r="J35" i="76"/>
  <c r="J36" i="76"/>
  <c r="G43" i="51"/>
  <c r="G44" i="51" s="1"/>
  <c r="H42" i="51"/>
  <c r="I42" i="51" s="1"/>
  <c r="H29" i="48"/>
  <c r="I29" i="48" s="1"/>
  <c r="G34" i="48"/>
  <c r="G43" i="48"/>
  <c r="G44" i="48" s="1"/>
  <c r="H42" i="48"/>
  <c r="I42" i="48" s="1"/>
  <c r="K50" i="62"/>
  <c r="H50" i="62"/>
  <c r="I50" i="62" s="1"/>
  <c r="G48" i="53"/>
  <c r="H47" i="53"/>
  <c r="I47" i="53" s="1"/>
  <c r="H26" i="7"/>
  <c r="I38" i="5"/>
  <c r="I26" i="7" s="1"/>
  <c r="G34" i="181"/>
  <c r="H29" i="181"/>
  <c r="I29" i="181" s="1"/>
  <c r="G43" i="50"/>
  <c r="H42" i="50"/>
  <c r="I42" i="50" s="1"/>
  <c r="H66" i="7"/>
  <c r="I38" i="220"/>
  <c r="I66" i="7" s="1"/>
  <c r="J45" i="206"/>
  <c r="H45" i="206"/>
  <c r="I45" i="206" s="1"/>
  <c r="H30" i="56"/>
  <c r="I30" i="56" s="1"/>
  <c r="G35" i="56"/>
  <c r="K28" i="183"/>
  <c r="K38" i="183"/>
  <c r="K41" i="183"/>
  <c r="K20" i="183"/>
  <c r="K15" i="183"/>
  <c r="K27" i="183"/>
  <c r="K32" i="183"/>
  <c r="K40" i="183"/>
  <c r="K18" i="183"/>
  <c r="K33" i="183"/>
  <c r="K26" i="183"/>
  <c r="K39" i="183"/>
  <c r="K17" i="183"/>
  <c r="K21" i="183"/>
  <c r="K22" i="183"/>
  <c r="K24" i="183"/>
  <c r="K31" i="183"/>
  <c r="K16" i="183"/>
  <c r="K36" i="183"/>
  <c r="K51" i="183"/>
  <c r="K37" i="183"/>
  <c r="H51" i="183"/>
  <c r="K19" i="183"/>
  <c r="K25" i="183"/>
  <c r="K23" i="183"/>
  <c r="K29" i="183"/>
  <c r="K30" i="183"/>
  <c r="K47" i="183"/>
  <c r="K48" i="183"/>
  <c r="K34" i="183"/>
  <c r="K49" i="183"/>
  <c r="K35" i="183"/>
  <c r="I25" i="168"/>
  <c r="G16" i="7" s="1"/>
  <c r="F16" i="7"/>
  <c r="K34" i="57"/>
  <c r="K21" i="57"/>
  <c r="K39" i="57"/>
  <c r="K16" i="57"/>
  <c r="K26" i="57"/>
  <c r="K27" i="57"/>
  <c r="K36" i="57"/>
  <c r="K32" i="57"/>
  <c r="K22" i="57"/>
  <c r="K28" i="57"/>
  <c r="K37" i="57"/>
  <c r="K41" i="57"/>
  <c r="K18" i="57"/>
  <c r="K38" i="57"/>
  <c r="K20" i="57"/>
  <c r="K15" i="57"/>
  <c r="K33" i="57"/>
  <c r="K24" i="57"/>
  <c r="K17" i="57"/>
  <c r="K51" i="57"/>
  <c r="K40" i="57"/>
  <c r="K31" i="57"/>
  <c r="H51" i="57"/>
  <c r="K19" i="57"/>
  <c r="K23" i="57"/>
  <c r="K25" i="57"/>
  <c r="K30" i="57"/>
  <c r="K47" i="57"/>
  <c r="K29" i="57"/>
  <c r="K35" i="57"/>
  <c r="K48" i="57"/>
  <c r="K50" i="204"/>
  <c r="J25" i="73"/>
  <c r="J24" i="73"/>
  <c r="J19" i="73"/>
  <c r="J22" i="73"/>
  <c r="J31" i="73"/>
  <c r="J32" i="73"/>
  <c r="J38" i="73"/>
  <c r="J14" i="73"/>
  <c r="J30" i="73"/>
  <c r="J17" i="73"/>
  <c r="J21" i="73"/>
  <c r="J18" i="73"/>
  <c r="J28" i="73"/>
  <c r="J13" i="73"/>
  <c r="J29" i="73"/>
  <c r="J33" i="73"/>
  <c r="J15" i="73"/>
  <c r="J26" i="73"/>
  <c r="H38" i="73"/>
  <c r="J16" i="73"/>
  <c r="J20" i="73"/>
  <c r="J23" i="73"/>
  <c r="J27" i="73"/>
  <c r="J34" i="73"/>
  <c r="J36" i="73"/>
  <c r="J35" i="73"/>
  <c r="G34" i="104"/>
  <c r="H29" i="104"/>
  <c r="I29" i="104" s="1"/>
  <c r="J27" i="213"/>
  <c r="J12" i="213"/>
  <c r="J36" i="213"/>
  <c r="J21" i="213"/>
  <c r="J28" i="213"/>
  <c r="J32" i="213"/>
  <c r="J31" i="213"/>
  <c r="J14" i="213"/>
  <c r="J37" i="213"/>
  <c r="J38" i="213"/>
  <c r="J24" i="213"/>
  <c r="J18" i="213"/>
  <c r="J26" i="213"/>
  <c r="J39" i="213"/>
  <c r="J13" i="213"/>
  <c r="J46" i="213"/>
  <c r="J20" i="213"/>
  <c r="J40" i="213"/>
  <c r="J22" i="213"/>
  <c r="J33" i="213"/>
  <c r="J41" i="213"/>
  <c r="H46" i="213"/>
  <c r="I46" i="213" s="1"/>
  <c r="J23" i="213"/>
  <c r="J19" i="213"/>
  <c r="J25" i="213"/>
  <c r="J29" i="213"/>
  <c r="J42" i="213"/>
  <c r="J30" i="213"/>
  <c r="J43" i="213"/>
  <c r="J35" i="213"/>
  <c r="J34" i="213"/>
  <c r="J44" i="213"/>
  <c r="G34" i="49"/>
  <c r="H29" i="49"/>
  <c r="I29" i="49" s="1"/>
  <c r="F11" i="7"/>
  <c r="I25" i="52"/>
  <c r="G11" i="7" s="1"/>
  <c r="G43" i="52"/>
  <c r="G44" i="52" s="1"/>
  <c r="H42" i="52"/>
  <c r="I42" i="52" s="1"/>
  <c r="I25" i="182"/>
  <c r="G8" i="7" s="1"/>
  <c r="F8" i="7"/>
  <c r="G48" i="54"/>
  <c r="G49" i="54" s="1"/>
  <c r="H47" i="54"/>
  <c r="I47" i="54" s="1"/>
  <c r="H29" i="54"/>
  <c r="I29" i="54" s="1"/>
  <c r="G34" i="54"/>
  <c r="J44" i="203"/>
  <c r="J40" i="203"/>
  <c r="J33" i="203"/>
  <c r="J20" i="203"/>
  <c r="J46" i="203"/>
  <c r="J28" i="203"/>
  <c r="J24" i="203"/>
  <c r="J31" i="203"/>
  <c r="J32" i="203"/>
  <c r="J41" i="203"/>
  <c r="J12" i="203"/>
  <c r="J26" i="203"/>
  <c r="J22" i="203"/>
  <c r="J21" i="203"/>
  <c r="J18" i="203"/>
  <c r="J38" i="203"/>
  <c r="J39" i="203"/>
  <c r="J14" i="203"/>
  <c r="J13" i="203"/>
  <c r="J27" i="203"/>
  <c r="J36" i="203"/>
  <c r="J37" i="203"/>
  <c r="H46" i="203"/>
  <c r="I46" i="203" s="1"/>
  <c r="J23" i="203"/>
  <c r="J19" i="203"/>
  <c r="J25" i="203"/>
  <c r="J30" i="203"/>
  <c r="J29" i="203"/>
  <c r="J42" i="203"/>
  <c r="J34" i="203"/>
  <c r="J43" i="203"/>
  <c r="J35" i="203"/>
  <c r="G34" i="51"/>
  <c r="H29" i="51"/>
  <c r="I29" i="51" s="1"/>
  <c r="G48" i="48"/>
  <c r="H47" i="48"/>
  <c r="I47" i="48" s="1"/>
  <c r="G39" i="169"/>
  <c r="H37" i="169"/>
  <c r="I37" i="169" s="1"/>
  <c r="G34" i="53"/>
  <c r="H29" i="53"/>
  <c r="I29" i="53" s="1"/>
  <c r="H30" i="7"/>
  <c r="I38" i="170"/>
  <c r="I30" i="7" s="1"/>
  <c r="J16" i="175"/>
  <c r="J30" i="175"/>
  <c r="J13" i="175"/>
  <c r="J14" i="175"/>
  <c r="J18" i="175"/>
  <c r="J32" i="175"/>
  <c r="J17" i="175"/>
  <c r="J29" i="175"/>
  <c r="J33" i="175"/>
  <c r="J31" i="175"/>
  <c r="J12" i="175"/>
  <c r="J23" i="175"/>
  <c r="J21" i="175"/>
  <c r="J20" i="175"/>
  <c r="J25" i="175"/>
  <c r="J39" i="175"/>
  <c r="J27" i="175"/>
  <c r="J34" i="175"/>
  <c r="J26" i="175"/>
  <c r="H39" i="175"/>
  <c r="J15" i="175"/>
  <c r="J22" i="175"/>
  <c r="J19" i="175"/>
  <c r="J24" i="175"/>
  <c r="J28" i="175"/>
  <c r="J35" i="175"/>
  <c r="F12" i="7"/>
  <c r="I25" i="181"/>
  <c r="G12" i="7" s="1"/>
  <c r="G48" i="181"/>
  <c r="H47" i="181"/>
  <c r="I47" i="181" s="1"/>
  <c r="G48" i="50"/>
  <c r="G49" i="50" s="1"/>
  <c r="H47" i="50"/>
  <c r="I47" i="50" s="1"/>
  <c r="I51" i="203"/>
  <c r="I50" i="7" s="1"/>
  <c r="H50" i="7"/>
  <c r="G34" i="56"/>
  <c r="H29" i="56"/>
  <c r="I29" i="56" s="1"/>
  <c r="F17" i="7"/>
  <c r="I25" i="56"/>
  <c r="G17" i="7" s="1"/>
  <c r="H65" i="7"/>
  <c r="I51" i="215"/>
  <c r="I65" i="7" s="1"/>
  <c r="J26" i="78"/>
  <c r="J25" i="78"/>
  <c r="J13" i="78"/>
  <c r="J21" i="78"/>
  <c r="J22" i="78"/>
  <c r="J33" i="78"/>
  <c r="J14" i="78"/>
  <c r="J19" i="78"/>
  <c r="J15" i="78"/>
  <c r="J28" i="78"/>
  <c r="J31" i="78"/>
  <c r="J30" i="78"/>
  <c r="J18" i="78"/>
  <c r="J24" i="78"/>
  <c r="J29" i="78"/>
  <c r="J38" i="78"/>
  <c r="J32" i="78"/>
  <c r="J17" i="78"/>
  <c r="H38" i="78"/>
  <c r="J16" i="78"/>
  <c r="J20" i="78"/>
  <c r="J23" i="78"/>
  <c r="J34" i="78"/>
  <c r="J27" i="78"/>
  <c r="J35" i="78"/>
  <c r="J36" i="78"/>
  <c r="G48" i="168"/>
  <c r="G49" i="168" s="1"/>
  <c r="H47" i="168"/>
  <c r="I47" i="168" s="1"/>
  <c r="K50" i="57"/>
  <c r="H50" i="57"/>
  <c r="I50" i="57" s="1"/>
  <c r="I51" i="58"/>
  <c r="I19" i="7" s="1"/>
  <c r="H19" i="7"/>
  <c r="G38" i="171"/>
  <c r="J37" i="171" s="1"/>
  <c r="H37" i="171"/>
  <c r="I37" i="171" s="1"/>
  <c r="J12" i="202"/>
  <c r="J27" i="202"/>
  <c r="J21" i="202"/>
  <c r="J41" i="202"/>
  <c r="J31" i="202"/>
  <c r="J32" i="202"/>
  <c r="J20" i="202"/>
  <c r="J33" i="202"/>
  <c r="J22" i="202"/>
  <c r="J26" i="202"/>
  <c r="J24" i="202"/>
  <c r="J39" i="202"/>
  <c r="J37" i="202"/>
  <c r="J14" i="202"/>
  <c r="J36" i="202"/>
  <c r="J40" i="202"/>
  <c r="J13" i="202"/>
  <c r="J18" i="202"/>
  <c r="J28" i="202"/>
  <c r="J38" i="202"/>
  <c r="J46" i="202"/>
  <c r="H46" i="202"/>
  <c r="I46" i="202" s="1"/>
  <c r="J23" i="202"/>
  <c r="J19" i="202"/>
  <c r="J25" i="202"/>
  <c r="J29" i="202"/>
  <c r="J30" i="202"/>
  <c r="J42" i="202"/>
  <c r="J44" i="202"/>
  <c r="J34" i="202"/>
  <c r="J35" i="202"/>
  <c r="J43" i="202"/>
  <c r="J25" i="72"/>
  <c r="J26" i="72"/>
  <c r="J17" i="72"/>
  <c r="J30" i="72"/>
  <c r="J29" i="72"/>
  <c r="J32" i="72"/>
  <c r="J20" i="72"/>
  <c r="J38" i="72"/>
  <c r="J14" i="72"/>
  <c r="J28" i="72"/>
  <c r="J13" i="72"/>
  <c r="J33" i="72"/>
  <c r="J22" i="72"/>
  <c r="J15" i="72"/>
  <c r="J18" i="72"/>
  <c r="J21" i="72"/>
  <c r="J24" i="72"/>
  <c r="J31" i="72"/>
  <c r="J19" i="72"/>
  <c r="H38" i="72"/>
  <c r="J16" i="72"/>
  <c r="J23" i="72"/>
  <c r="J27" i="72"/>
  <c r="J34" i="72"/>
  <c r="J36" i="72"/>
  <c r="J35" i="72"/>
  <c r="K49" i="59"/>
  <c r="K20" i="59"/>
  <c r="K40" i="59"/>
  <c r="K24" i="59"/>
  <c r="K32" i="59"/>
  <c r="K22" i="59"/>
  <c r="K18" i="59"/>
  <c r="K51" i="59"/>
  <c r="K41" i="59"/>
  <c r="K15" i="59"/>
  <c r="K37" i="59"/>
  <c r="K38" i="59"/>
  <c r="K16" i="59"/>
  <c r="K27" i="59"/>
  <c r="K26" i="59"/>
  <c r="K21" i="59"/>
  <c r="K33" i="59"/>
  <c r="K28" i="59"/>
  <c r="K36" i="59"/>
  <c r="K39" i="59"/>
  <c r="K31" i="59"/>
  <c r="K17" i="59"/>
  <c r="H51" i="59"/>
  <c r="K19" i="59"/>
  <c r="K23" i="59"/>
  <c r="K25" i="59"/>
  <c r="K30" i="59"/>
  <c r="K29" i="59"/>
  <c r="K47" i="59"/>
  <c r="K48" i="59"/>
  <c r="K34" i="59"/>
  <c r="K35" i="59"/>
  <c r="G43" i="104"/>
  <c r="G44" i="104" s="1"/>
  <c r="H42" i="104"/>
  <c r="I42" i="104" s="1"/>
  <c r="G46" i="215"/>
  <c r="K15" i="202"/>
  <c r="K20" i="202"/>
  <c r="K51" i="202"/>
  <c r="K38" i="202"/>
  <c r="K41" i="202"/>
  <c r="K26" i="202"/>
  <c r="K16" i="202"/>
  <c r="K24" i="202"/>
  <c r="K31" i="202"/>
  <c r="K37" i="202"/>
  <c r="K18" i="202"/>
  <c r="K33" i="202"/>
  <c r="K22" i="202"/>
  <c r="K27" i="202"/>
  <c r="K28" i="202"/>
  <c r="K40" i="202"/>
  <c r="K32" i="202"/>
  <c r="K39" i="202"/>
  <c r="K36" i="202"/>
  <c r="K21" i="202"/>
  <c r="K17" i="202"/>
  <c r="H51" i="202"/>
  <c r="K19" i="202"/>
  <c r="K23" i="202"/>
  <c r="K25" i="202"/>
  <c r="K29" i="202"/>
  <c r="K30" i="202"/>
  <c r="K47" i="202"/>
  <c r="K35" i="202"/>
  <c r="K49" i="202"/>
  <c r="K34" i="202"/>
  <c r="K48" i="202"/>
  <c r="H44" i="61"/>
  <c r="I44" i="61" s="1"/>
  <c r="H20" i="7"/>
  <c r="I51" i="184"/>
  <c r="I20" i="7" s="1"/>
  <c r="H60" i="7"/>
  <c r="I51" i="206"/>
  <c r="I60" i="7" s="1"/>
  <c r="K41" i="214"/>
  <c r="K40" i="214"/>
  <c r="K17" i="214"/>
  <c r="K38" i="214"/>
  <c r="K15" i="214"/>
  <c r="K26" i="214"/>
  <c r="K28" i="214"/>
  <c r="K18" i="214"/>
  <c r="K21" i="214"/>
  <c r="K51" i="214"/>
  <c r="K31" i="214"/>
  <c r="K27" i="214"/>
  <c r="K33" i="214"/>
  <c r="K22" i="214"/>
  <c r="K24" i="214"/>
  <c r="K16" i="214"/>
  <c r="K20" i="214"/>
  <c r="K39" i="214"/>
  <c r="K32" i="214"/>
  <c r="K37" i="214"/>
  <c r="K36" i="214"/>
  <c r="H51" i="214"/>
  <c r="K19" i="214"/>
  <c r="K23" i="214"/>
  <c r="K25" i="214"/>
  <c r="K47" i="214"/>
  <c r="K29" i="214"/>
  <c r="K30" i="214"/>
  <c r="K34" i="214"/>
  <c r="K48" i="214"/>
  <c r="K49" i="214"/>
  <c r="K35" i="214"/>
  <c r="F7" i="7"/>
  <c r="I25" i="49"/>
  <c r="G7" i="7" s="1"/>
  <c r="G48" i="52"/>
  <c r="H47" i="52"/>
  <c r="I47" i="52" s="1"/>
  <c r="G43" i="182"/>
  <c r="H42" i="182"/>
  <c r="I42" i="182" s="1"/>
  <c r="G34" i="182"/>
  <c r="H29" i="182"/>
  <c r="I29" i="182" s="1"/>
  <c r="G43" i="54"/>
  <c r="H42" i="54"/>
  <c r="I42" i="54" s="1"/>
  <c r="J45" i="212"/>
  <c r="J45" i="203"/>
  <c r="H45" i="203"/>
  <c r="I45" i="203" s="1"/>
  <c r="G35" i="51"/>
  <c r="H30" i="51"/>
  <c r="I30" i="51" s="1"/>
  <c r="I25" i="48"/>
  <c r="G6" i="7" s="1"/>
  <c r="F6" i="7"/>
  <c r="G43" i="53"/>
  <c r="G44" i="53" s="1"/>
  <c r="H42" i="53"/>
  <c r="I42" i="53" s="1"/>
  <c r="G39" i="25"/>
  <c r="J38" i="175"/>
  <c r="H38" i="175"/>
  <c r="I38" i="175" s="1"/>
  <c r="G39" i="68"/>
  <c r="J37" i="68" s="1"/>
  <c r="H37" i="68"/>
  <c r="I37" i="68" s="1"/>
  <c r="G46" i="58"/>
  <c r="J45" i="58" s="1"/>
  <c r="H45" i="58"/>
  <c r="I45" i="58" s="1"/>
  <c r="G43" i="181"/>
  <c r="G44" i="181" s="1"/>
  <c r="H42" i="181"/>
  <c r="I42" i="181" s="1"/>
  <c r="G35" i="50"/>
  <c r="H30" i="50"/>
  <c r="I30" i="50" s="1"/>
  <c r="G34" i="50"/>
  <c r="H29" i="50"/>
  <c r="I29" i="50" s="1"/>
  <c r="J45" i="214"/>
  <c r="G43" i="56"/>
  <c r="G44" i="56" s="1"/>
  <c r="H42" i="56"/>
  <c r="I42" i="56" s="1"/>
  <c r="J37" i="76"/>
  <c r="G34" i="168"/>
  <c r="H29" i="168"/>
  <c r="I29" i="168" s="1"/>
  <c r="H30" i="168"/>
  <c r="I30" i="168" s="1"/>
  <c r="G35" i="168"/>
  <c r="J13" i="205"/>
  <c r="J14" i="205"/>
  <c r="J27" i="205"/>
  <c r="J40" i="205"/>
  <c r="J36" i="205"/>
  <c r="J37" i="205"/>
  <c r="J41" i="205"/>
  <c r="J33" i="205"/>
  <c r="J39" i="205"/>
  <c r="J28" i="205"/>
  <c r="J32" i="205"/>
  <c r="J24" i="205"/>
  <c r="J38" i="205"/>
  <c r="J20" i="205"/>
  <c r="J21" i="205"/>
  <c r="J18" i="205"/>
  <c r="J22" i="205"/>
  <c r="J46" i="205"/>
  <c r="J12" i="205"/>
  <c r="J31" i="205"/>
  <c r="J26" i="205"/>
  <c r="H46" i="205"/>
  <c r="I46" i="205" s="1"/>
  <c r="J19" i="205"/>
  <c r="J23" i="205"/>
  <c r="J25" i="205"/>
  <c r="J30" i="205"/>
  <c r="J29" i="205"/>
  <c r="J42" i="205"/>
  <c r="J44" i="205"/>
  <c r="J34" i="205"/>
  <c r="J35" i="205"/>
  <c r="J43" i="205"/>
  <c r="K50" i="213"/>
  <c r="K50" i="59"/>
  <c r="K50" i="205"/>
  <c r="H50" i="205"/>
  <c r="I50" i="205" s="1"/>
  <c r="G46" i="59"/>
  <c r="J45" i="59" s="1"/>
  <c r="H45" i="59"/>
  <c r="I45" i="59" s="1"/>
  <c r="J34" i="65"/>
  <c r="J25" i="65"/>
  <c r="J33" i="65"/>
  <c r="J30" i="65"/>
  <c r="J21" i="65"/>
  <c r="J27" i="65"/>
  <c r="J17" i="65"/>
  <c r="J29" i="65"/>
  <c r="J26" i="65"/>
  <c r="J16" i="65"/>
  <c r="J14" i="65"/>
  <c r="J20" i="65"/>
  <c r="J32" i="65"/>
  <c r="J23" i="65"/>
  <c r="J13" i="65"/>
  <c r="J18" i="65"/>
  <c r="J12" i="65"/>
  <c r="J39" i="65"/>
  <c r="J31" i="65"/>
  <c r="H39" i="65"/>
  <c r="J15" i="65"/>
  <c r="J19" i="65"/>
  <c r="J22" i="65"/>
  <c r="J24" i="65"/>
  <c r="J35" i="65"/>
  <c r="J28" i="65"/>
  <c r="H48" i="7"/>
  <c r="I51" i="201"/>
  <c r="I48" i="7" s="1"/>
  <c r="G39" i="67"/>
  <c r="J38" i="67" s="1"/>
  <c r="H38" i="67"/>
  <c r="I38" i="67" s="1"/>
  <c r="J21" i="70" l="1"/>
  <c r="J14" i="70"/>
  <c r="J24" i="70"/>
  <c r="H39" i="70"/>
  <c r="I39" i="70" s="1"/>
  <c r="I40" i="7" s="1"/>
  <c r="J35" i="184"/>
  <c r="H46" i="184"/>
  <c r="I46" i="184" s="1"/>
  <c r="J26" i="70"/>
  <c r="J38" i="70"/>
  <c r="J31" i="184"/>
  <c r="J32" i="70"/>
  <c r="J18" i="184"/>
  <c r="J31" i="70"/>
  <c r="J39" i="70"/>
  <c r="J29" i="70"/>
  <c r="J12" i="70"/>
  <c r="J28" i="70"/>
  <c r="J15" i="70"/>
  <c r="J13" i="70"/>
  <c r="J34" i="70"/>
  <c r="J23" i="70"/>
  <c r="J33" i="70"/>
  <c r="J18" i="70"/>
  <c r="J36" i="70"/>
  <c r="J19" i="70"/>
  <c r="J25" i="70"/>
  <c r="J35" i="70"/>
  <c r="J22" i="70"/>
  <c r="J17" i="70"/>
  <c r="J16" i="70"/>
  <c r="J20" i="70"/>
  <c r="J30" i="70"/>
  <c r="J27" i="70"/>
  <c r="J42" i="184"/>
  <c r="J20" i="184"/>
  <c r="J40" i="184"/>
  <c r="J46" i="184"/>
  <c r="J29" i="184"/>
  <c r="J41" i="184"/>
  <c r="J33" i="184"/>
  <c r="J32" i="184"/>
  <c r="J19" i="184"/>
  <c r="J14" i="184"/>
  <c r="J12" i="184"/>
  <c r="J45" i="184"/>
  <c r="J34" i="184"/>
  <c r="J30" i="184"/>
  <c r="J23" i="184"/>
  <c r="J24" i="184"/>
  <c r="J27" i="184"/>
  <c r="J26" i="184"/>
  <c r="J36" i="184"/>
  <c r="J37" i="184"/>
  <c r="J43" i="184"/>
  <c r="J25" i="184"/>
  <c r="J21" i="184"/>
  <c r="J38" i="184"/>
  <c r="J13" i="184"/>
  <c r="J22" i="184"/>
  <c r="J28" i="184"/>
  <c r="J39" i="184"/>
  <c r="G46" i="168"/>
  <c r="H44" i="168"/>
  <c r="I44" i="168" s="1"/>
  <c r="H44" i="48"/>
  <c r="I44" i="48" s="1"/>
  <c r="H44" i="51"/>
  <c r="I44" i="51" s="1"/>
  <c r="H35" i="168"/>
  <c r="I35" i="168" s="1"/>
  <c r="H43" i="53"/>
  <c r="I43" i="53" s="1"/>
  <c r="H43" i="54"/>
  <c r="I43" i="54" s="1"/>
  <c r="H34" i="182"/>
  <c r="I34" i="182" s="1"/>
  <c r="I51" i="214"/>
  <c r="I64" i="7" s="1"/>
  <c r="H64" i="7"/>
  <c r="H45" i="61"/>
  <c r="I45" i="61" s="1"/>
  <c r="I51" i="202"/>
  <c r="I49" i="7" s="1"/>
  <c r="H49" i="7"/>
  <c r="H21" i="7"/>
  <c r="I51" i="59"/>
  <c r="I21" i="7" s="1"/>
  <c r="H34" i="56"/>
  <c r="I34" i="56" s="1"/>
  <c r="H34" i="54"/>
  <c r="I34" i="54" s="1"/>
  <c r="G51" i="54"/>
  <c r="H49" i="54"/>
  <c r="I49" i="54" s="1"/>
  <c r="H48" i="53"/>
  <c r="I48" i="53" s="1"/>
  <c r="H34" i="48"/>
  <c r="I34" i="48" s="1"/>
  <c r="G39" i="64"/>
  <c r="J38" i="64" s="1"/>
  <c r="H38" i="64"/>
  <c r="I38" i="64" s="1"/>
  <c r="J32" i="60"/>
  <c r="J21" i="60"/>
  <c r="J13" i="60"/>
  <c r="J18" i="60"/>
  <c r="J31" i="60"/>
  <c r="J38" i="60"/>
  <c r="J24" i="60"/>
  <c r="J41" i="60"/>
  <c r="J14" i="60"/>
  <c r="J40" i="60"/>
  <c r="J28" i="60"/>
  <c r="J46" i="60"/>
  <c r="J26" i="60"/>
  <c r="J36" i="60"/>
  <c r="J27" i="60"/>
  <c r="J33" i="60"/>
  <c r="J12" i="60"/>
  <c r="J22" i="60"/>
  <c r="J37" i="60"/>
  <c r="J39" i="60"/>
  <c r="J20" i="60"/>
  <c r="H46" i="60"/>
  <c r="I46" i="60" s="1"/>
  <c r="J19" i="60"/>
  <c r="J23" i="60"/>
  <c r="J25" i="60"/>
  <c r="J42" i="60"/>
  <c r="J29" i="60"/>
  <c r="J30" i="60"/>
  <c r="J44" i="60"/>
  <c r="J34" i="60"/>
  <c r="J43" i="60"/>
  <c r="J35" i="60"/>
  <c r="H35" i="181"/>
  <c r="I35" i="181" s="1"/>
  <c r="H61" i="7"/>
  <c r="I51" i="207"/>
  <c r="I61" i="7" s="1"/>
  <c r="H35" i="49"/>
  <c r="I35" i="49" s="1"/>
  <c r="H35" i="104"/>
  <c r="I35" i="104" s="1"/>
  <c r="H50" i="104"/>
  <c r="I50" i="104" s="1"/>
  <c r="H49" i="104"/>
  <c r="I49" i="104" s="1"/>
  <c r="H58" i="7"/>
  <c r="I51" i="204"/>
  <c r="I58" i="7" s="1"/>
  <c r="H34" i="168"/>
  <c r="I34" i="168" s="1"/>
  <c r="G46" i="56"/>
  <c r="H44" i="56"/>
  <c r="I44" i="56" s="1"/>
  <c r="J33" i="68"/>
  <c r="J12" i="68"/>
  <c r="J26" i="68"/>
  <c r="J14" i="68"/>
  <c r="J20" i="68"/>
  <c r="J16" i="68"/>
  <c r="J17" i="68"/>
  <c r="J18" i="68"/>
  <c r="J39" i="68"/>
  <c r="J30" i="68"/>
  <c r="J21" i="68"/>
  <c r="J27" i="68"/>
  <c r="J25" i="68"/>
  <c r="J31" i="68"/>
  <c r="J29" i="68"/>
  <c r="J23" i="68"/>
  <c r="J32" i="68"/>
  <c r="J13" i="68"/>
  <c r="J34" i="68"/>
  <c r="H39" i="68"/>
  <c r="J15" i="68"/>
  <c r="J22" i="68"/>
  <c r="J19" i="68"/>
  <c r="J24" i="68"/>
  <c r="J28" i="68"/>
  <c r="J35" i="68"/>
  <c r="J36" i="68"/>
  <c r="J29" i="25"/>
  <c r="J31" i="25"/>
  <c r="J33" i="25"/>
  <c r="J18" i="25"/>
  <c r="J26" i="25"/>
  <c r="J25" i="25"/>
  <c r="J14" i="25"/>
  <c r="J27" i="25"/>
  <c r="J16" i="25"/>
  <c r="J13" i="25"/>
  <c r="J23" i="25"/>
  <c r="J12" i="25"/>
  <c r="J20" i="25"/>
  <c r="J34" i="25"/>
  <c r="J17" i="25"/>
  <c r="J39" i="25"/>
  <c r="J32" i="25"/>
  <c r="J21" i="25"/>
  <c r="J30" i="25"/>
  <c r="H39" i="25"/>
  <c r="J15" i="25"/>
  <c r="J19" i="25"/>
  <c r="J22" i="25"/>
  <c r="J24" i="25"/>
  <c r="J28" i="25"/>
  <c r="J35" i="25"/>
  <c r="J37" i="25"/>
  <c r="J36" i="25"/>
  <c r="G46" i="53"/>
  <c r="H44" i="53"/>
  <c r="I44" i="53" s="1"/>
  <c r="H35" i="51"/>
  <c r="I35" i="51" s="1"/>
  <c r="G46" i="61"/>
  <c r="J45" i="61" s="1"/>
  <c r="H44" i="104"/>
  <c r="I44" i="104" s="1"/>
  <c r="H28" i="7"/>
  <c r="I38" i="72"/>
  <c r="I28" i="7" s="1"/>
  <c r="G51" i="168"/>
  <c r="K48" i="168" s="1"/>
  <c r="H49" i="168"/>
  <c r="I49" i="168" s="1"/>
  <c r="H50" i="50"/>
  <c r="I50" i="50" s="1"/>
  <c r="H49" i="50"/>
  <c r="I49" i="50" s="1"/>
  <c r="G49" i="181"/>
  <c r="H48" i="181"/>
  <c r="I48" i="181" s="1"/>
  <c r="J37" i="169"/>
  <c r="J13" i="169"/>
  <c r="J31" i="169"/>
  <c r="J23" i="169"/>
  <c r="J30" i="169"/>
  <c r="J27" i="169"/>
  <c r="J39" i="169"/>
  <c r="J14" i="169"/>
  <c r="J26" i="169"/>
  <c r="J25" i="169"/>
  <c r="J33" i="169"/>
  <c r="J34" i="169"/>
  <c r="J17" i="169"/>
  <c r="J18" i="169"/>
  <c r="J29" i="169"/>
  <c r="J21" i="169"/>
  <c r="J32" i="169"/>
  <c r="J12" i="169"/>
  <c r="J16" i="169"/>
  <c r="J20" i="169"/>
  <c r="H39" i="169"/>
  <c r="J15" i="169"/>
  <c r="J19" i="169"/>
  <c r="J22" i="169"/>
  <c r="J24" i="169"/>
  <c r="J28" i="169"/>
  <c r="J35" i="169"/>
  <c r="J36" i="169"/>
  <c r="G49" i="48"/>
  <c r="H48" i="48"/>
  <c r="I48" i="48" s="1"/>
  <c r="H34" i="51"/>
  <c r="I34" i="51" s="1"/>
  <c r="H48" i="54"/>
  <c r="I48" i="54" s="1"/>
  <c r="H34" i="49"/>
  <c r="I34" i="49" s="1"/>
  <c r="H43" i="48"/>
  <c r="I43" i="48" s="1"/>
  <c r="H43" i="51"/>
  <c r="I43" i="51" s="1"/>
  <c r="I38" i="76"/>
  <c r="I41" i="7" s="1"/>
  <c r="H41" i="7"/>
  <c r="H35" i="182"/>
  <c r="I35" i="182" s="1"/>
  <c r="H34" i="52"/>
  <c r="I34" i="52" s="1"/>
  <c r="H49" i="49"/>
  <c r="I49" i="49" s="1"/>
  <c r="K32" i="60"/>
  <c r="K37" i="60"/>
  <c r="K18" i="60"/>
  <c r="K22" i="60"/>
  <c r="K41" i="60"/>
  <c r="K20" i="60"/>
  <c r="K33" i="60"/>
  <c r="K31" i="60"/>
  <c r="K16" i="60"/>
  <c r="K51" i="60"/>
  <c r="K28" i="60"/>
  <c r="K39" i="60"/>
  <c r="K40" i="60"/>
  <c r="K36" i="60"/>
  <c r="K27" i="60"/>
  <c r="K38" i="60"/>
  <c r="K21" i="60"/>
  <c r="K26" i="60"/>
  <c r="K17" i="60"/>
  <c r="K24" i="60"/>
  <c r="K15" i="60"/>
  <c r="H51" i="60"/>
  <c r="K19" i="60"/>
  <c r="K23" i="60"/>
  <c r="K25" i="60"/>
  <c r="K47" i="60"/>
  <c r="K29" i="60"/>
  <c r="K30" i="60"/>
  <c r="K35" i="60"/>
  <c r="K34" i="60"/>
  <c r="K48" i="60"/>
  <c r="J40" i="201"/>
  <c r="J46" i="201"/>
  <c r="J22" i="201"/>
  <c r="J28" i="201"/>
  <c r="J24" i="201"/>
  <c r="J41" i="201"/>
  <c r="J32" i="201"/>
  <c r="J33" i="201"/>
  <c r="J14" i="201"/>
  <c r="J21" i="201"/>
  <c r="J13" i="201"/>
  <c r="J37" i="201"/>
  <c r="J38" i="201"/>
  <c r="J36" i="201"/>
  <c r="J12" i="201"/>
  <c r="J26" i="201"/>
  <c r="J20" i="201"/>
  <c r="J31" i="201"/>
  <c r="J18" i="201"/>
  <c r="J27" i="201"/>
  <c r="J39" i="201"/>
  <c r="H46" i="201"/>
  <c r="I46" i="201" s="1"/>
  <c r="J19" i="201"/>
  <c r="J23" i="201"/>
  <c r="J25" i="201"/>
  <c r="J42" i="201"/>
  <c r="J29" i="201"/>
  <c r="J30" i="201"/>
  <c r="J34" i="201"/>
  <c r="J35" i="201"/>
  <c r="J43" i="201"/>
  <c r="J44" i="201"/>
  <c r="J40" i="62"/>
  <c r="J18" i="62"/>
  <c r="J31" i="62"/>
  <c r="J39" i="62"/>
  <c r="J46" i="62"/>
  <c r="J38" i="62"/>
  <c r="J36" i="62"/>
  <c r="J26" i="62"/>
  <c r="J32" i="62"/>
  <c r="J28" i="62"/>
  <c r="J22" i="62"/>
  <c r="J20" i="62"/>
  <c r="J12" i="62"/>
  <c r="J27" i="62"/>
  <c r="J24" i="62"/>
  <c r="J41" i="62"/>
  <c r="J14" i="62"/>
  <c r="J13" i="62"/>
  <c r="J33" i="62"/>
  <c r="J21" i="62"/>
  <c r="J37" i="62"/>
  <c r="H46" i="62"/>
  <c r="I46" i="62" s="1"/>
  <c r="J19" i="62"/>
  <c r="J25" i="62"/>
  <c r="J23" i="62"/>
  <c r="J30" i="62"/>
  <c r="J42" i="62"/>
  <c r="J29" i="62"/>
  <c r="J43" i="62"/>
  <c r="J35" i="62"/>
  <c r="J34" i="62"/>
  <c r="J44" i="62"/>
  <c r="H43" i="168"/>
  <c r="I43" i="168" s="1"/>
  <c r="H49" i="56"/>
  <c r="I49" i="56" s="1"/>
  <c r="K39" i="61"/>
  <c r="K38" i="61"/>
  <c r="K32" i="61"/>
  <c r="K33" i="61"/>
  <c r="K17" i="61"/>
  <c r="K51" i="61"/>
  <c r="K41" i="61"/>
  <c r="K18" i="61"/>
  <c r="K24" i="61"/>
  <c r="K15" i="61"/>
  <c r="K26" i="61"/>
  <c r="K27" i="61"/>
  <c r="K40" i="61"/>
  <c r="K36" i="61"/>
  <c r="K22" i="61"/>
  <c r="K20" i="61"/>
  <c r="K21" i="61"/>
  <c r="K28" i="61"/>
  <c r="K16" i="61"/>
  <c r="K37" i="61"/>
  <c r="K31" i="61"/>
  <c r="H51" i="61"/>
  <c r="K19" i="61"/>
  <c r="K23" i="61"/>
  <c r="K25" i="61"/>
  <c r="K30" i="61"/>
  <c r="K29" i="61"/>
  <c r="K47" i="61"/>
  <c r="K49" i="61"/>
  <c r="K48" i="61"/>
  <c r="K34" i="61"/>
  <c r="K35" i="61"/>
  <c r="H35" i="53"/>
  <c r="I35" i="53" s="1"/>
  <c r="H48" i="104"/>
  <c r="I48" i="104" s="1"/>
  <c r="I38" i="172"/>
  <c r="I42" i="7" s="1"/>
  <c r="H42" i="7"/>
  <c r="J18" i="67"/>
  <c r="J34" i="67"/>
  <c r="J17" i="67"/>
  <c r="J32" i="67"/>
  <c r="J13" i="67"/>
  <c r="J31" i="67"/>
  <c r="J39" i="67"/>
  <c r="J30" i="67"/>
  <c r="J33" i="67"/>
  <c r="J26" i="67"/>
  <c r="J16" i="67"/>
  <c r="J23" i="67"/>
  <c r="J21" i="67"/>
  <c r="J12" i="67"/>
  <c r="J27" i="67"/>
  <c r="J25" i="67"/>
  <c r="J14" i="67"/>
  <c r="J29" i="67"/>
  <c r="J20" i="67"/>
  <c r="H39" i="67"/>
  <c r="J15" i="67"/>
  <c r="J22" i="67"/>
  <c r="J19" i="67"/>
  <c r="J24" i="67"/>
  <c r="J35" i="67"/>
  <c r="J28" i="67"/>
  <c r="J37" i="67"/>
  <c r="J36" i="67"/>
  <c r="H43" i="56"/>
  <c r="I43" i="56" s="1"/>
  <c r="H44" i="181"/>
  <c r="I44" i="181" s="1"/>
  <c r="J32" i="58"/>
  <c r="J26" i="58"/>
  <c r="J27" i="58"/>
  <c r="J41" i="58"/>
  <c r="J31" i="58"/>
  <c r="J39" i="58"/>
  <c r="J13" i="58"/>
  <c r="J20" i="58"/>
  <c r="J40" i="58"/>
  <c r="J36" i="58"/>
  <c r="J18" i="58"/>
  <c r="J24" i="58"/>
  <c r="J22" i="58"/>
  <c r="J33" i="58"/>
  <c r="J37" i="58"/>
  <c r="J46" i="58"/>
  <c r="J38" i="58"/>
  <c r="J28" i="58"/>
  <c r="J12" i="58"/>
  <c r="J21" i="58"/>
  <c r="J14" i="58"/>
  <c r="H46" i="58"/>
  <c r="I46" i="58" s="1"/>
  <c r="J19" i="58"/>
  <c r="J23" i="58"/>
  <c r="J25" i="58"/>
  <c r="J30" i="58"/>
  <c r="J42" i="58"/>
  <c r="J29" i="58"/>
  <c r="J43" i="58"/>
  <c r="J35" i="58"/>
  <c r="J34" i="58"/>
  <c r="J44" i="58"/>
  <c r="J38" i="68"/>
  <c r="H38" i="68"/>
  <c r="I38" i="68" s="1"/>
  <c r="H48" i="52"/>
  <c r="I48" i="52" s="1"/>
  <c r="J20" i="215"/>
  <c r="J36" i="215"/>
  <c r="J18" i="215"/>
  <c r="J38" i="215"/>
  <c r="J12" i="215"/>
  <c r="J14" i="215"/>
  <c r="J28" i="215"/>
  <c r="J27" i="215"/>
  <c r="J33" i="215"/>
  <c r="J26" i="215"/>
  <c r="J40" i="215"/>
  <c r="J46" i="215"/>
  <c r="J41" i="215"/>
  <c r="J31" i="215"/>
  <c r="J39" i="215"/>
  <c r="J24" i="215"/>
  <c r="J22" i="215"/>
  <c r="J32" i="215"/>
  <c r="J21" i="215"/>
  <c r="J37" i="215"/>
  <c r="J13" i="215"/>
  <c r="H46" i="215"/>
  <c r="I46" i="215" s="1"/>
  <c r="J23" i="215"/>
  <c r="J19" i="215"/>
  <c r="J25" i="215"/>
  <c r="J30" i="215"/>
  <c r="J42" i="215"/>
  <c r="J29" i="215"/>
  <c r="J35" i="215"/>
  <c r="J34" i="215"/>
  <c r="J43" i="215"/>
  <c r="J44" i="215"/>
  <c r="H43" i="104"/>
  <c r="I43" i="104" s="1"/>
  <c r="H48" i="168"/>
  <c r="I48" i="168" s="1"/>
  <c r="I38" i="78"/>
  <c r="I43" i="7" s="1"/>
  <c r="H43" i="7"/>
  <c r="H48" i="50"/>
  <c r="I48" i="50" s="1"/>
  <c r="I39" i="175"/>
  <c r="I39" i="7" s="1"/>
  <c r="H39" i="7"/>
  <c r="J38" i="169"/>
  <c r="H38" i="169"/>
  <c r="I38" i="169" s="1"/>
  <c r="G46" i="52"/>
  <c r="H44" i="52"/>
  <c r="I44" i="52" s="1"/>
  <c r="H24" i="7"/>
  <c r="I51" i="183"/>
  <c r="I24" i="7" s="1"/>
  <c r="H35" i="56"/>
  <c r="I35" i="56" s="1"/>
  <c r="G44" i="50"/>
  <c r="H43" i="50"/>
  <c r="I43" i="50" s="1"/>
  <c r="H34" i="181"/>
  <c r="I34" i="181" s="1"/>
  <c r="K16" i="212"/>
  <c r="K36" i="212"/>
  <c r="K37" i="212"/>
  <c r="K21" i="212"/>
  <c r="K20" i="212"/>
  <c r="K26" i="212"/>
  <c r="K18" i="212"/>
  <c r="K28" i="212"/>
  <c r="K31" i="212"/>
  <c r="K40" i="212"/>
  <c r="K39" i="212"/>
  <c r="K24" i="212"/>
  <c r="K51" i="212"/>
  <c r="K15" i="212"/>
  <c r="K22" i="212"/>
  <c r="K27" i="212"/>
  <c r="K41" i="212"/>
  <c r="K17" i="212"/>
  <c r="K38" i="212"/>
  <c r="K33" i="212"/>
  <c r="K32" i="212"/>
  <c r="H51" i="212"/>
  <c r="K19" i="212"/>
  <c r="K23" i="212"/>
  <c r="K25" i="212"/>
  <c r="K29" i="212"/>
  <c r="K47" i="212"/>
  <c r="K30" i="212"/>
  <c r="K35" i="212"/>
  <c r="K48" i="212"/>
  <c r="K34" i="212"/>
  <c r="K49" i="212"/>
  <c r="H48" i="49"/>
  <c r="I48" i="49" s="1"/>
  <c r="K50" i="60"/>
  <c r="H50" i="60"/>
  <c r="I50" i="60" s="1"/>
  <c r="I51" i="213"/>
  <c r="I63" i="7" s="1"/>
  <c r="H63" i="7"/>
  <c r="H48" i="56"/>
  <c r="I48" i="56" s="1"/>
  <c r="J38" i="25"/>
  <c r="H35" i="48"/>
  <c r="I35" i="48" s="1"/>
  <c r="G51" i="51"/>
  <c r="H49" i="51"/>
  <c r="I49" i="51" s="1"/>
  <c r="H35" i="54"/>
  <c r="I35" i="54" s="1"/>
  <c r="G49" i="182"/>
  <c r="H48" i="182"/>
  <c r="I48" i="182" s="1"/>
  <c r="H35" i="52"/>
  <c r="I35" i="52" s="1"/>
  <c r="H47" i="7"/>
  <c r="I51" i="200"/>
  <c r="I47" i="7" s="1"/>
  <c r="J45" i="215"/>
  <c r="I38" i="222"/>
  <c r="I67" i="7" s="1"/>
  <c r="H67" i="7"/>
  <c r="H25" i="7"/>
  <c r="I51" i="62"/>
  <c r="I25" i="7" s="1"/>
  <c r="I51" i="205"/>
  <c r="I59" i="7" s="1"/>
  <c r="H59" i="7"/>
  <c r="J12" i="59"/>
  <c r="J41" i="59"/>
  <c r="J21" i="59"/>
  <c r="J22" i="59"/>
  <c r="J36" i="59"/>
  <c r="J13" i="59"/>
  <c r="J14" i="59"/>
  <c r="J26" i="59"/>
  <c r="J27" i="59"/>
  <c r="J46" i="59"/>
  <c r="J38" i="59"/>
  <c r="J32" i="59"/>
  <c r="J24" i="59"/>
  <c r="J39" i="59"/>
  <c r="J31" i="59"/>
  <c r="J40" i="59"/>
  <c r="J18" i="59"/>
  <c r="J33" i="59"/>
  <c r="J37" i="59"/>
  <c r="J28" i="59"/>
  <c r="J20" i="59"/>
  <c r="H46" i="59"/>
  <c r="I46" i="59" s="1"/>
  <c r="J23" i="59"/>
  <c r="J19" i="59"/>
  <c r="J25" i="59"/>
  <c r="J30" i="59"/>
  <c r="J29" i="59"/>
  <c r="J42" i="59"/>
  <c r="J43" i="59"/>
  <c r="J35" i="59"/>
  <c r="J34" i="59"/>
  <c r="J44" i="59"/>
  <c r="H35" i="7"/>
  <c r="I39" i="65"/>
  <c r="I35" i="7" s="1"/>
  <c r="H34" i="50"/>
  <c r="I34" i="50" s="1"/>
  <c r="H35" i="50"/>
  <c r="I35" i="50" s="1"/>
  <c r="H43" i="181"/>
  <c r="I43" i="181" s="1"/>
  <c r="G44" i="54"/>
  <c r="G44" i="182"/>
  <c r="H43" i="182"/>
  <c r="I43" i="182" s="1"/>
  <c r="G49" i="52"/>
  <c r="J13" i="171"/>
  <c r="J28" i="171"/>
  <c r="J31" i="171"/>
  <c r="J26" i="171"/>
  <c r="J14" i="171"/>
  <c r="J17" i="171"/>
  <c r="J24" i="171"/>
  <c r="J25" i="171"/>
  <c r="J33" i="171"/>
  <c r="J30" i="171"/>
  <c r="J38" i="171"/>
  <c r="J15" i="171"/>
  <c r="J18" i="171"/>
  <c r="J19" i="171"/>
  <c r="J21" i="171"/>
  <c r="J22" i="171"/>
  <c r="J32" i="171"/>
  <c r="J29" i="171"/>
  <c r="H38" i="171"/>
  <c r="J20" i="171"/>
  <c r="J16" i="171"/>
  <c r="J23" i="171"/>
  <c r="J34" i="171"/>
  <c r="J27" i="171"/>
  <c r="J35" i="171"/>
  <c r="J36" i="171"/>
  <c r="H34" i="53"/>
  <c r="I34" i="53" s="1"/>
  <c r="H43" i="52"/>
  <c r="I43" i="52" s="1"/>
  <c r="H34" i="104"/>
  <c r="I34" i="104" s="1"/>
  <c r="H29" i="7"/>
  <c r="I38" i="73"/>
  <c r="I29" i="7" s="1"/>
  <c r="H18" i="7"/>
  <c r="I51" i="57"/>
  <c r="I18" i="7" s="1"/>
  <c r="G49" i="53"/>
  <c r="J25" i="223"/>
  <c r="J30" i="223"/>
  <c r="J33" i="223"/>
  <c r="J22" i="223"/>
  <c r="J38" i="223"/>
  <c r="J28" i="223"/>
  <c r="J13" i="223"/>
  <c r="J15" i="223"/>
  <c r="J19" i="223"/>
  <c r="J32" i="223"/>
  <c r="J20" i="223"/>
  <c r="J29" i="223"/>
  <c r="J18" i="223"/>
  <c r="J26" i="223"/>
  <c r="J21" i="223"/>
  <c r="J24" i="223"/>
  <c r="J31" i="223"/>
  <c r="J14" i="223"/>
  <c r="J17" i="223"/>
  <c r="H38" i="223"/>
  <c r="J16" i="223"/>
  <c r="J23" i="223"/>
  <c r="J27" i="223"/>
  <c r="J34" i="223"/>
  <c r="J35" i="223"/>
  <c r="J36" i="223"/>
  <c r="J45" i="60"/>
  <c r="H48" i="51"/>
  <c r="I48" i="51" s="1"/>
  <c r="G44" i="49"/>
  <c r="H43" i="49"/>
  <c r="I43" i="49" s="1"/>
  <c r="G39" i="174"/>
  <c r="H40" i="7" l="1"/>
  <c r="J34" i="168"/>
  <c r="J43" i="168"/>
  <c r="J44" i="52"/>
  <c r="J35" i="52"/>
  <c r="J43" i="52"/>
  <c r="J34" i="53"/>
  <c r="J35" i="53"/>
  <c r="K48" i="54"/>
  <c r="K35" i="54"/>
  <c r="K49" i="54"/>
  <c r="J35" i="168"/>
  <c r="G51" i="104"/>
  <c r="K40" i="104" s="1"/>
  <c r="J21" i="56"/>
  <c r="J37" i="56"/>
  <c r="J28" i="56"/>
  <c r="J26" i="56"/>
  <c r="J14" i="56"/>
  <c r="J33" i="56"/>
  <c r="J39" i="56"/>
  <c r="J36" i="56"/>
  <c r="J27" i="56"/>
  <c r="J41" i="56"/>
  <c r="J46" i="56"/>
  <c r="J20" i="56"/>
  <c r="J24" i="56"/>
  <c r="J40" i="56"/>
  <c r="J38" i="56"/>
  <c r="J13" i="56"/>
  <c r="J22" i="56"/>
  <c r="J18" i="56"/>
  <c r="J32" i="56"/>
  <c r="J31" i="56"/>
  <c r="J12" i="56"/>
  <c r="H46" i="56"/>
  <c r="I46" i="56" s="1"/>
  <c r="J19" i="56"/>
  <c r="J23" i="56"/>
  <c r="J25" i="56"/>
  <c r="J29" i="56"/>
  <c r="J30" i="56"/>
  <c r="J42" i="56"/>
  <c r="J34" i="56"/>
  <c r="J44" i="56"/>
  <c r="J43" i="56"/>
  <c r="J35" i="56"/>
  <c r="K40" i="51"/>
  <c r="K39" i="51"/>
  <c r="K31" i="51"/>
  <c r="K26" i="51"/>
  <c r="K21" i="51"/>
  <c r="K22" i="51"/>
  <c r="K41" i="51"/>
  <c r="K36" i="51"/>
  <c r="K51" i="51"/>
  <c r="K15" i="51"/>
  <c r="K38" i="51"/>
  <c r="K28" i="51"/>
  <c r="K37" i="51"/>
  <c r="K32" i="51"/>
  <c r="K27" i="51"/>
  <c r="K33" i="51"/>
  <c r="K20" i="51"/>
  <c r="K18" i="51"/>
  <c r="K24" i="51"/>
  <c r="K17" i="51"/>
  <c r="K16" i="51"/>
  <c r="H51" i="51"/>
  <c r="K19" i="51"/>
  <c r="K23" i="51"/>
  <c r="K25" i="51"/>
  <c r="K29" i="51"/>
  <c r="K30" i="51"/>
  <c r="K47" i="51"/>
  <c r="K49" i="51"/>
  <c r="K35" i="51"/>
  <c r="K34" i="51"/>
  <c r="K48" i="51"/>
  <c r="H45" i="182"/>
  <c r="I45" i="182" s="1"/>
  <c r="H44" i="182"/>
  <c r="I44" i="182" s="1"/>
  <c r="H37" i="7"/>
  <c r="I39" i="67"/>
  <c r="I37" i="7" s="1"/>
  <c r="G51" i="181"/>
  <c r="H49" i="181"/>
  <c r="I49" i="181" s="1"/>
  <c r="K34" i="168"/>
  <c r="K51" i="168"/>
  <c r="K36" i="168"/>
  <c r="K18" i="168"/>
  <c r="K17" i="168"/>
  <c r="K20" i="168"/>
  <c r="K33" i="168"/>
  <c r="K28" i="168"/>
  <c r="K31" i="168"/>
  <c r="K38" i="168"/>
  <c r="K15" i="168"/>
  <c r="K16" i="168"/>
  <c r="K21" i="168"/>
  <c r="K27" i="168"/>
  <c r="K40" i="168"/>
  <c r="K32" i="168"/>
  <c r="K41" i="168"/>
  <c r="K22" i="168"/>
  <c r="K26" i="168"/>
  <c r="K39" i="168"/>
  <c r="K24" i="168"/>
  <c r="K37" i="168"/>
  <c r="H51" i="168"/>
  <c r="K19" i="168"/>
  <c r="K23" i="168"/>
  <c r="K25" i="168"/>
  <c r="K29" i="168"/>
  <c r="K30" i="168"/>
  <c r="K47" i="168"/>
  <c r="J13" i="53"/>
  <c r="J12" i="53"/>
  <c r="J24" i="53"/>
  <c r="J38" i="53"/>
  <c r="J40" i="53"/>
  <c r="J31" i="53"/>
  <c r="J37" i="53"/>
  <c r="J22" i="53"/>
  <c r="J20" i="53"/>
  <c r="J32" i="53"/>
  <c r="J41" i="53"/>
  <c r="J28" i="53"/>
  <c r="J36" i="53"/>
  <c r="J21" i="53"/>
  <c r="J46" i="53"/>
  <c r="J39" i="53"/>
  <c r="J27" i="53"/>
  <c r="J18" i="53"/>
  <c r="J26" i="53"/>
  <c r="J14" i="53"/>
  <c r="J33" i="53"/>
  <c r="H46" i="53"/>
  <c r="I46" i="53" s="1"/>
  <c r="J19" i="53"/>
  <c r="J23" i="53"/>
  <c r="J25" i="53"/>
  <c r="J42" i="53"/>
  <c r="J29" i="53"/>
  <c r="J30" i="53"/>
  <c r="K50" i="104"/>
  <c r="H49" i="52"/>
  <c r="I49" i="52" s="1"/>
  <c r="G46" i="54"/>
  <c r="J44" i="54" s="1"/>
  <c r="H44" i="54"/>
  <c r="I44" i="54" s="1"/>
  <c r="K50" i="51"/>
  <c r="H50" i="51"/>
  <c r="I50" i="51" s="1"/>
  <c r="H44" i="50"/>
  <c r="I44" i="50" s="1"/>
  <c r="J38" i="52"/>
  <c r="J18" i="52"/>
  <c r="J26" i="52"/>
  <c r="J22" i="52"/>
  <c r="J14" i="52"/>
  <c r="J37" i="52"/>
  <c r="J36" i="52"/>
  <c r="J40" i="52"/>
  <c r="J31" i="52"/>
  <c r="J21" i="52"/>
  <c r="J32" i="52"/>
  <c r="J39" i="52"/>
  <c r="J28" i="52"/>
  <c r="J12" i="52"/>
  <c r="J13" i="52"/>
  <c r="J41" i="52"/>
  <c r="J33" i="52"/>
  <c r="J24" i="52"/>
  <c r="J20" i="52"/>
  <c r="J27" i="52"/>
  <c r="J46" i="52"/>
  <c r="H46" i="52"/>
  <c r="I46" i="52" s="1"/>
  <c r="J19" i="52"/>
  <c r="J23" i="52"/>
  <c r="J25" i="52"/>
  <c r="J29" i="52"/>
  <c r="J42" i="52"/>
  <c r="J30" i="52"/>
  <c r="G46" i="181"/>
  <c r="J45" i="181" s="1"/>
  <c r="H45" i="181"/>
  <c r="I45" i="181" s="1"/>
  <c r="H23" i="7"/>
  <c r="I51" i="61"/>
  <c r="I23" i="7" s="1"/>
  <c r="G51" i="56"/>
  <c r="K50" i="56" s="1"/>
  <c r="H50" i="56"/>
  <c r="I50" i="56" s="1"/>
  <c r="H22" i="7"/>
  <c r="I51" i="60"/>
  <c r="I22" i="7" s="1"/>
  <c r="G51" i="49"/>
  <c r="K50" i="49" s="1"/>
  <c r="H50" i="49"/>
  <c r="I50" i="49" s="1"/>
  <c r="H49" i="48"/>
  <c r="I49" i="48" s="1"/>
  <c r="I39" i="169"/>
  <c r="I33" i="7" s="1"/>
  <c r="H33" i="7"/>
  <c r="H45" i="104"/>
  <c r="I45" i="104" s="1"/>
  <c r="J45" i="53"/>
  <c r="H45" i="53"/>
  <c r="I45" i="53" s="1"/>
  <c r="J45" i="56"/>
  <c r="H45" i="56"/>
  <c r="I45" i="56" s="1"/>
  <c r="K24" i="54"/>
  <c r="K37" i="54"/>
  <c r="K40" i="54"/>
  <c r="K18" i="54"/>
  <c r="K38" i="54"/>
  <c r="K26" i="54"/>
  <c r="K28" i="54"/>
  <c r="K20" i="54"/>
  <c r="K32" i="54"/>
  <c r="K51" i="54"/>
  <c r="K33" i="54"/>
  <c r="K31" i="54"/>
  <c r="K22" i="54"/>
  <c r="K15" i="54"/>
  <c r="K36" i="54"/>
  <c r="K17" i="54"/>
  <c r="K41" i="54"/>
  <c r="K21" i="54"/>
  <c r="K27" i="54"/>
  <c r="K39" i="54"/>
  <c r="K16" i="54"/>
  <c r="H51" i="54"/>
  <c r="K19" i="54"/>
  <c r="K23" i="54"/>
  <c r="K25" i="54"/>
  <c r="K47" i="54"/>
  <c r="K29" i="54"/>
  <c r="K30" i="54"/>
  <c r="K34" i="54"/>
  <c r="G46" i="51"/>
  <c r="J45" i="51" s="1"/>
  <c r="H45" i="51"/>
  <c r="I45" i="51" s="1"/>
  <c r="J32" i="168"/>
  <c r="J12" i="168"/>
  <c r="J18" i="168"/>
  <c r="J39" i="168"/>
  <c r="J37" i="168"/>
  <c r="J46" i="168"/>
  <c r="J28" i="168"/>
  <c r="J31" i="168"/>
  <c r="J13" i="168"/>
  <c r="J40" i="168"/>
  <c r="J26" i="168"/>
  <c r="J22" i="168"/>
  <c r="J20" i="168"/>
  <c r="J36" i="168"/>
  <c r="J21" i="168"/>
  <c r="J33" i="168"/>
  <c r="J41" i="168"/>
  <c r="J27" i="168"/>
  <c r="J14" i="168"/>
  <c r="J24" i="168"/>
  <c r="J38" i="168"/>
  <c r="H46" i="168"/>
  <c r="I46" i="168" s="1"/>
  <c r="J19" i="168"/>
  <c r="J23" i="168"/>
  <c r="J25" i="168"/>
  <c r="J42" i="168"/>
  <c r="J29" i="168"/>
  <c r="J30" i="168"/>
  <c r="H68" i="7"/>
  <c r="I38" i="223"/>
  <c r="I68" i="7" s="1"/>
  <c r="H45" i="49"/>
  <c r="I45" i="49" s="1"/>
  <c r="H44" i="49"/>
  <c r="I44" i="49" s="1"/>
  <c r="H49" i="53"/>
  <c r="I49" i="53" s="1"/>
  <c r="H27" i="7"/>
  <c r="I38" i="171"/>
  <c r="I27" i="7" s="1"/>
  <c r="H49" i="182"/>
  <c r="I49" i="182" s="1"/>
  <c r="J45" i="52"/>
  <c r="H45" i="52"/>
  <c r="I45" i="52" s="1"/>
  <c r="K49" i="168"/>
  <c r="G46" i="104"/>
  <c r="J44" i="53"/>
  <c r="I39" i="68"/>
  <c r="I38" i="7" s="1"/>
  <c r="H38" i="7"/>
  <c r="K50" i="54"/>
  <c r="H50" i="54"/>
  <c r="I50" i="54" s="1"/>
  <c r="K35" i="168"/>
  <c r="J45" i="168"/>
  <c r="H45" i="168"/>
  <c r="I45" i="168" s="1"/>
  <c r="J38" i="174"/>
  <c r="J14" i="174"/>
  <c r="J12" i="174"/>
  <c r="J33" i="174"/>
  <c r="J29" i="174"/>
  <c r="J31" i="174"/>
  <c r="J30" i="174"/>
  <c r="J21" i="174"/>
  <c r="J39" i="174"/>
  <c r="J25" i="174"/>
  <c r="J20" i="174"/>
  <c r="J26" i="174"/>
  <c r="J32" i="174"/>
  <c r="J13" i="174"/>
  <c r="J23" i="174"/>
  <c r="J16" i="174"/>
  <c r="J27" i="174"/>
  <c r="J18" i="174"/>
  <c r="J17" i="174"/>
  <c r="J34" i="174"/>
  <c r="H39" i="174"/>
  <c r="J15" i="174"/>
  <c r="J22" i="174"/>
  <c r="J19" i="174"/>
  <c r="J24" i="174"/>
  <c r="J28" i="174"/>
  <c r="J35" i="174"/>
  <c r="J36" i="174"/>
  <c r="J37" i="174"/>
  <c r="H62" i="7"/>
  <c r="I51" i="212"/>
  <c r="I62" i="7" s="1"/>
  <c r="J34" i="52"/>
  <c r="G51" i="50"/>
  <c r="K50" i="168"/>
  <c r="H50" i="168"/>
  <c r="I50" i="168" s="1"/>
  <c r="J22" i="61"/>
  <c r="J33" i="61"/>
  <c r="J20" i="61"/>
  <c r="J14" i="61"/>
  <c r="J36" i="61"/>
  <c r="J46" i="61"/>
  <c r="J41" i="61"/>
  <c r="J21" i="61"/>
  <c r="J24" i="61"/>
  <c r="J12" i="61"/>
  <c r="J28" i="61"/>
  <c r="J39" i="61"/>
  <c r="J31" i="61"/>
  <c r="J32" i="61"/>
  <c r="J26" i="61"/>
  <c r="J18" i="61"/>
  <c r="J37" i="61"/>
  <c r="J27" i="61"/>
  <c r="J13" i="61"/>
  <c r="J40" i="61"/>
  <c r="J38" i="61"/>
  <c r="H46" i="61"/>
  <c r="I46" i="61" s="1"/>
  <c r="J19" i="61"/>
  <c r="J23" i="61"/>
  <c r="J25" i="61"/>
  <c r="J29" i="61"/>
  <c r="J42" i="61"/>
  <c r="J30" i="61"/>
  <c r="J43" i="61"/>
  <c r="J34" i="61"/>
  <c r="J35" i="61"/>
  <c r="J44" i="61"/>
  <c r="I39" i="25"/>
  <c r="I32" i="7" s="1"/>
  <c r="H32" i="7"/>
  <c r="J17" i="64"/>
  <c r="J23" i="64"/>
  <c r="J12" i="64"/>
  <c r="J33" i="64"/>
  <c r="J29" i="64"/>
  <c r="J26" i="64"/>
  <c r="J39" i="64"/>
  <c r="J14" i="64"/>
  <c r="J30" i="64"/>
  <c r="J18" i="64"/>
  <c r="J31" i="64"/>
  <c r="J27" i="64"/>
  <c r="J13" i="64"/>
  <c r="J16" i="64"/>
  <c r="J20" i="64"/>
  <c r="J32" i="64"/>
  <c r="J21" i="64"/>
  <c r="J25" i="64"/>
  <c r="J34" i="64"/>
  <c r="H39" i="64"/>
  <c r="J15" i="64"/>
  <c r="J19" i="64"/>
  <c r="J22" i="64"/>
  <c r="J24" i="64"/>
  <c r="J35" i="64"/>
  <c r="J28" i="64"/>
  <c r="J36" i="64"/>
  <c r="J37" i="64"/>
  <c r="J43" i="53"/>
  <c r="G46" i="48"/>
  <c r="H45" i="48"/>
  <c r="I45" i="48" s="1"/>
  <c r="J44" i="168"/>
  <c r="K20" i="104" l="1"/>
  <c r="K23" i="104"/>
  <c r="K27" i="104"/>
  <c r="K38" i="104"/>
  <c r="K49" i="104"/>
  <c r="H51" i="104"/>
  <c r="H15" i="7" s="1"/>
  <c r="K37" i="104"/>
  <c r="K47" i="104"/>
  <c r="K51" i="104"/>
  <c r="K15" i="104"/>
  <c r="K26" i="104"/>
  <c r="G46" i="182"/>
  <c r="J44" i="182" s="1"/>
  <c r="G46" i="49"/>
  <c r="J18" i="49" s="1"/>
  <c r="K29" i="104"/>
  <c r="K17" i="104"/>
  <c r="K33" i="104"/>
  <c r="K21" i="104"/>
  <c r="K30" i="104"/>
  <c r="K19" i="104"/>
  <c r="K22" i="104"/>
  <c r="K32" i="104"/>
  <c r="K39" i="104"/>
  <c r="K36" i="104"/>
  <c r="K34" i="104"/>
  <c r="K48" i="104"/>
  <c r="K35" i="104"/>
  <c r="K25" i="104"/>
  <c r="K31" i="104"/>
  <c r="K16" i="104"/>
  <c r="K18" i="104"/>
  <c r="K24" i="104"/>
  <c r="K41" i="104"/>
  <c r="K28" i="104"/>
  <c r="K33" i="181"/>
  <c r="K18" i="181"/>
  <c r="K36" i="181"/>
  <c r="K16" i="181"/>
  <c r="K24" i="181"/>
  <c r="K26" i="181"/>
  <c r="K28" i="181"/>
  <c r="K51" i="181"/>
  <c r="K15" i="181"/>
  <c r="K27" i="181"/>
  <c r="K31" i="181"/>
  <c r="K39" i="181"/>
  <c r="K37" i="181"/>
  <c r="K41" i="181"/>
  <c r="K32" i="181"/>
  <c r="K22" i="181"/>
  <c r="K38" i="181"/>
  <c r="K20" i="181"/>
  <c r="K17" i="181"/>
  <c r="K40" i="181"/>
  <c r="K21" i="181"/>
  <c r="H51" i="181"/>
  <c r="K19" i="181"/>
  <c r="K23" i="181"/>
  <c r="K25" i="181"/>
  <c r="K30" i="181"/>
  <c r="K29" i="181"/>
  <c r="K47" i="181"/>
  <c r="K48" i="181"/>
  <c r="K34" i="181"/>
  <c r="K35" i="181"/>
  <c r="K49" i="181"/>
  <c r="K50" i="50"/>
  <c r="K27" i="50"/>
  <c r="K36" i="50"/>
  <c r="K20" i="50"/>
  <c r="K41" i="50"/>
  <c r="K51" i="50"/>
  <c r="K24" i="50"/>
  <c r="K26" i="50"/>
  <c r="K17" i="50"/>
  <c r="K16" i="50"/>
  <c r="K37" i="50"/>
  <c r="K39" i="50"/>
  <c r="K40" i="50"/>
  <c r="K21" i="50"/>
  <c r="K33" i="50"/>
  <c r="K38" i="50"/>
  <c r="K28" i="50"/>
  <c r="K32" i="50"/>
  <c r="K15" i="50"/>
  <c r="K31" i="50"/>
  <c r="K18" i="50"/>
  <c r="K22" i="50"/>
  <c r="H51" i="50"/>
  <c r="K19" i="50"/>
  <c r="K23" i="50"/>
  <c r="K25" i="50"/>
  <c r="K47" i="50"/>
  <c r="K30" i="50"/>
  <c r="K29" i="50"/>
  <c r="K49" i="50"/>
  <c r="K35" i="50"/>
  <c r="K48" i="50"/>
  <c r="K34" i="50"/>
  <c r="G51" i="182"/>
  <c r="K50" i="182" s="1"/>
  <c r="H50" i="182"/>
  <c r="I50" i="182" s="1"/>
  <c r="J45" i="49"/>
  <c r="J45" i="54"/>
  <c r="H45" i="54"/>
  <c r="I45" i="54" s="1"/>
  <c r="J44" i="48"/>
  <c r="J41" i="48"/>
  <c r="J32" i="48"/>
  <c r="J20" i="48"/>
  <c r="J33" i="48"/>
  <c r="J38" i="48"/>
  <c r="J21" i="48"/>
  <c r="J26" i="48"/>
  <c r="J40" i="48"/>
  <c r="J18" i="48"/>
  <c r="J24" i="48"/>
  <c r="J36" i="48"/>
  <c r="J14" i="48"/>
  <c r="J27" i="48"/>
  <c r="J12" i="48"/>
  <c r="J28" i="48"/>
  <c r="J22" i="48"/>
  <c r="J39" i="48"/>
  <c r="J37" i="48"/>
  <c r="J31" i="48"/>
  <c r="J46" i="48"/>
  <c r="J13" i="48"/>
  <c r="H46" i="48"/>
  <c r="I46" i="48" s="1"/>
  <c r="J19" i="48"/>
  <c r="J23" i="48"/>
  <c r="J25" i="48"/>
  <c r="J42" i="48"/>
  <c r="J29" i="48"/>
  <c r="J30" i="48"/>
  <c r="J35" i="48"/>
  <c r="J34" i="48"/>
  <c r="J43" i="48"/>
  <c r="J38" i="104"/>
  <c r="J40" i="104"/>
  <c r="J33" i="104"/>
  <c r="J39" i="104"/>
  <c r="J13" i="104"/>
  <c r="J21" i="104"/>
  <c r="J14" i="104"/>
  <c r="J20" i="104"/>
  <c r="J46" i="104"/>
  <c r="J27" i="104"/>
  <c r="J41" i="104"/>
  <c r="J28" i="104"/>
  <c r="J18" i="104"/>
  <c r="J22" i="104"/>
  <c r="J12" i="104"/>
  <c r="J36" i="104"/>
  <c r="J37" i="104"/>
  <c r="J31" i="104"/>
  <c r="J32" i="104"/>
  <c r="J26" i="104"/>
  <c r="J24" i="104"/>
  <c r="H46" i="104"/>
  <c r="I46" i="104" s="1"/>
  <c r="J19" i="104"/>
  <c r="J23" i="104"/>
  <c r="J25" i="104"/>
  <c r="J30" i="104"/>
  <c r="J29" i="104"/>
  <c r="J42" i="104"/>
  <c r="J43" i="104"/>
  <c r="J34" i="104"/>
  <c r="J35" i="104"/>
  <c r="J44" i="104"/>
  <c r="G51" i="53"/>
  <c r="K50" i="53" s="1"/>
  <c r="H50" i="53"/>
  <c r="I50" i="53" s="1"/>
  <c r="J45" i="104"/>
  <c r="K31" i="49"/>
  <c r="K39" i="49"/>
  <c r="K18" i="49"/>
  <c r="K28" i="49"/>
  <c r="K37" i="49"/>
  <c r="K24" i="49"/>
  <c r="K33" i="49"/>
  <c r="K21" i="49"/>
  <c r="K40" i="49"/>
  <c r="K36" i="49"/>
  <c r="K38" i="49"/>
  <c r="K15" i="49"/>
  <c r="K16" i="49"/>
  <c r="K41" i="49"/>
  <c r="K17" i="49"/>
  <c r="K26" i="49"/>
  <c r="K20" i="49"/>
  <c r="K32" i="49"/>
  <c r="K51" i="49"/>
  <c r="K27" i="49"/>
  <c r="K22" i="49"/>
  <c r="H51" i="49"/>
  <c r="K19" i="49"/>
  <c r="K23" i="49"/>
  <c r="K25" i="49"/>
  <c r="K29" i="49"/>
  <c r="K30" i="49"/>
  <c r="K47" i="49"/>
  <c r="K35" i="49"/>
  <c r="K34" i="49"/>
  <c r="K49" i="49"/>
  <c r="K48" i="49"/>
  <c r="K50" i="181"/>
  <c r="H50" i="181"/>
  <c r="I50" i="181" s="1"/>
  <c r="H36" i="7"/>
  <c r="I39" i="174"/>
  <c r="I36" i="7" s="1"/>
  <c r="J36" i="51"/>
  <c r="J40" i="51"/>
  <c r="J37" i="51"/>
  <c r="J27" i="51"/>
  <c r="J32" i="51"/>
  <c r="J14" i="51"/>
  <c r="J41" i="51"/>
  <c r="J13" i="51"/>
  <c r="J21" i="51"/>
  <c r="J46" i="51"/>
  <c r="J12" i="51"/>
  <c r="J28" i="51"/>
  <c r="J31" i="51"/>
  <c r="J26" i="51"/>
  <c r="J39" i="51"/>
  <c r="J38" i="51"/>
  <c r="J33" i="51"/>
  <c r="J18" i="51"/>
  <c r="J20" i="51"/>
  <c r="J22" i="51"/>
  <c r="J24" i="51"/>
  <c r="H46" i="51"/>
  <c r="I46" i="51" s="1"/>
  <c r="J19" i="51"/>
  <c r="J23" i="51"/>
  <c r="J25" i="51"/>
  <c r="J42" i="51"/>
  <c r="J29" i="51"/>
  <c r="J30" i="51"/>
  <c r="J43" i="51"/>
  <c r="J35" i="51"/>
  <c r="J34" i="51"/>
  <c r="J44" i="51"/>
  <c r="H14" i="7"/>
  <c r="I51" i="54"/>
  <c r="I14" i="7" s="1"/>
  <c r="G51" i="48"/>
  <c r="K50" i="48" s="1"/>
  <c r="H50" i="48"/>
  <c r="I50" i="48" s="1"/>
  <c r="K32" i="56"/>
  <c r="K17" i="56"/>
  <c r="K26" i="56"/>
  <c r="K24" i="56"/>
  <c r="K21" i="56"/>
  <c r="K33" i="56"/>
  <c r="K27" i="56"/>
  <c r="K18" i="56"/>
  <c r="K38" i="56"/>
  <c r="K16" i="56"/>
  <c r="K28" i="56"/>
  <c r="K22" i="56"/>
  <c r="K36" i="56"/>
  <c r="K31" i="56"/>
  <c r="K20" i="56"/>
  <c r="K37" i="56"/>
  <c r="K51" i="56"/>
  <c r="K41" i="56"/>
  <c r="K15" i="56"/>
  <c r="K39" i="56"/>
  <c r="K40" i="56"/>
  <c r="H51" i="56"/>
  <c r="K19" i="56"/>
  <c r="K23" i="56"/>
  <c r="K25" i="56"/>
  <c r="K29" i="56"/>
  <c r="K30" i="56"/>
  <c r="K47" i="56"/>
  <c r="K48" i="56"/>
  <c r="K34" i="56"/>
  <c r="K49" i="56"/>
  <c r="K35" i="56"/>
  <c r="G46" i="50"/>
  <c r="H45" i="50"/>
  <c r="I45" i="50" s="1"/>
  <c r="I51" i="51"/>
  <c r="I10" i="7" s="1"/>
  <c r="H10" i="7"/>
  <c r="H34" i="7"/>
  <c r="I39" i="64"/>
  <c r="I34" i="7" s="1"/>
  <c r="J45" i="48"/>
  <c r="J40" i="181"/>
  <c r="J20" i="181"/>
  <c r="J18" i="181"/>
  <c r="J14" i="181"/>
  <c r="J13" i="181"/>
  <c r="J26" i="181"/>
  <c r="J41" i="181"/>
  <c r="J36" i="181"/>
  <c r="J38" i="181"/>
  <c r="J28" i="181"/>
  <c r="J39" i="181"/>
  <c r="J21" i="181"/>
  <c r="J12" i="181"/>
  <c r="J32" i="181"/>
  <c r="J31" i="181"/>
  <c r="J37" i="181"/>
  <c r="J46" i="181"/>
  <c r="J27" i="181"/>
  <c r="J33" i="181"/>
  <c r="J22" i="181"/>
  <c r="J24" i="181"/>
  <c r="H46" i="181"/>
  <c r="I46" i="181" s="1"/>
  <c r="J19" i="181"/>
  <c r="J23" i="181"/>
  <c r="J25" i="181"/>
  <c r="J30" i="181"/>
  <c r="J42" i="181"/>
  <c r="J29" i="181"/>
  <c r="J35" i="181"/>
  <c r="J43" i="181"/>
  <c r="J34" i="181"/>
  <c r="J44" i="181"/>
  <c r="J38" i="54"/>
  <c r="J13" i="54"/>
  <c r="J36" i="54"/>
  <c r="J37" i="54"/>
  <c r="J26" i="54"/>
  <c r="J32" i="54"/>
  <c r="J12" i="54"/>
  <c r="J33" i="54"/>
  <c r="J22" i="54"/>
  <c r="J20" i="54"/>
  <c r="J31" i="54"/>
  <c r="J28" i="54"/>
  <c r="J41" i="54"/>
  <c r="J40" i="54"/>
  <c r="J18" i="54"/>
  <c r="J27" i="54"/>
  <c r="J21" i="54"/>
  <c r="J14" i="54"/>
  <c r="J46" i="54"/>
  <c r="J24" i="54"/>
  <c r="J39" i="54"/>
  <c r="H46" i="54"/>
  <c r="I46" i="54" s="1"/>
  <c r="J19" i="54"/>
  <c r="J23" i="54"/>
  <c r="J25" i="54"/>
  <c r="J29" i="54"/>
  <c r="J42" i="54"/>
  <c r="J30" i="54"/>
  <c r="J43" i="54"/>
  <c r="J34" i="54"/>
  <c r="J35" i="54"/>
  <c r="G51" i="52"/>
  <c r="K50" i="52" s="1"/>
  <c r="H50" i="52"/>
  <c r="I50" i="52" s="1"/>
  <c r="I51" i="168"/>
  <c r="I16" i="7" s="1"/>
  <c r="H16" i="7"/>
  <c r="J30" i="182" l="1"/>
  <c r="J22" i="182"/>
  <c r="J31" i="49"/>
  <c r="I51" i="104"/>
  <c r="I15" i="7" s="1"/>
  <c r="J23" i="49"/>
  <c r="J40" i="49"/>
  <c r="J21" i="182"/>
  <c r="J46" i="182"/>
  <c r="J25" i="182"/>
  <c r="J13" i="182"/>
  <c r="J40" i="182"/>
  <c r="J34" i="182"/>
  <c r="H46" i="182"/>
  <c r="I46" i="182" s="1"/>
  <c r="J14" i="182"/>
  <c r="J31" i="182"/>
  <c r="J18" i="182"/>
  <c r="J43" i="182"/>
  <c r="J36" i="182"/>
  <c r="J39" i="182"/>
  <c r="J41" i="182"/>
  <c r="J35" i="49"/>
  <c r="J36" i="49"/>
  <c r="J27" i="49"/>
  <c r="J24" i="49"/>
  <c r="J29" i="182"/>
  <c r="J23" i="182"/>
  <c r="J20" i="182"/>
  <c r="J24" i="182"/>
  <c r="J33" i="182"/>
  <c r="J28" i="182"/>
  <c r="J37" i="182"/>
  <c r="J45" i="182"/>
  <c r="J30" i="49"/>
  <c r="J38" i="49"/>
  <c r="J21" i="49"/>
  <c r="J26" i="49"/>
  <c r="J35" i="182"/>
  <c r="J42" i="182"/>
  <c r="J19" i="182"/>
  <c r="J38" i="182"/>
  <c r="J12" i="182"/>
  <c r="J27" i="182"/>
  <c r="J32" i="182"/>
  <c r="J26" i="182"/>
  <c r="J25" i="49"/>
  <c r="J37" i="49"/>
  <c r="J28" i="49"/>
  <c r="J33" i="49"/>
  <c r="J43" i="49"/>
  <c r="J42" i="49"/>
  <c r="H46" i="49"/>
  <c r="I46" i="49" s="1"/>
  <c r="J39" i="49"/>
  <c r="J41" i="49"/>
  <c r="J32" i="49"/>
  <c r="J20" i="49"/>
  <c r="J46" i="49"/>
  <c r="J44" i="49"/>
  <c r="J34" i="49"/>
  <c r="J29" i="49"/>
  <c r="J19" i="49"/>
  <c r="J13" i="49"/>
  <c r="J12" i="49"/>
  <c r="J22" i="49"/>
  <c r="J14" i="49"/>
  <c r="J43" i="50"/>
  <c r="J36" i="50"/>
  <c r="J20" i="50"/>
  <c r="J46" i="50"/>
  <c r="J21" i="50"/>
  <c r="J24" i="50"/>
  <c r="J12" i="50"/>
  <c r="J38" i="50"/>
  <c r="J27" i="50"/>
  <c r="J32" i="50"/>
  <c r="J28" i="50"/>
  <c r="J22" i="50"/>
  <c r="J14" i="50"/>
  <c r="J41" i="50"/>
  <c r="J37" i="50"/>
  <c r="J18" i="50"/>
  <c r="J39" i="50"/>
  <c r="J13" i="50"/>
  <c r="J33" i="50"/>
  <c r="J31" i="50"/>
  <c r="J26" i="50"/>
  <c r="J40" i="50"/>
  <c r="H46" i="50"/>
  <c r="I46" i="50" s="1"/>
  <c r="J19" i="50"/>
  <c r="J23" i="50"/>
  <c r="J25" i="50"/>
  <c r="J42" i="50"/>
  <c r="J30" i="50"/>
  <c r="J29" i="50"/>
  <c r="J35" i="50"/>
  <c r="J34" i="50"/>
  <c r="J44" i="50"/>
  <c r="I51" i="49"/>
  <c r="I7" i="7" s="1"/>
  <c r="H7" i="7"/>
  <c r="K38" i="53"/>
  <c r="K20" i="53"/>
  <c r="K37" i="53"/>
  <c r="K16" i="53"/>
  <c r="K36" i="53"/>
  <c r="K40" i="53"/>
  <c r="K33" i="53"/>
  <c r="K39" i="53"/>
  <c r="K21" i="53"/>
  <c r="K17" i="53"/>
  <c r="K18" i="53"/>
  <c r="K26" i="53"/>
  <c r="K32" i="53"/>
  <c r="K27" i="53"/>
  <c r="K28" i="53"/>
  <c r="K15" i="53"/>
  <c r="K31" i="53"/>
  <c r="K51" i="53"/>
  <c r="K24" i="53"/>
  <c r="K41" i="53"/>
  <c r="K22" i="53"/>
  <c r="H51" i="53"/>
  <c r="K19" i="53"/>
  <c r="K23" i="53"/>
  <c r="K25" i="53"/>
  <c r="K30" i="53"/>
  <c r="K47" i="53"/>
  <c r="K29" i="53"/>
  <c r="K34" i="53"/>
  <c r="K35" i="53"/>
  <c r="K48" i="53"/>
  <c r="K49" i="53"/>
  <c r="I51" i="50"/>
  <c r="I9" i="7" s="1"/>
  <c r="H9" i="7"/>
  <c r="K33" i="52"/>
  <c r="K40" i="52"/>
  <c r="K20" i="52"/>
  <c r="K22" i="52"/>
  <c r="K16" i="52"/>
  <c r="K32" i="52"/>
  <c r="K26" i="52"/>
  <c r="K21" i="52"/>
  <c r="K41" i="52"/>
  <c r="K24" i="52"/>
  <c r="K31" i="52"/>
  <c r="K51" i="52"/>
  <c r="K17" i="52"/>
  <c r="K27" i="52"/>
  <c r="K28" i="52"/>
  <c r="K15" i="52"/>
  <c r="K37" i="52"/>
  <c r="K38" i="52"/>
  <c r="K18" i="52"/>
  <c r="K36" i="52"/>
  <c r="K39" i="52"/>
  <c r="H51" i="52"/>
  <c r="K19" i="52"/>
  <c r="K23" i="52"/>
  <c r="K25" i="52"/>
  <c r="K30" i="52"/>
  <c r="K47" i="52"/>
  <c r="K29" i="52"/>
  <c r="K35" i="52"/>
  <c r="K34" i="52"/>
  <c r="K48" i="52"/>
  <c r="K49" i="52"/>
  <c r="K18" i="182"/>
  <c r="K16" i="182"/>
  <c r="K21" i="182"/>
  <c r="K26" i="182"/>
  <c r="K20" i="182"/>
  <c r="K15" i="182"/>
  <c r="K33" i="182"/>
  <c r="K31" i="182"/>
  <c r="K17" i="182"/>
  <c r="K37" i="182"/>
  <c r="K27" i="182"/>
  <c r="K38" i="182"/>
  <c r="K51" i="182"/>
  <c r="K40" i="182"/>
  <c r="K24" i="182"/>
  <c r="K28" i="182"/>
  <c r="K36" i="182"/>
  <c r="K41" i="182"/>
  <c r="K39" i="182"/>
  <c r="K32" i="182"/>
  <c r="K22" i="182"/>
  <c r="H51" i="182"/>
  <c r="K19" i="182"/>
  <c r="K23" i="182"/>
  <c r="K25" i="182"/>
  <c r="K30" i="182"/>
  <c r="K29" i="182"/>
  <c r="K47" i="182"/>
  <c r="K34" i="182"/>
  <c r="K35" i="182"/>
  <c r="K48" i="182"/>
  <c r="K49" i="182"/>
  <c r="H12" i="7"/>
  <c r="I51" i="181"/>
  <c r="I12" i="7" s="1"/>
  <c r="J45" i="50"/>
  <c r="H17" i="7"/>
  <c r="I51" i="56"/>
  <c r="I17" i="7" s="1"/>
  <c r="K35" i="48"/>
  <c r="K36" i="48"/>
  <c r="K15" i="48"/>
  <c r="K27" i="48"/>
  <c r="K32" i="48"/>
  <c r="K16" i="48"/>
  <c r="K40" i="48"/>
  <c r="K20" i="48"/>
  <c r="K28" i="48"/>
  <c r="K39" i="48"/>
  <c r="K22" i="48"/>
  <c r="K18" i="48"/>
  <c r="K31" i="48"/>
  <c r="K17" i="48"/>
  <c r="K38" i="48"/>
  <c r="K37" i="48"/>
  <c r="K24" i="48"/>
  <c r="K21" i="48"/>
  <c r="K51" i="48"/>
  <c r="K33" i="48"/>
  <c r="K26" i="48"/>
  <c r="K41" i="48"/>
  <c r="H51" i="48"/>
  <c r="K19" i="48"/>
  <c r="K23" i="48"/>
  <c r="K25" i="48"/>
  <c r="K29" i="48"/>
  <c r="K30" i="48"/>
  <c r="K47" i="48"/>
  <c r="K34" i="48"/>
  <c r="K48" i="48"/>
  <c r="K49" i="48"/>
  <c r="I51" i="48" l="1"/>
  <c r="I6" i="7" s="1"/>
  <c r="H6" i="7"/>
  <c r="H13" i="7"/>
  <c r="I51" i="53"/>
  <c r="I13" i="7" s="1"/>
  <c r="H8" i="7"/>
  <c r="I51" i="182"/>
  <c r="I8" i="7" s="1"/>
  <c r="I51" i="52"/>
  <c r="I11" i="7" s="1"/>
  <c r="H11" i="7"/>
</calcChain>
</file>

<file path=xl/comments1.xml><?xml version="1.0" encoding="utf-8"?>
<comments xmlns="http://schemas.openxmlformats.org/spreadsheetml/2006/main">
  <authors>
    <author>Yun(Eva) Gao</author>
    <author>AKSELRUD Uri</author>
    <author>KIM Susan</author>
  </authors>
  <commentList>
    <comment ref="W2" authorId="0">
      <text>
        <r>
          <rPr>
            <sz val="8"/>
            <color indexed="81"/>
            <rFont val="Tahoma"/>
            <family val="2"/>
          </rPr>
          <t>INCLUDES NEW RSVA WMSC FOR CLASS B ONLY</t>
        </r>
      </text>
    </comment>
    <comment ref="Y12" authorId="1">
      <text>
        <r>
          <rPr>
            <sz val="9"/>
            <color indexed="81"/>
            <rFont val="Tahoma"/>
            <family val="2"/>
          </rPr>
          <t>uplifted for applicable line losses</t>
        </r>
      </text>
    </comment>
    <comment ref="Y13" authorId="1">
      <text>
        <r>
          <rPr>
            <sz val="9"/>
            <color indexed="81"/>
            <rFont val="Tahoma"/>
            <family val="2"/>
          </rPr>
          <t>uplifted for applicable line losses</t>
        </r>
      </text>
    </comment>
    <comment ref="Y14" authorId="1">
      <text>
        <r>
          <rPr>
            <b/>
            <sz val="9"/>
            <color indexed="81"/>
            <rFont val="Tahoma"/>
            <family val="2"/>
          </rPr>
          <t xml:space="preserve">
</t>
        </r>
        <r>
          <rPr>
            <sz val="9"/>
            <color indexed="81"/>
            <rFont val="Tahoma"/>
            <family val="2"/>
          </rPr>
          <t>uplifted for applicable line losses</t>
        </r>
      </text>
    </comment>
    <comment ref="Q15" authorId="2">
      <text>
        <r>
          <rPr>
            <b/>
            <sz val="8"/>
            <color indexed="81"/>
            <rFont val="Tahoma"/>
            <family val="2"/>
          </rPr>
          <t>KIM Susan:</t>
        </r>
        <r>
          <rPr>
            <sz val="8"/>
            <color indexed="81"/>
            <rFont val="Tahoma"/>
            <family val="2"/>
          </rPr>
          <t xml:space="preserve">
from ST rate model, not rate design</t>
        </r>
      </text>
    </comment>
    <comment ref="S15" authorId="2">
      <text>
        <r>
          <rPr>
            <b/>
            <sz val="8"/>
            <color indexed="81"/>
            <rFont val="Tahoma"/>
            <family val="2"/>
          </rPr>
          <t>KIM Susan:</t>
        </r>
        <r>
          <rPr>
            <sz val="8"/>
            <color indexed="81"/>
            <rFont val="Tahoma"/>
            <family val="2"/>
          </rPr>
          <t xml:space="preserve">
Use ST common line charge, not rate from rate design</t>
        </r>
      </text>
    </comment>
    <comment ref="Y15" authorId="0">
      <text>
        <r>
          <rPr>
            <sz val="8"/>
            <color indexed="81"/>
            <rFont val="Tahoma"/>
            <family val="2"/>
          </rPr>
          <t xml:space="preserve">
uplifted for applicable line losses</t>
        </r>
      </text>
    </comment>
  </commentList>
</comments>
</file>

<file path=xl/comments2.xml><?xml version="1.0" encoding="utf-8"?>
<comments xmlns="http://schemas.openxmlformats.org/spreadsheetml/2006/main">
  <authors>
    <author>SHETH Nikita</author>
  </authors>
  <commentList>
    <comment ref="C21" authorId="0">
      <text>
        <r>
          <rPr>
            <b/>
            <sz val="8"/>
            <color indexed="81"/>
            <rFont val="Tahoma"/>
            <family val="2"/>
          </rPr>
          <t>SHETH Nikita:</t>
        </r>
        <r>
          <rPr>
            <sz val="8"/>
            <color indexed="81"/>
            <rFont val="Tahoma"/>
            <family val="2"/>
          </rPr>
          <t xml:space="preserve">
Remember to change OCEB formula.
(Max OCEB is now automatically calculated</t>
        </r>
      </text>
    </comment>
    <comment ref="C25" authorId="0">
      <text>
        <r>
          <rPr>
            <b/>
            <sz val="8"/>
            <color indexed="81"/>
            <rFont val="Tahoma"/>
            <family val="2"/>
          </rPr>
          <t>SHETH Nikita:</t>
        </r>
        <r>
          <rPr>
            <sz val="8"/>
            <color indexed="81"/>
            <rFont val="Tahoma"/>
            <family val="2"/>
          </rPr>
          <t xml:space="preserve">
Remember to change OCEB formula.
(Max OCEB is now automatically calculated</t>
        </r>
      </text>
    </comment>
  </commentList>
</comments>
</file>

<file path=xl/comments3.xml><?xml version="1.0" encoding="utf-8"?>
<comments xmlns="http://schemas.openxmlformats.org/spreadsheetml/2006/main">
  <authors>
    <author>SHETH Nikita</author>
  </authors>
  <commentList>
    <comment ref="A46"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 ref="A50"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List>
</comments>
</file>

<file path=xl/comments4.xml><?xml version="1.0" encoding="utf-8"?>
<comments xmlns="http://schemas.openxmlformats.org/spreadsheetml/2006/main">
  <authors>
    <author>SHETH Nikita</author>
  </authors>
  <commentList>
    <comment ref="A46"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 ref="A50"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List>
</comments>
</file>

<file path=xl/comments5.xml><?xml version="1.0" encoding="utf-8"?>
<comments xmlns="http://schemas.openxmlformats.org/spreadsheetml/2006/main">
  <authors>
    <author>Uri AKSELRUD</author>
  </authors>
  <commentList>
    <comment ref="F16" authorId="0">
      <text>
        <r>
          <rPr>
            <b/>
            <sz val="8"/>
            <color indexed="81"/>
            <rFont val="Tahoma"/>
            <family val="2"/>
          </rPr>
          <t>Uri AKSELRUD:</t>
        </r>
        <r>
          <rPr>
            <sz val="8"/>
            <color indexed="81"/>
            <rFont val="Tahoma"/>
            <family val="2"/>
          </rPr>
          <t xml:space="preserve">
adjusted fixed rate to limit Dgen Bill Impact to 10%</t>
        </r>
      </text>
    </comment>
  </commentList>
</comments>
</file>

<file path=xl/comments6.xml><?xml version="1.0" encoding="utf-8"?>
<comments xmlns="http://schemas.openxmlformats.org/spreadsheetml/2006/main">
  <authors>
    <author>SHETH Nikita</author>
  </authors>
  <commentList>
    <comment ref="A46"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 ref="A50"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List>
</comments>
</file>

<file path=xl/comments7.xml><?xml version="1.0" encoding="utf-8"?>
<comments xmlns="http://schemas.openxmlformats.org/spreadsheetml/2006/main">
  <authors>
    <author>SHETH Nikita</author>
  </authors>
  <commentList>
    <comment ref="A46"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 ref="A50" authorId="0">
      <text>
        <r>
          <rPr>
            <b/>
            <sz val="8"/>
            <color indexed="81"/>
            <rFont val="Tahoma"/>
            <family val="2"/>
          </rPr>
          <t>SHETH Nikita:</t>
        </r>
        <r>
          <rPr>
            <sz val="8"/>
            <color indexed="81"/>
            <rFont val="Tahoma"/>
            <family val="2"/>
          </rPr>
          <t xml:space="preserve">
OCEB only applies to first 3000 kWh per month. So the model was run at 3000 kWh and the OCEB from that OCEB value is then applied here for 15000 kWh</t>
        </r>
      </text>
    </comment>
  </commentList>
</comments>
</file>

<file path=xl/sharedStrings.xml><?xml version="1.0" encoding="utf-8"?>
<sst xmlns="http://schemas.openxmlformats.org/spreadsheetml/2006/main" count="3826" uniqueCount="133">
  <si>
    <t>UR</t>
  </si>
  <si>
    <t>R1</t>
  </si>
  <si>
    <t>R2</t>
  </si>
  <si>
    <t>Seasonal</t>
  </si>
  <si>
    <t>GSe</t>
  </si>
  <si>
    <t>GSd</t>
  </si>
  <si>
    <t>UGe</t>
  </si>
  <si>
    <t>UGd</t>
  </si>
  <si>
    <t>St Lgt</t>
  </si>
  <si>
    <t>Sen Lgt</t>
  </si>
  <si>
    <t>Dgen</t>
  </si>
  <si>
    <t>ST</t>
  </si>
  <si>
    <t>USL</t>
  </si>
  <si>
    <t>Rate Class</t>
  </si>
  <si>
    <t>Loss Factor</t>
  </si>
  <si>
    <t>Commodity Threshold</t>
  </si>
  <si>
    <t>Peak (kW)</t>
  </si>
  <si>
    <t>Charge Determinant</t>
  </si>
  <si>
    <t>kWh</t>
  </si>
  <si>
    <t>kW</t>
  </si>
  <si>
    <t>Loss factor</t>
  </si>
  <si>
    <t>Charge determinant</t>
  </si>
  <si>
    <t>Volume</t>
  </si>
  <si>
    <t>Current Rate ($)</t>
  </si>
  <si>
    <t>Current Charge ($)</t>
  </si>
  <si>
    <t>Proposed Rate ($)</t>
  </si>
  <si>
    <t>Proposed Charge ($)</t>
  </si>
  <si>
    <t>Change ($)</t>
  </si>
  <si>
    <t>Change (%)</t>
  </si>
  <si>
    <t>% of Total Bill on RPP</t>
  </si>
  <si>
    <t>% of Total Bill on TOU</t>
  </si>
  <si>
    <t>Energy First Tier (kWh)</t>
  </si>
  <si>
    <t>Energy Second Tier (kWh)</t>
  </si>
  <si>
    <t>Sub-Total:  Energy (RPP)</t>
  </si>
  <si>
    <t>TOU-Off Peak</t>
  </si>
  <si>
    <t>TOU-Mid Peak</t>
  </si>
  <si>
    <t>TOU-On Peak</t>
  </si>
  <si>
    <t>Sub-Total:  Energy (TOU)</t>
  </si>
  <si>
    <t>Service Charge</t>
  </si>
  <si>
    <t>Distribution Volumetric Rate</t>
  </si>
  <si>
    <t>Retail Transmission Rate – Network Service Rate</t>
  </si>
  <si>
    <t>Retail Transmission Rate – Line and Transformation Connection Service Rate</t>
  </si>
  <si>
    <t xml:space="preserve">Wholesale Market Service Rate </t>
  </si>
  <si>
    <t>Rural Rate Protection Charge</t>
  </si>
  <si>
    <t>Standard Supply Service – Administration Charge (if applicable)</t>
  </si>
  <si>
    <t>Sub-Total:  Regulatory</t>
  </si>
  <si>
    <t>Debt Retirement Charge (DRC)</t>
  </si>
  <si>
    <t>DGen</t>
  </si>
  <si>
    <t>Load factor</t>
  </si>
  <si>
    <t xml:space="preserve">% of Total Bill </t>
  </si>
  <si>
    <t>TOU</t>
  </si>
  <si>
    <t>Current Variable Charge ($/kWh or $/kW))</t>
  </si>
  <si>
    <t>Smart Metering Entity Charge ($/month)</t>
  </si>
  <si>
    <t>Smart Meter Adder ($/month)</t>
  </si>
  <si>
    <t>Current Fixed Charge ($/month)</t>
  </si>
  <si>
    <t>Proposed Fixed Charge ($/month)</t>
  </si>
  <si>
    <t>Proposed RTSR-NW ($/kWh or $/kW)</t>
  </si>
  <si>
    <t>Proposed volumetric Charge ($/kWh or $/kW)</t>
  </si>
  <si>
    <t>Current RTSR-NW ($/kWh or $/kW)</t>
  </si>
  <si>
    <t>Current RTSR-CONN ($/kWh or $/kW)</t>
  </si>
  <si>
    <t>Low</t>
  </si>
  <si>
    <t>High</t>
  </si>
  <si>
    <t>Monthly Consumption (kWh)</t>
  </si>
  <si>
    <t>Change in DX Bill ($)</t>
  </si>
  <si>
    <t>Change in Total Bill ($)</t>
  </si>
  <si>
    <t>Change in DX Bill (%)</t>
  </si>
  <si>
    <t>Change in Total Bill (%)</t>
  </si>
  <si>
    <t>Consumption Level</t>
  </si>
  <si>
    <t>Monthly Peak (kW)</t>
  </si>
  <si>
    <t>Commodity Price Used</t>
  </si>
  <si>
    <t>RPP Tier 1 (assumed RPP Tier 1 price is close to WAHSP)</t>
  </si>
  <si>
    <t>Avg Monthly Peak (kW)</t>
  </si>
  <si>
    <t>Sub-Total:  Distribution (excluding pass through)</t>
  </si>
  <si>
    <t>Smart Metering Entity Charge</t>
  </si>
  <si>
    <t>Line Losses on Cost of Power (based on TOU prices)</t>
  </si>
  <si>
    <t>Line Losses on Cost of Power (based on two-tier RPP prices)</t>
  </si>
  <si>
    <t xml:space="preserve">Sub-Total:  Retail Transmission </t>
  </si>
  <si>
    <t>Sub-Total:  Distribution (based on TOU prices)</t>
  </si>
  <si>
    <t>Sub-Total:  Distribution (based on two-tier RPP prices)</t>
  </si>
  <si>
    <t xml:space="preserve">Sub-Total:  Distribution </t>
  </si>
  <si>
    <t xml:space="preserve">Sub-Total:  Delivery </t>
  </si>
  <si>
    <t xml:space="preserve">Line Losses on Cost of Power </t>
  </si>
  <si>
    <t>Monthly Consumption (kWh) - Uplifted</t>
  </si>
  <si>
    <t>Smart Meter Adder</t>
  </si>
  <si>
    <t>Fixed Smoothing Rider</t>
  </si>
  <si>
    <t>Fixed Deferral/Variance Account Rider</t>
  </si>
  <si>
    <t>Volumetric Smoothing Rider</t>
  </si>
  <si>
    <t>Proposed Def/VA rate rider Volumetric($/kWh or $/kW)</t>
  </si>
  <si>
    <t xml:space="preserve">Smart Meter Adder </t>
  </si>
  <si>
    <t>Proposed Def/VA rate rider Fixed ($/month)</t>
  </si>
  <si>
    <t>Current Def/VA rate rider Fixed ($/month)</t>
  </si>
  <si>
    <t>Current Def/VA rate rider Volumetric ($/kWh or $/kW)</t>
  </si>
  <si>
    <t>Typical</t>
  </si>
  <si>
    <t>Sub-Total:  Delivery (based on two-tier RPP prices)</t>
  </si>
  <si>
    <t>Sub-Total:  Delivery (based on TOU prices)</t>
  </si>
  <si>
    <t>Sub-Total:  Distribution</t>
  </si>
  <si>
    <t>Fixed Foregone Rider</t>
  </si>
  <si>
    <t>Current Foregone Revenue Riders Fixed ($/month)</t>
  </si>
  <si>
    <t>Two-tier RPP</t>
  </si>
  <si>
    <t>Ontario Electricity Support Program Charge</t>
  </si>
  <si>
    <t>Proposed RTSR-CONN ($/kWh or $/kW)</t>
  </si>
  <si>
    <t>HONI Avg Monthly Consumption (kWh)</t>
  </si>
  <si>
    <t>HONI Avg Monthly Peak (kW)</t>
  </si>
  <si>
    <t>Typical Monthly Consumption (kWh)</t>
  </si>
  <si>
    <t>Current Rate Rider for Disposition of Global Adjustment Account</t>
  </si>
  <si>
    <t>Proposed Rate Rider for Disposition of Global Adjustment Account</t>
  </si>
  <si>
    <t>Average</t>
  </si>
  <si>
    <t xml:space="preserve">Total  Electricty Charge on Two-Tier RPP </t>
  </si>
  <si>
    <t xml:space="preserve">     HST</t>
  </si>
  <si>
    <t>Total Electricity Charge on Two-Tier RPP (including HST)</t>
  </si>
  <si>
    <t>Rebate equal to Ontario portion of HST (8%)</t>
  </si>
  <si>
    <t>Total Amount on Two-Tier RPP</t>
  </si>
  <si>
    <t>Total Electricty Charge on TOU (before HST)</t>
  </si>
  <si>
    <t>Total Electricity Charge on TOU (including HST)</t>
  </si>
  <si>
    <t>Total Amount on TOU</t>
  </si>
  <si>
    <t>Foregone Revenue Rider Fixed</t>
  </si>
  <si>
    <t>Total Electricity Charge on Two-Tier RPP (before HST)</t>
  </si>
  <si>
    <t>Volumetric Global Adjustment Account Rider</t>
  </si>
  <si>
    <t>Avg kW</t>
  </si>
  <si>
    <t>AR</t>
  </si>
  <si>
    <t>AGSe</t>
  </si>
  <si>
    <t>AGSd</t>
  </si>
  <si>
    <t>Avg kWh</t>
  </si>
  <si>
    <t>Link to Rate Design:</t>
  </si>
  <si>
    <t>2022 Bill Impacts (Low Consumption Level)</t>
  </si>
  <si>
    <t>2021 Total Bill</t>
  </si>
  <si>
    <t>2022 Bill Impacts (Typical Consumption Level)</t>
  </si>
  <si>
    <t>2022 Bill Impacts (Average Consumption Level)</t>
  </si>
  <si>
    <t>2022 Bill Impacts (High Consumption Level)</t>
  </si>
  <si>
    <t>Volumetric Deferral/Variance Account Rider (including CBR Class B rider)</t>
  </si>
  <si>
    <t>AUR</t>
  </si>
  <si>
    <t>AUGe</t>
  </si>
  <si>
    <t>AUGd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</si>
</sst>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7" formatCode="&quot;$&quot;#,##0.00_);\(&quot;$&quot;#,##0.00\)"/>
    <numFmt numFmtId="44" formatCode="_(&quot;$&quot;* #,##0.00_);_(&quot;$&quot;* \(#,##0.00\);_(&quot;$&quot;* &quot;-&quot;??_);_(@_)"/>
    <numFmt numFmtId="43" formatCode="_(* #,##0.00_);_(* \(#,##0.00\);_(* &quot;-&quot;??_);_(@_)"/>
    <numFmt numFmtId="164" formatCode="_(* #,##0_);_(* \(#,##0\);_(* &quot;-&quot;??_);_(@_)"/>
    <numFmt numFmtId="165" formatCode="0.0000"/>
    <numFmt numFmtId="166" formatCode="#,##0.000"/>
    <numFmt numFmtId="167" formatCode="#,##0.0000"/>
    <numFmt numFmtId="168" formatCode="0.00000000"/>
    <numFmt numFmtId="169" formatCode="0.000"/>
    <numFmt numFmtId="170" formatCode="_(&quot;$&quot;* #,##0_);_(&quot;$&quot;* \(#,##0\);_(&quot;$&quot;* &quot;-&quot;??_);_(@_)"/>
    <numFmt numFmtId="171" formatCode="#,##0.0_);\(#,##0.0\)"/>
    <numFmt numFmtId="172" formatCode="_(* #,##0.0_);_(* \(#,##0.0\);_(* &quot;-&quot;??_);_(@_)"/>
    <numFmt numFmtId="173" formatCode="#,##0.00000_);\(#,##0.00000\)"/>
    <numFmt numFmtId="174" formatCode="0.0\x"/>
    <numFmt numFmtId="175" formatCode="#,##0.000_);\(#,##0.000\)"/>
    <numFmt numFmtId="176" formatCode="#,##0;&quot;\&quot;&quot;\&quot;&quot;\&quot;&quot;\&quot;\(#,##0&quot;\&quot;&quot;\&quot;&quot;\&quot;&quot;\&quot;\)"/>
    <numFmt numFmtId="177" formatCode="&quot;\&quot;&quot;\&quot;&quot;\&quot;&quot;\&quot;\$#,##0.00;&quot;\&quot;&quot;\&quot;&quot;\&quot;&quot;\&quot;\(&quot;\&quot;&quot;\&quot;&quot;\&quot;&quot;\&quot;\$#,##0.00&quot;\&quot;&quot;\&quot;&quot;\&quot;&quot;\&quot;\)"/>
    <numFmt numFmtId="178" formatCode="&quot;\&quot;&quot;\&quot;&quot;\&quot;&quot;\&quot;\$#,##0;&quot;\&quot;&quot;\&quot;&quot;\&quot;&quot;\&quot;\(&quot;\&quot;&quot;\&quot;&quot;\&quot;&quot;\&quot;\$#,##0&quot;\&quot;&quot;\&quot;&quot;\&quot;&quot;\&quot;\)"/>
    <numFmt numFmtId="179" formatCode="_-&quot;$&quot;* #,##0.00_-;\-&quot;$&quot;* #,##0.00_-;_-&quot;$&quot;* &quot;-&quot;??_-;_-@_-"/>
    <numFmt numFmtId="180" formatCode="0.00\x"/>
  </numFmts>
  <fonts count="18" x14ac:knownFonts="1">
    <font>
      <sz val="10"/>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12"/>
      <name val="Times New Roman"/>
      <family val="1"/>
    </font>
    <font>
      <sz val="9"/>
      <color indexed="81"/>
      <name val="Tahoma"/>
      <family val="2"/>
    </font>
    <font>
      <b/>
      <sz val="9"/>
      <color indexed="81"/>
      <name val="Tahoma"/>
      <family val="2"/>
    </font>
    <font>
      <sz val="10"/>
      <name val="Arial"/>
      <family val="2"/>
    </font>
    <font>
      <sz val="9"/>
      <name val="Arial"/>
      <family val="2"/>
    </font>
    <font>
      <sz val="10"/>
      <name val="Times New Roman"/>
      <family val="1"/>
    </font>
    <font>
      <sz val="8"/>
      <name val="Arial"/>
      <family val="2"/>
    </font>
    <font>
      <b/>
      <sz val="12"/>
      <name val="Arial"/>
      <family val="2"/>
    </font>
    <font>
      <sz val="8"/>
      <name val="Times New Roman"/>
      <family val="1"/>
    </font>
    <font>
      <sz val="10"/>
      <name val="MS Sans Serif"/>
      <family val="2"/>
    </font>
    <font>
      <b/>
      <sz val="10"/>
      <name val="MS Sans Serif"/>
      <family val="2"/>
    </font>
  </fonts>
  <fills count="13">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CCCC"/>
        <bgColor indexed="64"/>
      </patternFill>
    </fill>
    <fill>
      <patternFill patternType="solid">
        <fgColor rgb="FFCCFFCC"/>
        <bgColor indexed="64"/>
      </patternFill>
    </fill>
    <fill>
      <patternFill patternType="solid">
        <fgColor rgb="FFFFFF00"/>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mediumGray">
        <fgColor indexed="22"/>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48">
    <xf numFmtId="0" fontId="0" fillId="0" borderId="0"/>
    <xf numFmtId="43" fontId="3" fillId="0" borderId="0" applyFont="0" applyFill="0" applyBorder="0" applyAlignment="0" applyProtection="0"/>
    <xf numFmtId="44"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3" fillId="0" borderId="0"/>
    <xf numFmtId="0" fontId="10" fillId="0" borderId="0"/>
    <xf numFmtId="164" fontId="3" fillId="0" borderId="0"/>
    <xf numFmtId="164" fontId="3" fillId="0" borderId="0"/>
    <xf numFmtId="164" fontId="3" fillId="0" borderId="0"/>
    <xf numFmtId="170" fontId="11" fillId="0" borderId="0"/>
    <xf numFmtId="171" fontId="3" fillId="0" borderId="0" applyFont="0" applyFill="0" applyBorder="0" applyAlignment="0" applyProtection="0"/>
    <xf numFmtId="172" fontId="3" fillId="0" borderId="0" applyFont="0" applyFill="0" applyBorder="0" applyAlignment="0" applyProtection="0"/>
    <xf numFmtId="39" fontId="3" fillId="0" borderId="0" applyFont="0" applyFill="0" applyBorder="0" applyAlignment="0" applyProtection="0"/>
    <xf numFmtId="170"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0" fontId="3" fillId="0" borderId="0" applyFont="0" applyFill="0" applyBorder="0" applyAlignment="0" applyProtection="0"/>
    <xf numFmtId="175" fontId="3" fillId="0" borderId="0" applyFont="0" applyFill="0" applyBorder="0" applyAlignment="0" applyProtection="0"/>
    <xf numFmtId="176" fontId="12" fillId="0" borderId="0"/>
    <xf numFmtId="177" fontId="12" fillId="0" borderId="0"/>
    <xf numFmtId="178" fontId="12" fillId="0" borderId="0"/>
    <xf numFmtId="38" fontId="13" fillId="9" borderId="0" applyNumberFormat="0" applyBorder="0" applyAlignment="0" applyProtection="0"/>
    <xf numFmtId="0" fontId="14" fillId="0" borderId="16" applyNumberFormat="0" applyAlignment="0" applyProtection="0">
      <alignment horizontal="left" vertical="center"/>
    </xf>
    <xf numFmtId="0" fontId="14" fillId="0" borderId="15">
      <alignment horizontal="left" vertical="center"/>
    </xf>
    <xf numFmtId="10" fontId="13" fillId="10" borderId="1" applyNumberFormat="0" applyBorder="0" applyAlignment="0" applyProtection="0"/>
    <xf numFmtId="179" fontId="11" fillId="0" borderId="0"/>
    <xf numFmtId="166" fontId="3" fillId="0" borderId="0"/>
    <xf numFmtId="0" fontId="3" fillId="0" borderId="0"/>
    <xf numFmtId="7" fontId="12" fillId="0" borderId="0"/>
    <xf numFmtId="37" fontId="15" fillId="11" borderId="0">
      <alignment horizontal="right"/>
    </xf>
    <xf numFmtId="10" fontId="3" fillId="0" borderId="0" applyFont="0" applyFill="0" applyBorder="0" applyAlignment="0" applyProtection="0"/>
    <xf numFmtId="0" fontId="16" fillId="0" borderId="0" applyNumberFormat="0" applyFont="0" applyFill="0" applyBorder="0" applyAlignment="0" applyProtection="0">
      <alignment horizontal="left"/>
    </xf>
    <xf numFmtId="15" fontId="16" fillId="0" borderId="0" applyFont="0" applyFill="0" applyBorder="0" applyAlignment="0" applyProtection="0"/>
    <xf numFmtId="4" fontId="16" fillId="0" borderId="0" applyFont="0" applyFill="0" applyBorder="0" applyAlignment="0" applyProtection="0"/>
    <xf numFmtId="0" fontId="17" fillId="0" borderId="37">
      <alignment horizontal="center"/>
    </xf>
    <xf numFmtId="3" fontId="16" fillId="0" borderId="0" applyFont="0" applyFill="0" applyBorder="0" applyAlignment="0" applyProtection="0"/>
    <xf numFmtId="0" fontId="16" fillId="12" borderId="0" applyNumberFormat="0" applyFont="0" applyBorder="0" applyAlignment="0" applyProtection="0"/>
    <xf numFmtId="1" fontId="3" fillId="0" borderId="0"/>
    <xf numFmtId="0" fontId="3" fillId="0" borderId="0" applyFont="0" applyFill="0" applyBorder="0" applyAlignment="0" applyProtection="0"/>
    <xf numFmtId="0" fontId="3" fillId="0" borderId="0">
      <alignment vertical="top"/>
    </xf>
    <xf numFmtId="0" fontId="3" fillId="0" borderId="0">
      <alignment vertical="top"/>
    </xf>
    <xf numFmtId="180" fontId="3" fillId="0" borderId="0"/>
    <xf numFmtId="180" fontId="3" fillId="0" borderId="0"/>
    <xf numFmtId="180" fontId="3" fillId="0" borderId="0"/>
    <xf numFmtId="0" fontId="1" fillId="0" borderId="0"/>
    <xf numFmtId="0" fontId="1" fillId="0" borderId="0"/>
  </cellStyleXfs>
  <cellXfs count="206">
    <xf numFmtId="0" fontId="0" fillId="0" borderId="0" xfId="0"/>
    <xf numFmtId="0" fontId="4" fillId="0" borderId="0" xfId="0" applyFont="1"/>
    <xf numFmtId="0" fontId="0" fillId="0" borderId="1" xfId="0" applyBorder="1"/>
    <xf numFmtId="2" fontId="0" fillId="0" borderId="1" xfId="0" applyNumberFormat="1" applyBorder="1"/>
    <xf numFmtId="0" fontId="0" fillId="0" borderId="1" xfId="0" applyBorder="1" applyAlignment="1">
      <alignment horizontal="center"/>
    </xf>
    <xf numFmtId="0" fontId="4" fillId="0" borderId="1" xfId="0" applyFont="1" applyBorder="1"/>
    <xf numFmtId="3" fontId="0" fillId="0" borderId="1" xfId="0" applyNumberFormat="1" applyBorder="1"/>
    <xf numFmtId="0" fontId="4" fillId="0" borderId="1" xfId="0" applyFont="1" applyFill="1" applyBorder="1"/>
    <xf numFmtId="0" fontId="4" fillId="0" borderId="1" xfId="0" applyFont="1" applyBorder="1" applyAlignment="1">
      <alignment horizont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Alignment="1">
      <alignment vertical="center"/>
    </xf>
    <xf numFmtId="0" fontId="4" fillId="2" borderId="1" xfId="0" applyFont="1" applyFill="1" applyBorder="1" applyAlignment="1">
      <alignment horizontal="center"/>
    </xf>
    <xf numFmtId="10" fontId="3" fillId="0" borderId="0" xfId="4" applyNumberFormat="1" applyFont="1"/>
    <xf numFmtId="0" fontId="0" fillId="2" borderId="1" xfId="0" applyFill="1" applyBorder="1"/>
    <xf numFmtId="0" fontId="0" fillId="2" borderId="1" xfId="0" applyFill="1" applyBorder="1" applyAlignment="1">
      <alignment horizontal="right"/>
    </xf>
    <xf numFmtId="0" fontId="4" fillId="0" borderId="4" xfId="0" applyFont="1" applyBorder="1" applyAlignment="1">
      <alignment horizontal="center" wrapText="1"/>
    </xf>
    <xf numFmtId="0" fontId="4" fillId="0" borderId="5" xfId="0" applyFont="1" applyBorder="1" applyAlignment="1">
      <alignment horizontal="center" wrapText="1"/>
    </xf>
    <xf numFmtId="10" fontId="4" fillId="0" borderId="6" xfId="4" applyNumberFormat="1" applyFont="1" applyBorder="1" applyAlignment="1">
      <alignment horizontal="center" wrapText="1"/>
    </xf>
    <xf numFmtId="0" fontId="4" fillId="0" borderId="0" xfId="0" applyFont="1" applyAlignment="1">
      <alignment horizontal="center" wrapText="1"/>
    </xf>
    <xf numFmtId="166" fontId="0" fillId="0" borderId="1" xfId="0" applyNumberFormat="1" applyBorder="1"/>
    <xf numFmtId="4" fontId="0" fillId="0" borderId="1" xfId="0" applyNumberFormat="1" applyBorder="1"/>
    <xf numFmtId="10" fontId="0" fillId="0" borderId="1" xfId="4" applyNumberFormat="1" applyFont="1" applyBorder="1"/>
    <xf numFmtId="4" fontId="4" fillId="3" borderId="1" xfId="0" applyNumberFormat="1" applyFont="1" applyFill="1" applyBorder="1" applyAlignment="1">
      <alignment horizontal="center"/>
    </xf>
    <xf numFmtId="4" fontId="4" fillId="3" borderId="1" xfId="0" applyNumberFormat="1" applyFont="1" applyFill="1" applyBorder="1"/>
    <xf numFmtId="4" fontId="0" fillId="3" borderId="1" xfId="0" applyNumberFormat="1" applyFill="1" applyBorder="1"/>
    <xf numFmtId="10" fontId="4" fillId="3" borderId="1" xfId="4" applyNumberFormat="1" applyFont="1" applyFill="1" applyBorder="1"/>
    <xf numFmtId="166" fontId="3" fillId="0" borderId="1" xfId="0" applyNumberFormat="1" applyFont="1" applyBorder="1"/>
    <xf numFmtId="4" fontId="4" fillId="4" borderId="1" xfId="0" applyNumberFormat="1" applyFont="1" applyFill="1" applyBorder="1" applyAlignment="1">
      <alignment horizontal="center"/>
    </xf>
    <xf numFmtId="4" fontId="4" fillId="4" borderId="1" xfId="0" applyNumberFormat="1" applyFont="1" applyFill="1" applyBorder="1"/>
    <xf numFmtId="4" fontId="0" fillId="4" borderId="1" xfId="0" applyNumberFormat="1" applyFill="1" applyBorder="1"/>
    <xf numFmtId="10" fontId="3" fillId="4" borderId="1" xfId="4" applyNumberFormat="1" applyFont="1" applyFill="1" applyBorder="1"/>
    <xf numFmtId="10" fontId="4" fillId="4" borderId="1" xfId="4" applyNumberFormat="1" applyFont="1" applyFill="1" applyBorder="1"/>
    <xf numFmtId="167" fontId="0" fillId="0" borderId="1" xfId="0" applyNumberFormat="1" applyBorder="1"/>
    <xf numFmtId="4" fontId="4" fillId="0" borderId="1" xfId="0" applyNumberFormat="1" applyFont="1" applyBorder="1"/>
    <xf numFmtId="10" fontId="4" fillId="0" borderId="1" xfId="4" applyNumberFormat="1" applyFont="1" applyBorder="1"/>
    <xf numFmtId="0" fontId="4" fillId="3" borderId="7" xfId="0" applyFont="1" applyFill="1" applyBorder="1"/>
    <xf numFmtId="4" fontId="4" fillId="3" borderId="8" xfId="0" applyNumberFormat="1" applyFont="1" applyFill="1" applyBorder="1" applyAlignment="1">
      <alignment horizontal="center"/>
    </xf>
    <xf numFmtId="4" fontId="4" fillId="3" borderId="8" xfId="0" applyNumberFormat="1" applyFont="1" applyFill="1" applyBorder="1"/>
    <xf numFmtId="10" fontId="4" fillId="3" borderId="8" xfId="4" applyNumberFormat="1" applyFont="1" applyFill="1" applyBorder="1"/>
    <xf numFmtId="10" fontId="4" fillId="3" borderId="9" xfId="4" applyNumberFormat="1" applyFont="1" applyFill="1" applyBorder="1"/>
    <xf numFmtId="0" fontId="3" fillId="3" borderId="10" xfId="0" applyFont="1" applyFill="1" applyBorder="1"/>
    <xf numFmtId="4" fontId="0" fillId="3" borderId="1" xfId="0" applyNumberFormat="1" applyFill="1" applyBorder="1" applyAlignment="1">
      <alignment horizontal="center"/>
    </xf>
    <xf numFmtId="10" fontId="3" fillId="3" borderId="1" xfId="4" applyNumberFormat="1" applyFont="1" applyFill="1" applyBorder="1"/>
    <xf numFmtId="10" fontId="3" fillId="3" borderId="11" xfId="4" applyNumberFormat="1" applyFont="1" applyFill="1" applyBorder="1"/>
    <xf numFmtId="0" fontId="4" fillId="3" borderId="10" xfId="0" applyFont="1" applyFill="1" applyBorder="1"/>
    <xf numFmtId="10" fontId="4" fillId="3" borderId="11" xfId="4" applyNumberFormat="1" applyFont="1" applyFill="1" applyBorder="1"/>
    <xf numFmtId="0" fontId="4" fillId="3" borderId="12" xfId="0" applyFont="1" applyFill="1" applyBorder="1"/>
    <xf numFmtId="4" fontId="4" fillId="3" borderId="13" xfId="0" applyNumberFormat="1" applyFont="1" applyFill="1" applyBorder="1" applyAlignment="1">
      <alignment horizontal="center"/>
    </xf>
    <xf numFmtId="4" fontId="4" fillId="3" borderId="13" xfId="0" applyNumberFormat="1" applyFont="1" applyFill="1" applyBorder="1"/>
    <xf numFmtId="10" fontId="4" fillId="3" borderId="13" xfId="4" applyNumberFormat="1" applyFont="1" applyFill="1" applyBorder="1"/>
    <xf numFmtId="10" fontId="4" fillId="3" borderId="14" xfId="4" applyNumberFormat="1" applyFont="1" applyFill="1" applyBorder="1"/>
    <xf numFmtId="0" fontId="4" fillId="4" borderId="7" xfId="0" applyFont="1" applyFill="1" applyBorder="1"/>
    <xf numFmtId="4" fontId="4" fillId="4" borderId="8" xfId="0" applyNumberFormat="1" applyFont="1" applyFill="1" applyBorder="1" applyAlignment="1">
      <alignment horizontal="center"/>
    </xf>
    <xf numFmtId="4" fontId="4" fillId="4" borderId="8" xfId="0" applyNumberFormat="1" applyFont="1" applyFill="1" applyBorder="1"/>
    <xf numFmtId="10" fontId="4" fillId="4" borderId="8" xfId="4" applyNumberFormat="1" applyFont="1" applyFill="1" applyBorder="1"/>
    <xf numFmtId="10" fontId="4" fillId="4" borderId="9" xfId="4" applyNumberFormat="1" applyFont="1" applyFill="1" applyBorder="1"/>
    <xf numFmtId="0" fontId="3" fillId="4" borderId="10" xfId="0" applyFont="1" applyFill="1" applyBorder="1"/>
    <xf numFmtId="4" fontId="0" fillId="4" borderId="1" xfId="0" applyNumberFormat="1" applyFill="1" applyBorder="1" applyAlignment="1">
      <alignment horizontal="center"/>
    </xf>
    <xf numFmtId="10" fontId="3" fillId="4" borderId="11" xfId="4" applyNumberFormat="1" applyFont="1" applyFill="1" applyBorder="1"/>
    <xf numFmtId="0" fontId="4" fillId="4" borderId="10" xfId="0" applyFont="1" applyFill="1" applyBorder="1"/>
    <xf numFmtId="10" fontId="4" fillId="4" borderId="11" xfId="4" applyNumberFormat="1" applyFont="1" applyFill="1" applyBorder="1"/>
    <xf numFmtId="0" fontId="4" fillId="4" borderId="12" xfId="0" applyFont="1" applyFill="1" applyBorder="1"/>
    <xf numFmtId="4" fontId="4" fillId="4" borderId="13" xfId="0" applyNumberFormat="1" applyFont="1" applyFill="1" applyBorder="1" applyAlignment="1">
      <alignment horizontal="center"/>
    </xf>
    <xf numFmtId="4" fontId="4" fillId="4" borderId="13" xfId="0" applyNumberFormat="1" applyFont="1" applyFill="1" applyBorder="1"/>
    <xf numFmtId="10" fontId="4" fillId="4" borderId="13" xfId="4" applyNumberFormat="1" applyFont="1" applyFill="1" applyBorder="1"/>
    <xf numFmtId="10" fontId="4" fillId="4" borderId="14" xfId="4" applyNumberFormat="1" applyFont="1" applyFill="1" applyBorder="1"/>
    <xf numFmtId="165" fontId="0" fillId="0" borderId="0" xfId="0" applyNumberFormat="1"/>
    <xf numFmtId="10" fontId="0" fillId="0" borderId="0" xfId="4" applyNumberFormat="1" applyFont="1"/>
    <xf numFmtId="6" fontId="0" fillId="0" borderId="0" xfId="0" applyNumberFormat="1"/>
    <xf numFmtId="164" fontId="0" fillId="0" borderId="0" xfId="1" applyNumberFormat="1" applyFont="1"/>
    <xf numFmtId="168" fontId="0" fillId="0" borderId="0" xfId="0" applyNumberFormat="1"/>
    <xf numFmtId="3" fontId="0" fillId="0" borderId="1" xfId="0" applyNumberFormat="1" applyBorder="1" applyAlignment="1">
      <alignment horizontal="center"/>
    </xf>
    <xf numFmtId="3" fontId="4" fillId="0" borderId="1" xfId="0" applyNumberFormat="1" applyFont="1" applyBorder="1" applyAlignment="1">
      <alignment horizontal="center"/>
    </xf>
    <xf numFmtId="3" fontId="3" fillId="0" borderId="1" xfId="0" applyNumberFormat="1" applyFont="1" applyBorder="1" applyAlignment="1">
      <alignment horizontal="center"/>
    </xf>
    <xf numFmtId="3" fontId="0" fillId="3" borderId="1" xfId="0" applyNumberFormat="1" applyFill="1" applyBorder="1" applyAlignment="1">
      <alignment horizontal="center"/>
    </xf>
    <xf numFmtId="3" fontId="0" fillId="4" borderId="1" xfId="0" applyNumberFormat="1" applyFill="1" applyBorder="1" applyAlignment="1">
      <alignment horizontal="center"/>
    </xf>
    <xf numFmtId="0" fontId="0" fillId="5" borderId="1" xfId="0" applyFill="1" applyBorder="1"/>
    <xf numFmtId="3" fontId="0" fillId="2" borderId="1" xfId="0" applyNumberFormat="1" applyFill="1" applyBorder="1"/>
    <xf numFmtId="166" fontId="0" fillId="2" borderId="1" xfId="0" applyNumberFormat="1" applyFill="1" applyBorder="1"/>
    <xf numFmtId="0" fontId="3" fillId="2" borderId="1" xfId="0" applyFont="1" applyFill="1" applyBorder="1"/>
    <xf numFmtId="9" fontId="3" fillId="2" borderId="1" xfId="4" applyFont="1" applyFill="1" applyBorder="1"/>
    <xf numFmtId="3" fontId="4" fillId="0" borderId="9" xfId="0" applyNumberFormat="1" applyFont="1" applyBorder="1" applyAlignment="1">
      <alignment horizontal="center"/>
    </xf>
    <xf numFmtId="3" fontId="4" fillId="0" borderId="11" xfId="0" applyNumberFormat="1" applyFont="1" applyBorder="1" applyAlignment="1">
      <alignment horizontal="center"/>
    </xf>
    <xf numFmtId="3" fontId="4" fillId="0" borderId="14" xfId="0" applyNumberFormat="1" applyFont="1" applyBorder="1" applyAlignment="1">
      <alignment horizontal="center"/>
    </xf>
    <xf numFmtId="0" fontId="4" fillId="6" borderId="4" xfId="0" applyFont="1" applyFill="1" applyBorder="1" applyAlignment="1">
      <alignment horizontal="center" vertical="center" wrapText="1"/>
    </xf>
    <xf numFmtId="0" fontId="4" fillId="7" borderId="17" xfId="0" applyFont="1" applyFill="1" applyBorder="1" applyAlignment="1">
      <alignment horizontal="center" vertical="center" wrapText="1"/>
    </xf>
    <xf numFmtId="0" fontId="4" fillId="7" borderId="18"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30" xfId="0" applyFont="1" applyBorder="1" applyAlignment="1">
      <alignment horizontal="center"/>
    </xf>
    <xf numFmtId="0" fontId="4" fillId="0" borderId="15" xfId="0" applyFont="1" applyBorder="1" applyAlignment="1">
      <alignment horizontal="center"/>
    </xf>
    <xf numFmtId="0" fontId="4" fillId="0" borderId="31" xfId="0" applyFont="1" applyBorder="1" applyAlignment="1">
      <alignment horizontal="center"/>
    </xf>
    <xf numFmtId="3" fontId="4" fillId="0" borderId="10" xfId="0" applyNumberFormat="1" applyFont="1" applyBorder="1" applyAlignment="1">
      <alignment horizontal="center"/>
    </xf>
    <xf numFmtId="3" fontId="4" fillId="0" borderId="12" xfId="0" applyNumberFormat="1" applyFont="1" applyBorder="1" applyAlignment="1">
      <alignment horizontal="center"/>
    </xf>
    <xf numFmtId="0" fontId="4" fillId="0" borderId="23" xfId="0" applyFont="1" applyBorder="1" applyAlignment="1">
      <alignment horizontal="center" vertical="center" wrapText="1"/>
    </xf>
    <xf numFmtId="0" fontId="4" fillId="0" borderId="32" xfId="0" applyFont="1" applyBorder="1" applyAlignment="1">
      <alignment horizontal="center" wrapText="1"/>
    </xf>
    <xf numFmtId="0" fontId="4" fillId="0" borderId="33" xfId="0" applyFont="1" applyBorder="1" applyAlignment="1">
      <alignment horizontal="center" vertical="center" wrapText="1"/>
    </xf>
    <xf numFmtId="3" fontId="4" fillId="0" borderId="7" xfId="0" applyNumberFormat="1" applyFont="1" applyBorder="1" applyAlignment="1">
      <alignment horizontal="center"/>
    </xf>
    <xf numFmtId="0" fontId="4" fillId="0" borderId="24" xfId="0" applyFont="1" applyBorder="1" applyAlignment="1">
      <alignment horizontal="center" vertical="center" wrapText="1"/>
    </xf>
    <xf numFmtId="165" fontId="0" fillId="0" borderId="1" xfId="0" applyNumberFormat="1" applyBorder="1"/>
    <xf numFmtId="0" fontId="0" fillId="0" borderId="7" xfId="0" applyBorder="1"/>
    <xf numFmtId="3" fontId="0" fillId="0" borderId="8" xfId="0" applyNumberFormat="1" applyBorder="1" applyAlignment="1">
      <alignment horizontal="center"/>
    </xf>
    <xf numFmtId="166" fontId="0" fillId="0" borderId="8" xfId="0" applyNumberFormat="1" applyBorder="1"/>
    <xf numFmtId="4" fontId="0" fillId="0" borderId="8" xfId="0" applyNumberFormat="1" applyBorder="1"/>
    <xf numFmtId="10" fontId="0" fillId="0" borderId="8" xfId="4" applyNumberFormat="1" applyFont="1" applyBorder="1"/>
    <xf numFmtId="10" fontId="3" fillId="0" borderId="9" xfId="4" applyNumberFormat="1" applyFont="1" applyBorder="1"/>
    <xf numFmtId="0" fontId="0" fillId="0" borderId="10" xfId="0" applyBorder="1"/>
    <xf numFmtId="10" fontId="3" fillId="0" borderId="11" xfId="4" applyNumberFormat="1" applyFont="1" applyBorder="1"/>
    <xf numFmtId="0" fontId="3" fillId="0" borderId="10" xfId="0" applyFont="1" applyBorder="1"/>
    <xf numFmtId="0" fontId="4" fillId="0" borderId="10" xfId="0" applyFont="1" applyBorder="1"/>
    <xf numFmtId="10" fontId="4" fillId="0" borderId="11" xfId="4" applyNumberFormat="1" applyFont="1" applyBorder="1"/>
    <xf numFmtId="0" fontId="4" fillId="0" borderId="12" xfId="0" applyFont="1" applyBorder="1"/>
    <xf numFmtId="3" fontId="3" fillId="0" borderId="13" xfId="0" applyNumberFormat="1" applyFont="1" applyBorder="1" applyAlignment="1">
      <alignment horizontal="center"/>
    </xf>
    <xf numFmtId="166" fontId="3" fillId="0" borderId="13" xfId="0" applyNumberFormat="1" applyFont="1" applyBorder="1"/>
    <xf numFmtId="4" fontId="4" fillId="0" borderId="13" xfId="0" applyNumberFormat="1" applyFont="1" applyBorder="1"/>
    <xf numFmtId="3" fontId="0" fillId="0" borderId="13" xfId="0" applyNumberFormat="1" applyBorder="1" applyAlignment="1">
      <alignment horizontal="center"/>
    </xf>
    <xf numFmtId="10" fontId="4" fillId="0" borderId="13" xfId="4" applyNumberFormat="1" applyFont="1" applyBorder="1"/>
    <xf numFmtId="10" fontId="4" fillId="0" borderId="14" xfId="4" applyNumberFormat="1" applyFont="1" applyBorder="1"/>
    <xf numFmtId="0" fontId="0" fillId="0" borderId="10" xfId="0" applyFont="1" applyBorder="1"/>
    <xf numFmtId="3" fontId="0" fillId="0" borderId="1" xfId="0" applyNumberFormat="1" applyFont="1" applyBorder="1" applyAlignment="1">
      <alignment horizontal="center"/>
    </xf>
    <xf numFmtId="4" fontId="0" fillId="0" borderId="1" xfId="0" applyNumberFormat="1" applyFont="1" applyBorder="1"/>
    <xf numFmtId="2" fontId="0" fillId="5" borderId="1" xfId="0" applyNumberFormat="1" applyFill="1" applyBorder="1"/>
    <xf numFmtId="0" fontId="4" fillId="0" borderId="6" xfId="0" applyFont="1" applyBorder="1" applyAlignment="1">
      <alignment horizontal="center" wrapText="1"/>
    </xf>
    <xf numFmtId="10" fontId="0" fillId="0" borderId="9" xfId="4" applyNumberFormat="1" applyFont="1" applyBorder="1"/>
    <xf numFmtId="10" fontId="0" fillId="0" borderId="11" xfId="4" applyNumberFormat="1" applyFont="1" applyBorder="1"/>
    <xf numFmtId="165" fontId="0" fillId="5" borderId="1" xfId="0" applyNumberFormat="1" applyFill="1" applyBorder="1"/>
    <xf numFmtId="169" fontId="0" fillId="0" borderId="1" xfId="0" applyNumberFormat="1" applyBorder="1"/>
    <xf numFmtId="0" fontId="7" fillId="0" borderId="0" xfId="0" applyFont="1" applyBorder="1" applyAlignment="1"/>
    <xf numFmtId="4" fontId="0" fillId="0" borderId="0" xfId="0" applyNumberFormat="1"/>
    <xf numFmtId="0" fontId="0" fillId="0" borderId="0" xfId="0" applyAlignment="1">
      <alignment horizontal="right"/>
    </xf>
    <xf numFmtId="0" fontId="0" fillId="0" borderId="0" xfId="0" quotePrefix="1" applyAlignment="1">
      <alignment horizontal="right"/>
    </xf>
    <xf numFmtId="10" fontId="0" fillId="0" borderId="0" xfId="4" applyNumberFormat="1" applyFont="1" applyAlignment="1">
      <alignment horizontal="right"/>
    </xf>
    <xf numFmtId="0" fontId="4" fillId="6" borderId="6" xfId="0" applyFont="1" applyFill="1" applyBorder="1" applyAlignment="1">
      <alignment horizontal="center" vertical="center" wrapText="1"/>
    </xf>
    <xf numFmtId="7" fontId="0" fillId="0" borderId="27" xfId="0" applyNumberFormat="1" applyFont="1" applyBorder="1" applyAlignment="1">
      <alignment horizontal="center"/>
    </xf>
    <xf numFmtId="7" fontId="0" fillId="0" borderId="28" xfId="0" applyNumberFormat="1" applyFont="1" applyBorder="1" applyAlignment="1">
      <alignment horizontal="center"/>
    </xf>
    <xf numFmtId="7" fontId="0" fillId="0" borderId="29" xfId="0" applyNumberFormat="1" applyFont="1" applyBorder="1" applyAlignment="1">
      <alignment horizontal="center"/>
    </xf>
    <xf numFmtId="0" fontId="4" fillId="4" borderId="10" xfId="0" applyFont="1" applyFill="1" applyBorder="1" applyAlignment="1">
      <alignment horizontal="left"/>
    </xf>
    <xf numFmtId="0" fontId="4" fillId="7" borderId="1" xfId="0" applyFont="1" applyFill="1" applyBorder="1" applyAlignment="1">
      <alignment horizontal="center" vertical="center" wrapText="1"/>
    </xf>
    <xf numFmtId="0" fontId="4" fillId="5" borderId="1" xfId="0" applyFont="1" applyFill="1" applyBorder="1" applyAlignment="1">
      <alignment horizontal="center"/>
    </xf>
    <xf numFmtId="0" fontId="0" fillId="5" borderId="0" xfId="0" applyFill="1"/>
    <xf numFmtId="169" fontId="0" fillId="0" borderId="1" xfId="0" applyNumberFormat="1" applyFill="1" applyBorder="1"/>
    <xf numFmtId="3" fontId="0" fillId="8" borderId="1" xfId="0" applyNumberFormat="1" applyFill="1" applyBorder="1"/>
    <xf numFmtId="0" fontId="4" fillId="8" borderId="1" xfId="0" applyFont="1" applyFill="1" applyBorder="1" applyAlignment="1">
      <alignment horizontal="center" vertical="center" wrapText="1"/>
    </xf>
    <xf numFmtId="0" fontId="0" fillId="3" borderId="10" xfId="0" applyFont="1" applyFill="1" applyBorder="1"/>
    <xf numFmtId="0" fontId="0" fillId="4" borderId="10" xfId="0" applyFont="1" applyFill="1" applyBorder="1"/>
    <xf numFmtId="165" fontId="0" fillId="0" borderId="1" xfId="0" applyNumberFormat="1" applyFill="1" applyBorder="1"/>
    <xf numFmtId="3" fontId="0" fillId="0" borderId="1" xfId="0" applyNumberFormat="1" applyFill="1" applyBorder="1"/>
    <xf numFmtId="0" fontId="0" fillId="0" borderId="1" xfId="0" applyFill="1" applyBorder="1" applyAlignment="1">
      <alignment horizontal="center"/>
    </xf>
    <xf numFmtId="164" fontId="0" fillId="2" borderId="1" xfId="1" applyNumberFormat="1" applyFont="1" applyFill="1" applyBorder="1"/>
    <xf numFmtId="1" fontId="0" fillId="2" borderId="1" xfId="0" applyNumberFormat="1" applyFill="1" applyBorder="1"/>
    <xf numFmtId="0" fontId="4" fillId="0" borderId="43" xfId="0" applyFont="1" applyBorder="1" applyAlignment="1">
      <alignment horizontal="center"/>
    </xf>
    <xf numFmtId="3" fontId="4" fillId="0" borderId="44" xfId="0" applyNumberFormat="1" applyFont="1" applyBorder="1" applyAlignment="1">
      <alignment horizontal="center"/>
    </xf>
    <xf numFmtId="3" fontId="4" fillId="0" borderId="45" xfId="0" applyNumberFormat="1" applyFont="1" applyBorder="1" applyAlignment="1">
      <alignment horizontal="center"/>
    </xf>
    <xf numFmtId="7" fontId="0" fillId="0" borderId="42" xfId="0" applyNumberFormat="1" applyFont="1" applyBorder="1" applyAlignment="1">
      <alignment horizontal="center"/>
    </xf>
    <xf numFmtId="165" fontId="4" fillId="0" borderId="1" xfId="0" applyNumberFormat="1" applyFont="1" applyBorder="1"/>
    <xf numFmtId="0" fontId="0" fillId="0" borderId="1" xfId="0" applyFill="1" applyBorder="1"/>
    <xf numFmtId="3" fontId="4" fillId="0" borderId="47" xfId="0" applyNumberFormat="1" applyFont="1" applyBorder="1" applyAlignment="1">
      <alignment horizontal="center"/>
    </xf>
    <xf numFmtId="3" fontId="4" fillId="0" borderId="48" xfId="0" applyNumberFormat="1" applyFont="1" applyBorder="1" applyAlignment="1">
      <alignment horizontal="center"/>
    </xf>
    <xf numFmtId="3" fontId="4" fillId="0" borderId="41" xfId="0" applyNumberFormat="1" applyFont="1" applyBorder="1" applyAlignment="1">
      <alignment horizontal="center"/>
    </xf>
    <xf numFmtId="3" fontId="4" fillId="0" borderId="49" xfId="0" applyNumberFormat="1" applyFont="1" applyBorder="1" applyAlignment="1">
      <alignment horizontal="center"/>
    </xf>
    <xf numFmtId="0" fontId="0" fillId="0" borderId="0" xfId="0" applyFont="1"/>
    <xf numFmtId="7" fontId="0" fillId="7" borderId="19" xfId="2" applyNumberFormat="1" applyFont="1" applyFill="1" applyBorder="1" applyAlignment="1">
      <alignment horizontal="center"/>
    </xf>
    <xf numFmtId="10" fontId="0" fillId="7" borderId="22" xfId="3" applyNumberFormat="1" applyFont="1" applyFill="1" applyBorder="1" applyAlignment="1">
      <alignment horizontal="center"/>
    </xf>
    <xf numFmtId="7" fontId="0" fillId="6" borderId="7" xfId="0" applyNumberFormat="1" applyFont="1" applyFill="1" applyBorder="1" applyAlignment="1">
      <alignment horizontal="center"/>
    </xf>
    <xf numFmtId="10" fontId="0" fillId="6" borderId="14" xfId="3" applyNumberFormat="1" applyFont="1" applyFill="1" applyBorder="1" applyAlignment="1">
      <alignment horizontal="center"/>
    </xf>
    <xf numFmtId="10" fontId="0" fillId="7" borderId="21" xfId="3" applyNumberFormat="1" applyFont="1" applyFill="1" applyBorder="1" applyAlignment="1">
      <alignment horizontal="center"/>
    </xf>
    <xf numFmtId="10" fontId="0" fillId="6" borderId="9" xfId="3" applyNumberFormat="1" applyFont="1" applyFill="1" applyBorder="1" applyAlignment="1">
      <alignment horizontal="center"/>
    </xf>
    <xf numFmtId="7" fontId="0" fillId="7" borderId="3" xfId="2" applyNumberFormat="1" applyFont="1" applyFill="1" applyBorder="1" applyAlignment="1">
      <alignment horizontal="center"/>
    </xf>
    <xf numFmtId="10" fontId="0" fillId="7" borderId="3" xfId="3" applyNumberFormat="1" applyFont="1" applyFill="1" applyBorder="1" applyAlignment="1">
      <alignment horizontal="center"/>
    </xf>
    <xf numFmtId="7" fontId="0" fillId="6" borderId="10" xfId="0" applyNumberFormat="1" applyFont="1" applyFill="1" applyBorder="1" applyAlignment="1">
      <alignment horizontal="center"/>
    </xf>
    <xf numFmtId="10" fontId="0" fillId="6" borderId="11" xfId="3" applyNumberFormat="1" applyFont="1" applyFill="1" applyBorder="1" applyAlignment="1">
      <alignment horizontal="center"/>
    </xf>
    <xf numFmtId="7" fontId="0" fillId="7" borderId="20" xfId="2" applyNumberFormat="1" applyFont="1" applyFill="1" applyBorder="1" applyAlignment="1">
      <alignment horizontal="center"/>
    </xf>
    <xf numFmtId="7" fontId="0" fillId="6" borderId="12" xfId="0" applyNumberFormat="1" applyFont="1" applyFill="1" applyBorder="1" applyAlignment="1">
      <alignment horizontal="center"/>
    </xf>
    <xf numFmtId="10" fontId="0" fillId="7" borderId="2" xfId="3" applyNumberFormat="1" applyFont="1" applyFill="1" applyBorder="1" applyAlignment="1">
      <alignment horizontal="center"/>
    </xf>
    <xf numFmtId="7" fontId="0" fillId="7" borderId="46" xfId="2" applyNumberFormat="1" applyFont="1" applyFill="1" applyBorder="1" applyAlignment="1">
      <alignment horizontal="center"/>
    </xf>
    <xf numFmtId="7" fontId="0" fillId="6" borderId="44" xfId="0" applyNumberFormat="1" applyFont="1" applyFill="1" applyBorder="1" applyAlignment="1">
      <alignment horizontal="center"/>
    </xf>
    <xf numFmtId="0" fontId="0" fillId="0" borderId="0" xfId="0" applyFont="1" applyAlignment="1">
      <alignment horizontal="center" vertical="center"/>
    </xf>
    <xf numFmtId="0" fontId="0" fillId="0" borderId="0" xfId="0" applyFont="1" applyAlignment="1">
      <alignment horizontal="center" vertical="center" wrapText="1"/>
    </xf>
    <xf numFmtId="164" fontId="0" fillId="0" borderId="0" xfId="1" applyNumberFormat="1" applyFont="1" applyAlignment="1">
      <alignment horizontal="center" vertical="center"/>
    </xf>
    <xf numFmtId="0" fontId="4" fillId="0" borderId="0" xfId="0" applyFont="1" applyAlignment="1">
      <alignment horizontal="center" vertical="center"/>
    </xf>
    <xf numFmtId="43" fontId="0" fillId="8" borderId="1" xfId="1" applyFont="1" applyFill="1" applyBorder="1" applyAlignment="1">
      <alignment horizontal="right"/>
    </xf>
    <xf numFmtId="0" fontId="4" fillId="0" borderId="0" xfId="0" applyFont="1" applyFill="1" applyBorder="1"/>
    <xf numFmtId="0" fontId="0" fillId="0" borderId="0" xfId="0" applyFill="1"/>
    <xf numFmtId="0" fontId="0" fillId="0" borderId="36" xfId="0" applyFont="1" applyBorder="1"/>
    <xf numFmtId="0" fontId="0" fillId="0" borderId="43" xfId="0" applyBorder="1"/>
    <xf numFmtId="0" fontId="0" fillId="0" borderId="0" xfId="0" applyBorder="1"/>
    <xf numFmtId="6" fontId="0" fillId="0" borderId="0" xfId="0" applyNumberFormat="1" applyBorder="1"/>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0" fillId="0" borderId="38"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40" xfId="0" applyFont="1" applyBorder="1" applyAlignment="1">
      <alignment horizontal="center" vertical="center" wrapText="1"/>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42" xfId="0" applyFont="1" applyBorder="1" applyAlignment="1">
      <alignment horizontal="center" vertical="center"/>
    </xf>
    <xf numFmtId="0" fontId="4" fillId="0" borderId="29" xfId="0" applyFont="1" applyBorder="1" applyAlignment="1">
      <alignment horizontal="center" vertical="center"/>
    </xf>
    <xf numFmtId="0" fontId="4" fillId="0" borderId="24"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7" fillId="0" borderId="34" xfId="0" applyFont="1" applyBorder="1" applyAlignment="1">
      <alignment horizontal="center"/>
    </xf>
    <xf numFmtId="0" fontId="7" fillId="0" borderId="16" xfId="0" applyFont="1" applyBorder="1" applyAlignment="1">
      <alignment horizontal="center"/>
    </xf>
    <xf numFmtId="0" fontId="7" fillId="0" borderId="35" xfId="0" applyFont="1" applyBorder="1" applyAlignment="1">
      <alignment horizontal="center"/>
    </xf>
  </cellXfs>
  <cellStyles count="48">
    <cellStyle name="$" xfId="7"/>
    <cellStyle name="$_CCA-Request_H11bps" xfId="8"/>
    <cellStyle name="$_CCA-Request_H11bps July 9" xfId="9"/>
    <cellStyle name="$comma" xfId="10"/>
    <cellStyle name="_Comma" xfId="11"/>
    <cellStyle name="_Currency" xfId="12"/>
    <cellStyle name="_CurrencySpace" xfId="13"/>
    <cellStyle name="_Multiple" xfId="14"/>
    <cellStyle name="_MultipleSpace" xfId="15"/>
    <cellStyle name="_Percent" xfId="16"/>
    <cellStyle name="_PercentSpace" xfId="17"/>
    <cellStyle name="_PercentSpace_AR Analysis 061207" xfId="18"/>
    <cellStyle name="_PercentSpace_RMDx BP050513a 051212a" xfId="19"/>
    <cellStyle name="Comma" xfId="1" builtinId="3"/>
    <cellStyle name="comma zerodec" xfId="20"/>
    <cellStyle name="Currency" xfId="2" builtinId="4"/>
    <cellStyle name="Currency1" xfId="21"/>
    <cellStyle name="Dollar (zero dec)" xfId="22"/>
    <cellStyle name="Grey" xfId="23"/>
    <cellStyle name="Header1" xfId="24"/>
    <cellStyle name="Header2" xfId="25"/>
    <cellStyle name="Input [yellow]" xfId="26"/>
    <cellStyle name="multiple" xfId="27"/>
    <cellStyle name="Normal" xfId="0" builtinId="0"/>
    <cellStyle name="Normal - Style1" xfId="28"/>
    <cellStyle name="Normal 2" xfId="5"/>
    <cellStyle name="Normal 3" xfId="6"/>
    <cellStyle name="Normal 4" xfId="46"/>
    <cellStyle name="Normal 5" xfId="47"/>
    <cellStyle name="Number" xfId="29"/>
    <cellStyle name="OH01" xfId="30"/>
    <cellStyle name="OHnplode" xfId="31"/>
    <cellStyle name="Percent" xfId="3" builtinId="5"/>
    <cellStyle name="Percent [2]" xfId="32"/>
    <cellStyle name="Percent 2" xfId="4"/>
    <cellStyle name="PSChar" xfId="33"/>
    <cellStyle name="PSDate" xfId="34"/>
    <cellStyle name="PSDec" xfId="35"/>
    <cellStyle name="PSHeading" xfId="36"/>
    <cellStyle name="PSInt" xfId="37"/>
    <cellStyle name="PSSpacer" xfId="38"/>
    <cellStyle name="ShOut" xfId="39"/>
    <cellStyle name="Style 1" xfId="40"/>
    <cellStyle name="Style 2" xfId="41"/>
    <cellStyle name="Style 3" xfId="42"/>
    <cellStyle name="x" xfId="43"/>
    <cellStyle name="x_CCA-Request_H11bps" xfId="44"/>
    <cellStyle name="x_CCA-Request_H11bps July 9" xfId="45"/>
  </cellStyles>
  <dxfs count="0"/>
  <tableStyles count="0" defaultTableStyle="TableStyleMedium2" defaultPivotStyle="PivotStyleLight16"/>
  <colors>
    <mruColors>
      <color rgb="FFCCFFCC"/>
      <color rgb="FFFFCCFF"/>
      <color rgb="FFFFCCCC"/>
      <color rgb="FFFFFFFF"/>
      <color rgb="FFCCFFFF"/>
      <color rgb="FFCCCC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ist%20Pric/2018-2022%20DX%20Rates/2021/Bill%20Impacts_2021_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st%20Pric/2018-2022%20DX%20Rates/2022/Rate%20Design_2022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st%20Pric/2018-2022%20DX%20Rates/2021/RTSR%20Calculation_2021_v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st%20Pric/2018-2022%20DX%20Rates/2018/RRRPCreditCalc_2018t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st%20Pric/2018-2022%20DX%20Rates/2022/ST_Rate_Model_2022_v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ist%20Pric/2018-2022%20DX%20Rates/2018/Bill%20Impacts_Average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Bill Impacts"/>
      <sheetName val="Data for Bill Impacts_HONI Avg "/>
      <sheetName val="Bill Impact Summary_HONI"/>
      <sheetName val="Bill Impact Summary_Acq"/>
      <sheetName val="BI_UR_Low"/>
      <sheetName val="BI_UR_Typical"/>
      <sheetName val="BI_UR_Avg"/>
      <sheetName val="BI_UR_High"/>
      <sheetName val="BI_R1_Low"/>
      <sheetName val="BI_R1_Typical"/>
      <sheetName val="BI_R1_High"/>
      <sheetName val="BI_R1_Avg"/>
      <sheetName val="BI_R2_Low"/>
      <sheetName val="BI_R2_Typical"/>
      <sheetName val="BI_R2_Avg"/>
      <sheetName val="BI_R2_High"/>
      <sheetName val="BI_Seas_Low"/>
      <sheetName val="BI_Seas_Typical"/>
      <sheetName val="BI_Seas_Avg"/>
      <sheetName val="BI_Seas_High"/>
      <sheetName val="BI_UGe_Low"/>
      <sheetName val="BI_UGe_Typical"/>
      <sheetName val="BI_UGe_Avg"/>
      <sheetName val="BI_UGe_High"/>
      <sheetName val="BI_GSe_Low"/>
      <sheetName val="BI_GSe_Typical"/>
      <sheetName val="BI_GSe_Avg"/>
      <sheetName val="BI_GSe_High"/>
      <sheetName val="BI_UGd_Low"/>
      <sheetName val="BI_UGd_Typical"/>
      <sheetName val="BI_UGd_Avg"/>
      <sheetName val="BI_UGd_High"/>
      <sheetName val="BI_GSd_Low"/>
      <sheetName val="BI_GSd_Typical"/>
      <sheetName val="BI_GSd_Avg"/>
      <sheetName val="BI_GSd_High"/>
      <sheetName val="BI_DGen_Low"/>
      <sheetName val="BI_DGen_Typical"/>
      <sheetName val="BI_DGen_Avg"/>
      <sheetName val="BI_DGen_High"/>
      <sheetName val="BI_ST_Low"/>
      <sheetName val="BI_ST_Avg"/>
      <sheetName val="BI_ST_Typical"/>
      <sheetName val="BI_ST_High"/>
      <sheetName val="BI_USL_Low"/>
      <sheetName val="BI_USL_Typical"/>
      <sheetName val="BI_USL_Avg"/>
      <sheetName val="BI_USL_High"/>
      <sheetName val="BI_SenLgt_Low"/>
      <sheetName val="BI_SenLgt_Avg"/>
      <sheetName val="BI_SenLgt_Typical"/>
      <sheetName val="BI_SenLgt_High"/>
      <sheetName val="BI_StLgt_Low"/>
      <sheetName val="BI_StLgt_Avg"/>
      <sheetName val="BI_StLgt_Typical"/>
      <sheetName val="BI_StLgt_High"/>
      <sheetName val="BI_AUR_Low"/>
      <sheetName val="BI_AUR_Avg"/>
      <sheetName val="BI_AUR_Typical"/>
      <sheetName val="BI_AUR_High"/>
      <sheetName val="BI_AUGE_Low"/>
      <sheetName val="BI_AUGE_Avg"/>
      <sheetName val="BI_AUGE_Typical"/>
      <sheetName val="BI_AUGE_High"/>
      <sheetName val="BI_AUGd_Low"/>
      <sheetName val="BI_AUGd_Typical"/>
      <sheetName val="BI_AUGd_Avg"/>
      <sheetName val="BI_AUGd_High"/>
      <sheetName val="WHSI_BI_ST_Low"/>
      <sheetName val="WHSI_BI_ST_Avg"/>
      <sheetName val="WHSI_BI_ST_Typical"/>
      <sheetName val="WHSI_BI_ST_High"/>
      <sheetName val="NPDI_BI_AR_Low"/>
      <sheetName val="NPDI_BI_AR_Avg"/>
      <sheetName val="NPDI_BI_AR_Typical"/>
      <sheetName val="NPDI_BI_AR_High"/>
      <sheetName val="HCHI_BI_AR_Low"/>
      <sheetName val="HCHI_BI_AR_Avg"/>
      <sheetName val="HCHI_BI_AR_Typical"/>
      <sheetName val="HCHI_BI_AR_High"/>
      <sheetName val="NPDI_BI_AGSE_Low"/>
      <sheetName val="NPDI_BI_AGSE_Avg"/>
      <sheetName val="NPDI_BI_AGSE_Typical"/>
      <sheetName val="NPDI_BI_AGSE_High"/>
      <sheetName val="HCHI_BI_AGSE_Low"/>
      <sheetName val="HCHI_BI_AGSE_Avg"/>
      <sheetName val="HCHI_BI_AGSE_Typical"/>
      <sheetName val="HCHI_BI_AGSE_High"/>
      <sheetName val="NPDI_BI_AGSD_Low"/>
      <sheetName val="NPDI_BI_AGSd_Typical"/>
      <sheetName val="NPDI_BI_AGSd_Avg"/>
      <sheetName val="NPDI_BI_AGSd_High"/>
      <sheetName val="HCHI_BI_AGSd_Low"/>
      <sheetName val="HCHI_BI_AGSd_Typical"/>
      <sheetName val="HCHI_BI_AGSd_Avg"/>
      <sheetName val="HCHI_BI_AGSd_High"/>
      <sheetName val="WHSI_BI_USL_Low"/>
      <sheetName val="WHSI_BI_USL_Avg"/>
      <sheetName val="WHSI_BI_USL_Typical"/>
      <sheetName val="WHSI_BI_USL_High"/>
      <sheetName val="NPDI_BI_USL_Low"/>
      <sheetName val="NPDI_BI_USL_Avg"/>
      <sheetName val="NPDI_BI_USL_Typical"/>
      <sheetName val="NPDI_BI_USL_High"/>
      <sheetName val="HCHI_BI_USL_Low"/>
      <sheetName val="HCHI_BI_USL_Typical"/>
      <sheetName val="HCHI_BI_USL_Avg"/>
      <sheetName val="HCHI_BI_USL_High"/>
      <sheetName val="WHSI_BI_St Lgt_Low"/>
      <sheetName val="WHSI_BI_St Lgt_Typical"/>
      <sheetName val="WHSI_BI_St Lgt_Avg"/>
      <sheetName val="WHSI_BI_St Lgt_High"/>
      <sheetName val="NPDI_BI_St Lgt_Low"/>
      <sheetName val="NPDI_BI_St Lgt_Typical"/>
      <sheetName val="NPDI_BI_St Lgt_Avg"/>
      <sheetName val="NPDI_BI_St Lgt_High"/>
      <sheetName val="HCHI_BI_St Lgt_Low"/>
      <sheetName val="HCHI_BI_St Lgt_Typical"/>
      <sheetName val="HCHI_BI_St Lgt_Avg"/>
      <sheetName val="HCHI_BI_St Lgt_High"/>
      <sheetName val="NPDI_BI_SenLgt_Low"/>
      <sheetName val="NPDI_BI_SenLgt_Avg"/>
      <sheetName val="NPDI_BI_SenLgt_High"/>
      <sheetName val="HCHI_BI_SenLgt_Low"/>
      <sheetName val="HCHI_BI_SenLgt_Avg"/>
      <sheetName val="HCHI_BI_SenLgt_High"/>
      <sheetName val="NPDI_BI_SenLgt_Typical"/>
      <sheetName val="HCHI_BI_SenLgt_Typical"/>
    </sheetNames>
    <sheetDataSet>
      <sheetData sheetId="0">
        <row r="3">
          <cell r="A3" t="str">
            <v>UR</v>
          </cell>
          <cell r="B3">
            <v>1.0569999999999999</v>
          </cell>
          <cell r="C3">
            <v>750</v>
          </cell>
          <cell r="D3">
            <v>600</v>
          </cell>
          <cell r="E3">
            <v>0</v>
          </cell>
          <cell r="F3" t="str">
            <v>kWh</v>
          </cell>
          <cell r="G3">
            <v>35.880000000000003</v>
          </cell>
          <cell r="H3">
            <v>0</v>
          </cell>
          <cell r="I3">
            <v>0.79</v>
          </cell>
          <cell r="J3">
            <v>0</v>
          </cell>
          <cell r="K3">
            <v>0</v>
          </cell>
          <cell r="L3">
            <v>0</v>
          </cell>
          <cell r="M3">
            <v>0.01</v>
          </cell>
          <cell r="N3">
            <v>2.0000000000000001E-4</v>
          </cell>
          <cell r="O3">
            <v>7.8279999999999999E-3</v>
          </cell>
          <cell r="P3">
            <v>6.4380000000000001E-3</v>
          </cell>
          <cell r="Q3">
            <v>36.72</v>
          </cell>
          <cell r="R3">
            <v>0.79</v>
          </cell>
          <cell r="S3">
            <v>0</v>
          </cell>
          <cell r="T3">
            <v>0</v>
          </cell>
          <cell r="U3">
            <v>0</v>
          </cell>
          <cell r="V3">
            <v>0.01</v>
          </cell>
          <cell r="W3">
            <v>2.0000000000000001E-4</v>
          </cell>
          <cell r="X3">
            <v>7.7000000000000002E-3</v>
          </cell>
          <cell r="Y3">
            <v>6.3E-3</v>
          </cell>
        </row>
        <row r="4">
          <cell r="A4" t="str">
            <v>R1</v>
          </cell>
          <cell r="B4">
            <v>1.0760000000000001</v>
          </cell>
          <cell r="C4">
            <v>750</v>
          </cell>
          <cell r="D4">
            <v>600</v>
          </cell>
          <cell r="E4">
            <v>0</v>
          </cell>
          <cell r="F4" t="str">
            <v>kWh</v>
          </cell>
          <cell r="G4">
            <v>47.11</v>
          </cell>
          <cell r="H4">
            <v>0</v>
          </cell>
          <cell r="I4">
            <v>0.79</v>
          </cell>
          <cell r="J4">
            <v>1.6E-2</v>
          </cell>
          <cell r="K4">
            <v>0</v>
          </cell>
          <cell r="L4">
            <v>0</v>
          </cell>
          <cell r="M4">
            <v>0</v>
          </cell>
          <cell r="N4">
            <v>2.0000000000000001E-4</v>
          </cell>
          <cell r="O4">
            <v>7.2069999999999999E-3</v>
          </cell>
          <cell r="P4">
            <v>6.0319999999999992E-3</v>
          </cell>
          <cell r="Q4">
            <v>52.36</v>
          </cell>
          <cell r="R4">
            <v>0.79</v>
          </cell>
          <cell r="S4">
            <v>1.1599999999999999E-2</v>
          </cell>
          <cell r="T4">
            <v>0</v>
          </cell>
          <cell r="U4">
            <v>0</v>
          </cell>
          <cell r="V4">
            <v>0</v>
          </cell>
          <cell r="W4">
            <v>2.0000000000000001E-4</v>
          </cell>
          <cell r="X4">
            <v>7.1999999999999998E-3</v>
          </cell>
          <cell r="Y4">
            <v>5.8999999999999999E-3</v>
          </cell>
        </row>
        <row r="5">
          <cell r="A5" t="str">
            <v>R2</v>
          </cell>
          <cell r="B5">
            <v>1.105</v>
          </cell>
          <cell r="C5">
            <v>750</v>
          </cell>
          <cell r="D5">
            <v>600</v>
          </cell>
          <cell r="E5">
            <v>0</v>
          </cell>
          <cell r="F5" t="str">
            <v>kWh</v>
          </cell>
          <cell r="G5">
            <v>44.23967830790393</v>
          </cell>
          <cell r="H5">
            <v>0</v>
          </cell>
          <cell r="I5">
            <v>0.79</v>
          </cell>
          <cell r="J5">
            <v>2.6800000000000001E-2</v>
          </cell>
          <cell r="K5">
            <v>0</v>
          </cell>
          <cell r="L5">
            <v>0</v>
          </cell>
          <cell r="M5">
            <v>-0.02</v>
          </cell>
          <cell r="N5">
            <v>2.0000000000000001E-4</v>
          </cell>
          <cell r="O5">
            <v>6.7400000000000003E-3</v>
          </cell>
          <cell r="P5">
            <v>5.6299999999999996E-3</v>
          </cell>
          <cell r="Q5">
            <v>55.319678307903928</v>
          </cell>
          <cell r="R5">
            <v>0.79</v>
          </cell>
          <cell r="S5">
            <v>0.02</v>
          </cell>
          <cell r="T5">
            <v>0</v>
          </cell>
          <cell r="U5">
            <v>0</v>
          </cell>
          <cell r="V5">
            <v>-0.02</v>
          </cell>
          <cell r="W5">
            <v>2.0000000000000001E-4</v>
          </cell>
          <cell r="X5">
            <v>6.7999999999999996E-3</v>
          </cell>
          <cell r="Y5">
            <v>5.4999999999999997E-3</v>
          </cell>
        </row>
        <row r="6">
          <cell r="A6" t="str">
            <v>Seasonal</v>
          </cell>
          <cell r="B6">
            <v>1.1040000000000001</v>
          </cell>
          <cell r="C6">
            <v>500</v>
          </cell>
          <cell r="D6">
            <v>600</v>
          </cell>
          <cell r="E6">
            <v>0</v>
          </cell>
          <cell r="F6" t="str">
            <v>kWh</v>
          </cell>
          <cell r="G6">
            <v>50.12</v>
          </cell>
          <cell r="H6">
            <v>0</v>
          </cell>
          <cell r="I6">
            <v>0.79</v>
          </cell>
          <cell r="J6">
            <v>4.3900000000000002E-2</v>
          </cell>
          <cell r="K6">
            <v>0</v>
          </cell>
          <cell r="L6">
            <v>0</v>
          </cell>
          <cell r="M6">
            <v>0</v>
          </cell>
          <cell r="N6">
            <v>2.0000000000000001E-4</v>
          </cell>
          <cell r="O6">
            <v>5.6559999999999996E-3</v>
          </cell>
          <cell r="P6">
            <v>4.8209999999999998E-3</v>
          </cell>
          <cell r="Q6">
            <v>55.4</v>
          </cell>
          <cell r="R6">
            <v>0.79</v>
          </cell>
          <cell r="S6">
            <v>3.15E-2</v>
          </cell>
          <cell r="T6">
            <v>0</v>
          </cell>
          <cell r="U6">
            <v>0</v>
          </cell>
          <cell r="V6">
            <v>0</v>
          </cell>
          <cell r="W6">
            <v>2.0000000000000001E-4</v>
          </cell>
          <cell r="X6">
            <v>5.7999999999999996E-3</v>
          </cell>
          <cell r="Y6">
            <v>4.7000000000000002E-3</v>
          </cell>
        </row>
        <row r="7">
          <cell r="A7" t="str">
            <v>GSe</v>
          </cell>
          <cell r="B7">
            <v>1.0960000000000001</v>
          </cell>
          <cell r="C7">
            <v>2000</v>
          </cell>
          <cell r="D7">
            <v>750</v>
          </cell>
          <cell r="E7">
            <v>0</v>
          </cell>
          <cell r="F7" t="str">
            <v>kWh</v>
          </cell>
          <cell r="G7">
            <v>30.91</v>
          </cell>
          <cell r="H7">
            <v>0</v>
          </cell>
          <cell r="I7">
            <v>0.79</v>
          </cell>
          <cell r="J7">
            <v>6.3399999999999998E-2</v>
          </cell>
          <cell r="K7">
            <v>0</v>
          </cell>
          <cell r="L7">
            <v>0</v>
          </cell>
          <cell r="M7">
            <v>0</v>
          </cell>
          <cell r="N7">
            <v>2.0000000000000001E-4</v>
          </cell>
          <cell r="O7">
            <v>5.6930000000000001E-3</v>
          </cell>
          <cell r="P7">
            <v>4.4740000000000005E-3</v>
          </cell>
          <cell r="Q7">
            <v>31.41</v>
          </cell>
          <cell r="R7">
            <v>0.79</v>
          </cell>
          <cell r="S7">
            <v>6.5199999999999994E-2</v>
          </cell>
          <cell r="T7">
            <v>1.9E-3</v>
          </cell>
          <cell r="U7">
            <v>1.9E-3</v>
          </cell>
          <cell r="V7">
            <v>0</v>
          </cell>
          <cell r="W7">
            <v>2.0000000000000001E-4</v>
          </cell>
          <cell r="X7">
            <v>5.4999999999999997E-3</v>
          </cell>
          <cell r="Y7">
            <v>4.4999999999999997E-3</v>
          </cell>
        </row>
        <row r="8">
          <cell r="A8" t="str">
            <v>UGe</v>
          </cell>
          <cell r="B8">
            <v>1.0669999999999999</v>
          </cell>
          <cell r="C8">
            <v>2000</v>
          </cell>
          <cell r="D8">
            <v>750</v>
          </cell>
          <cell r="E8">
            <v>0</v>
          </cell>
          <cell r="F8" t="str">
            <v>kWh</v>
          </cell>
          <cell r="G8">
            <v>25.11</v>
          </cell>
          <cell r="H8">
            <v>0</v>
          </cell>
          <cell r="I8">
            <v>0.79</v>
          </cell>
          <cell r="J8">
            <v>0.03</v>
          </cell>
          <cell r="K8">
            <v>0</v>
          </cell>
          <cell r="L8">
            <v>0</v>
          </cell>
          <cell r="M8">
            <v>0.01</v>
          </cell>
          <cell r="N8">
            <v>2.0000000000000001E-4</v>
          </cell>
          <cell r="O8">
            <v>6.1060000000000003E-3</v>
          </cell>
          <cell r="P8">
            <v>4.6519999999999999E-3</v>
          </cell>
          <cell r="Q8">
            <v>25.6</v>
          </cell>
          <cell r="R8">
            <v>0.79</v>
          </cell>
          <cell r="S8">
            <v>3.0800000000000001E-2</v>
          </cell>
          <cell r="T8">
            <v>1.9E-3</v>
          </cell>
          <cell r="U8">
            <v>1.9E-3</v>
          </cell>
          <cell r="V8">
            <v>0.01</v>
          </cell>
          <cell r="W8">
            <v>2.0000000000000001E-4</v>
          </cell>
          <cell r="X8">
            <v>5.7999999999999996E-3</v>
          </cell>
          <cell r="Y8">
            <v>4.7000000000000002E-3</v>
          </cell>
        </row>
        <row r="9">
          <cell r="A9" t="str">
            <v>St Lgt</v>
          </cell>
          <cell r="B9">
            <v>1.0920000000000001</v>
          </cell>
          <cell r="C9">
            <v>1440</v>
          </cell>
          <cell r="D9">
            <v>750</v>
          </cell>
          <cell r="E9">
            <v>0</v>
          </cell>
          <cell r="F9" t="str">
            <v>kWh</v>
          </cell>
          <cell r="G9">
            <v>4.33</v>
          </cell>
          <cell r="H9">
            <v>0</v>
          </cell>
          <cell r="I9">
            <v>0</v>
          </cell>
          <cell r="J9">
            <v>0.10440000000000001</v>
          </cell>
          <cell r="K9">
            <v>0</v>
          </cell>
          <cell r="L9">
            <v>0</v>
          </cell>
          <cell r="M9">
            <v>0</v>
          </cell>
          <cell r="N9">
            <v>2.0000000000000001E-4</v>
          </cell>
          <cell r="O9">
            <v>4.6979999999999999E-3</v>
          </cell>
          <cell r="P9">
            <v>4.2899999999999995E-3</v>
          </cell>
          <cell r="Q9">
            <v>4.7699999999999996</v>
          </cell>
          <cell r="R9">
            <v>0</v>
          </cell>
          <cell r="S9">
            <v>0.107</v>
          </cell>
          <cell r="T9">
            <v>0</v>
          </cell>
          <cell r="U9">
            <v>0</v>
          </cell>
          <cell r="V9">
            <v>0</v>
          </cell>
          <cell r="W9">
            <v>2.0000000000000001E-4</v>
          </cell>
          <cell r="X9">
            <v>3.836E-3</v>
          </cell>
          <cell r="Y9">
            <v>3.6240000000000001E-3</v>
          </cell>
        </row>
        <row r="10">
          <cell r="A10" t="str">
            <v>Sen Lgt</v>
          </cell>
          <cell r="B10">
            <v>1.0920000000000001</v>
          </cell>
          <cell r="C10">
            <v>62</v>
          </cell>
          <cell r="D10">
            <v>750</v>
          </cell>
          <cell r="E10">
            <v>0</v>
          </cell>
          <cell r="F10" t="str">
            <v>kWh</v>
          </cell>
          <cell r="G10">
            <v>3.45</v>
          </cell>
          <cell r="H10">
            <v>0</v>
          </cell>
          <cell r="I10">
            <v>0</v>
          </cell>
          <cell r="J10">
            <v>0.13120000000000001</v>
          </cell>
          <cell r="K10">
            <v>0</v>
          </cell>
          <cell r="L10">
            <v>0</v>
          </cell>
          <cell r="M10">
            <v>0</v>
          </cell>
          <cell r="N10">
            <v>1E-4</v>
          </cell>
          <cell r="O10">
            <v>4.6979999999999999E-3</v>
          </cell>
          <cell r="P10">
            <v>4.2899999999999995E-3</v>
          </cell>
          <cell r="Q10">
            <v>3.6</v>
          </cell>
          <cell r="R10">
            <v>0</v>
          </cell>
          <cell r="S10">
            <v>0.1338</v>
          </cell>
          <cell r="T10">
            <v>0</v>
          </cell>
          <cell r="U10">
            <v>0</v>
          </cell>
          <cell r="V10">
            <v>0</v>
          </cell>
          <cell r="W10">
            <v>1E-4</v>
          </cell>
          <cell r="X10">
            <v>3.836E-3</v>
          </cell>
          <cell r="Y10">
            <v>3.6240000000000001E-3</v>
          </cell>
        </row>
        <row r="11">
          <cell r="A11" t="str">
            <v>USL</v>
          </cell>
          <cell r="B11">
            <v>1.0920000000000001</v>
          </cell>
          <cell r="C11">
            <v>500</v>
          </cell>
          <cell r="D11">
            <v>750</v>
          </cell>
          <cell r="E11">
            <v>0</v>
          </cell>
          <cell r="F11" t="str">
            <v>kWh</v>
          </cell>
          <cell r="G11">
            <v>36.880000000000003</v>
          </cell>
          <cell r="H11">
            <v>0</v>
          </cell>
          <cell r="I11">
            <v>0</v>
          </cell>
          <cell r="J11">
            <v>0.03</v>
          </cell>
          <cell r="K11">
            <v>0</v>
          </cell>
          <cell r="L11">
            <v>0</v>
          </cell>
          <cell r="M11">
            <v>-0.01</v>
          </cell>
          <cell r="N11">
            <v>2.0000000000000001E-4</v>
          </cell>
          <cell r="O11">
            <v>4.7699999999999999E-3</v>
          </cell>
          <cell r="P11">
            <v>3.7950000000000002E-3</v>
          </cell>
          <cell r="Q11">
            <v>37.5</v>
          </cell>
          <cell r="R11">
            <v>0</v>
          </cell>
          <cell r="S11">
            <v>3.04E-2</v>
          </cell>
          <cell r="T11">
            <v>0</v>
          </cell>
          <cell r="U11">
            <v>0</v>
          </cell>
          <cell r="V11">
            <v>-0.01</v>
          </cell>
          <cell r="W11">
            <v>2.0000000000000001E-4</v>
          </cell>
          <cell r="X11">
            <v>4.7000000000000002E-3</v>
          </cell>
          <cell r="Y11">
            <v>3.8E-3</v>
          </cell>
        </row>
        <row r="12">
          <cell r="A12" t="str">
            <v>GSd</v>
          </cell>
          <cell r="B12">
            <v>1.0609999999999999</v>
          </cell>
          <cell r="C12">
            <v>36000</v>
          </cell>
          <cell r="D12">
            <v>0</v>
          </cell>
          <cell r="E12">
            <v>117</v>
          </cell>
          <cell r="F12" t="str">
            <v>kW</v>
          </cell>
          <cell r="G12">
            <v>106.28</v>
          </cell>
          <cell r="H12">
            <v>0</v>
          </cell>
          <cell r="I12">
            <v>0</v>
          </cell>
          <cell r="J12">
            <v>17.8734</v>
          </cell>
          <cell r="K12">
            <v>0</v>
          </cell>
          <cell r="L12">
            <v>0</v>
          </cell>
          <cell r="M12">
            <v>-0.02</v>
          </cell>
          <cell r="N12">
            <v>4.7E-2</v>
          </cell>
          <cell r="O12">
            <v>1.6718177000000001</v>
          </cell>
          <cell r="P12">
            <v>1.2769135</v>
          </cell>
          <cell r="Q12">
            <v>107.62</v>
          </cell>
          <cell r="R12">
            <v>0</v>
          </cell>
          <cell r="S12">
            <v>18.352900000000002</v>
          </cell>
          <cell r="T12">
            <v>1.9E-3</v>
          </cell>
          <cell r="U12">
            <v>1.9E-3</v>
          </cell>
          <cell r="V12">
            <v>-0.02</v>
          </cell>
          <cell r="W12">
            <v>4.7E-2</v>
          </cell>
          <cell r="X12">
            <v>1.5908</v>
          </cell>
          <cell r="Y12">
            <v>1.2918000000000001</v>
          </cell>
        </row>
        <row r="13">
          <cell r="A13" t="str">
            <v>UGd</v>
          </cell>
          <cell r="B13">
            <v>1.05</v>
          </cell>
          <cell r="C13">
            <v>36000</v>
          </cell>
          <cell r="D13">
            <v>0</v>
          </cell>
          <cell r="E13">
            <v>117</v>
          </cell>
          <cell r="F13" t="str">
            <v>kW</v>
          </cell>
          <cell r="G13">
            <v>105.1</v>
          </cell>
          <cell r="H13">
            <v>0</v>
          </cell>
          <cell r="I13">
            <v>0</v>
          </cell>
          <cell r="J13">
            <v>10.236800000000001</v>
          </cell>
          <cell r="K13">
            <v>0</v>
          </cell>
          <cell r="L13">
            <v>0</v>
          </cell>
          <cell r="M13">
            <v>0.01</v>
          </cell>
          <cell r="N13">
            <v>6.4600000000000005E-2</v>
          </cell>
          <cell r="O13">
            <v>2.2310400000000001</v>
          </cell>
          <cell r="P13">
            <v>1.7046749999999999</v>
          </cell>
          <cell r="Q13">
            <v>106.7</v>
          </cell>
          <cell r="R13">
            <v>0</v>
          </cell>
          <cell r="S13">
            <v>10.513299999999999</v>
          </cell>
          <cell r="T13">
            <v>1.9E-3</v>
          </cell>
          <cell r="U13">
            <v>1.9E-3</v>
          </cell>
          <cell r="V13">
            <v>0.01</v>
          </cell>
          <cell r="W13">
            <v>6.4600000000000005E-2</v>
          </cell>
          <cell r="X13">
            <v>2.1349</v>
          </cell>
          <cell r="Y13">
            <v>1.7284999999999999</v>
          </cell>
        </row>
        <row r="14">
          <cell r="A14" t="str">
            <v>Dgen</v>
          </cell>
          <cell r="B14">
            <v>1.0609999999999999</v>
          </cell>
          <cell r="C14">
            <v>2000</v>
          </cell>
          <cell r="D14">
            <v>0</v>
          </cell>
          <cell r="E14">
            <v>15</v>
          </cell>
          <cell r="F14" t="str">
            <v>kW</v>
          </cell>
          <cell r="G14">
            <v>198.03</v>
          </cell>
          <cell r="H14">
            <v>0</v>
          </cell>
          <cell r="I14">
            <v>0</v>
          </cell>
          <cell r="J14">
            <v>10.379</v>
          </cell>
          <cell r="K14">
            <v>0</v>
          </cell>
          <cell r="L14">
            <v>0</v>
          </cell>
          <cell r="M14">
            <v>0.01</v>
          </cell>
          <cell r="N14">
            <v>1.72E-2</v>
          </cell>
          <cell r="O14">
            <v>0.63108279999999994</v>
          </cell>
          <cell r="P14">
            <v>0.54747599999999996</v>
          </cell>
          <cell r="Q14">
            <v>198.03</v>
          </cell>
          <cell r="R14">
            <v>0</v>
          </cell>
          <cell r="S14">
            <v>11.1084</v>
          </cell>
          <cell r="T14">
            <v>1.9E-3</v>
          </cell>
          <cell r="U14">
            <v>1.9E-3</v>
          </cell>
          <cell r="V14">
            <v>0.01</v>
          </cell>
          <cell r="W14">
            <v>1.72E-2</v>
          </cell>
          <cell r="X14">
            <v>0.63949999999999996</v>
          </cell>
          <cell r="Y14">
            <v>0.55430000000000001</v>
          </cell>
        </row>
        <row r="15">
          <cell r="A15" t="str">
            <v>ST</v>
          </cell>
          <cell r="B15">
            <v>1.034</v>
          </cell>
          <cell r="C15">
            <v>36000</v>
          </cell>
          <cell r="D15">
            <v>0</v>
          </cell>
          <cell r="E15">
            <v>117</v>
          </cell>
          <cell r="F15" t="str">
            <v>kW</v>
          </cell>
          <cell r="G15">
            <v>1256.8800000000001</v>
          </cell>
          <cell r="H15">
            <v>0</v>
          </cell>
          <cell r="I15">
            <v>0</v>
          </cell>
          <cell r="J15">
            <v>1.4140356552332787</v>
          </cell>
          <cell r="K15">
            <v>0</v>
          </cell>
          <cell r="L15">
            <v>0</v>
          </cell>
          <cell r="M15">
            <v>3.83</v>
          </cell>
          <cell r="N15">
            <v>0.27289999999999998</v>
          </cell>
          <cell r="O15">
            <v>3.4866480000000002</v>
          </cell>
          <cell r="P15">
            <v>2.6021643999999999</v>
          </cell>
          <cell r="Q15">
            <v>1269.2</v>
          </cell>
          <cell r="R15">
            <v>0</v>
          </cell>
          <cell r="S15">
            <v>1.4475424689830076</v>
          </cell>
          <cell r="T15">
            <v>1.9E-3</v>
          </cell>
          <cell r="U15">
            <v>1.9E-3</v>
          </cell>
          <cell r="V15">
            <v>3.83</v>
          </cell>
          <cell r="W15">
            <v>0.27289999999999998</v>
          </cell>
          <cell r="X15">
            <v>3.5367000000000002</v>
          </cell>
          <cell r="Y15">
            <v>2.6514000000000002</v>
          </cell>
        </row>
        <row r="16">
          <cell r="A16" t="str">
            <v>AUR</v>
          </cell>
          <cell r="B16">
            <v>1.0569999999999999</v>
          </cell>
          <cell r="C16">
            <v>750</v>
          </cell>
          <cell r="D16">
            <v>600</v>
          </cell>
          <cell r="E16">
            <v>0</v>
          </cell>
          <cell r="F16" t="str">
            <v>kWh</v>
          </cell>
          <cell r="G16">
            <v>29.98</v>
          </cell>
          <cell r="H16">
            <v>0</v>
          </cell>
          <cell r="I16">
            <v>0.79</v>
          </cell>
          <cell r="J16">
            <v>0</v>
          </cell>
          <cell r="K16">
            <v>0</v>
          </cell>
          <cell r="L16">
            <v>0</v>
          </cell>
          <cell r="M16">
            <v>0</v>
          </cell>
          <cell r="N16">
            <v>0</v>
          </cell>
          <cell r="O16">
            <v>7.1999999999999998E-3</v>
          </cell>
          <cell r="P16">
            <v>5.5688910375990336E-3</v>
          </cell>
          <cell r="Q16">
            <v>30.76</v>
          </cell>
          <cell r="R16">
            <v>0.79</v>
          </cell>
          <cell r="S16">
            <v>0</v>
          </cell>
          <cell r="T16">
            <v>0</v>
          </cell>
          <cell r="U16">
            <v>0</v>
          </cell>
          <cell r="V16">
            <v>0</v>
          </cell>
          <cell r="W16">
            <v>0</v>
          </cell>
          <cell r="X16">
            <v>7.3000000000000001E-3</v>
          </cell>
          <cell r="Y16">
            <v>6.1999999999999998E-3</v>
          </cell>
        </row>
        <row r="17">
          <cell r="A17" t="str">
            <v>AUGe</v>
          </cell>
          <cell r="B17">
            <v>1.0569999999999999</v>
          </cell>
          <cell r="C17">
            <v>2000</v>
          </cell>
          <cell r="D17">
            <v>750</v>
          </cell>
          <cell r="E17">
            <v>0</v>
          </cell>
          <cell r="F17" t="str">
            <v>kWh</v>
          </cell>
          <cell r="G17">
            <v>25.19</v>
          </cell>
          <cell r="H17">
            <v>0</v>
          </cell>
          <cell r="I17">
            <v>0.79</v>
          </cell>
          <cell r="J17">
            <v>1.4500000000000001E-2</v>
          </cell>
          <cell r="K17">
            <v>0</v>
          </cell>
          <cell r="L17">
            <v>0</v>
          </cell>
          <cell r="M17">
            <v>0</v>
          </cell>
          <cell r="N17">
            <v>0</v>
          </cell>
          <cell r="O17">
            <v>6.4999999999999997E-3</v>
          </cell>
          <cell r="P17">
            <v>5.2595081845627977E-3</v>
          </cell>
          <cell r="Q17">
            <v>30.24</v>
          </cell>
          <cell r="R17">
            <v>0.79</v>
          </cell>
          <cell r="S17">
            <v>1.7399999999999999E-2</v>
          </cell>
          <cell r="T17">
            <v>0</v>
          </cell>
          <cell r="U17">
            <v>0</v>
          </cell>
          <cell r="V17">
            <v>0</v>
          </cell>
          <cell r="W17">
            <v>0</v>
          </cell>
          <cell r="X17">
            <v>5.5999999999999999E-3</v>
          </cell>
          <cell r="Y17">
            <v>4.5999999999999999E-3</v>
          </cell>
        </row>
        <row r="18">
          <cell r="A18" t="str">
            <v>AUGd</v>
          </cell>
          <cell r="B18">
            <v>1.0465</v>
          </cell>
          <cell r="C18">
            <v>36000</v>
          </cell>
          <cell r="D18">
            <v>0</v>
          </cell>
          <cell r="E18">
            <v>117</v>
          </cell>
          <cell r="F18" t="str">
            <v>kW</v>
          </cell>
          <cell r="G18">
            <v>139.96</v>
          </cell>
          <cell r="H18">
            <v>0</v>
          </cell>
          <cell r="I18">
            <v>0</v>
          </cell>
          <cell r="J18">
            <v>2.5777000000000001</v>
          </cell>
          <cell r="K18">
            <v>0</v>
          </cell>
          <cell r="L18">
            <v>0</v>
          </cell>
          <cell r="M18">
            <v>0</v>
          </cell>
          <cell r="N18">
            <v>0</v>
          </cell>
          <cell r="O18">
            <v>2.7930999999999999</v>
          </cell>
          <cell r="P18">
            <v>2.2465318947278483</v>
          </cell>
          <cell r="Q18">
            <v>209.83</v>
          </cell>
          <cell r="R18">
            <v>0</v>
          </cell>
          <cell r="S18">
            <v>3.86</v>
          </cell>
          <cell r="T18">
            <v>0</v>
          </cell>
          <cell r="U18">
            <v>0</v>
          </cell>
          <cell r="V18">
            <v>0</v>
          </cell>
          <cell r="W18">
            <v>0</v>
          </cell>
          <cell r="X18">
            <v>1.8612</v>
          </cell>
          <cell r="Y18">
            <v>1.5062</v>
          </cell>
        </row>
        <row r="19">
          <cell r="A19" t="str">
            <v>AR</v>
          </cell>
          <cell r="B19">
            <v>1.0667</v>
          </cell>
          <cell r="C19">
            <v>750</v>
          </cell>
          <cell r="D19">
            <v>600</v>
          </cell>
          <cell r="E19">
            <v>0</v>
          </cell>
          <cell r="F19" t="str">
            <v>kWh</v>
          </cell>
          <cell r="G19">
            <v>36.183594907627622</v>
          </cell>
          <cell r="H19">
            <v>0</v>
          </cell>
          <cell r="I19">
            <v>0.79</v>
          </cell>
          <cell r="J19">
            <v>0</v>
          </cell>
          <cell r="K19">
            <v>0</v>
          </cell>
          <cell r="L19">
            <v>0</v>
          </cell>
          <cell r="M19">
            <v>0</v>
          </cell>
          <cell r="N19">
            <v>0</v>
          </cell>
          <cell r="O19">
            <v>6.5444567943617011E-3</v>
          </cell>
          <cell r="P19">
            <v>5.4157299366720292E-3</v>
          </cell>
          <cell r="Q19">
            <v>40.08</v>
          </cell>
          <cell r="R19">
            <v>0.79</v>
          </cell>
          <cell r="S19">
            <v>0</v>
          </cell>
          <cell r="T19">
            <v>0</v>
          </cell>
          <cell r="U19">
            <v>0</v>
          </cell>
          <cell r="V19">
            <v>0</v>
          </cell>
          <cell r="W19">
            <v>0</v>
          </cell>
          <cell r="X19">
            <v>7.1000000000000004E-3</v>
          </cell>
          <cell r="Y19">
            <v>6.0000000000000001E-3</v>
          </cell>
        </row>
        <row r="20">
          <cell r="A20" t="str">
            <v>AGSe</v>
          </cell>
          <cell r="B20">
            <v>1.0667</v>
          </cell>
          <cell r="C20">
            <v>2000</v>
          </cell>
          <cell r="D20">
            <v>750</v>
          </cell>
          <cell r="E20">
            <v>0</v>
          </cell>
          <cell r="F20" t="str">
            <v>kWh</v>
          </cell>
          <cell r="G20">
            <v>37.64447069341503</v>
          </cell>
          <cell r="H20">
            <v>0</v>
          </cell>
          <cell r="I20">
            <v>0</v>
          </cell>
          <cell r="J20">
            <v>1.7265913381700172E-2</v>
          </cell>
          <cell r="K20">
            <v>0</v>
          </cell>
          <cell r="L20">
            <v>0</v>
          </cell>
          <cell r="M20">
            <v>0</v>
          </cell>
          <cell r="N20">
            <v>0</v>
          </cell>
          <cell r="O20">
            <v>5.8707628331982429E-3</v>
          </cell>
          <cell r="P20">
            <v>4.9991353519971207E-3</v>
          </cell>
          <cell r="Q20">
            <v>40.82</v>
          </cell>
          <cell r="R20">
            <v>0.79</v>
          </cell>
          <cell r="S20">
            <v>1.8700000000000001E-2</v>
          </cell>
          <cell r="T20">
            <v>0</v>
          </cell>
          <cell r="U20">
            <v>0</v>
          </cell>
          <cell r="V20">
            <v>0</v>
          </cell>
          <cell r="W20">
            <v>0</v>
          </cell>
          <cell r="X20">
            <v>5.3E-3</v>
          </cell>
          <cell r="Y20">
            <v>4.4000000000000003E-3</v>
          </cell>
        </row>
        <row r="21">
          <cell r="A21" t="str">
            <v>AGSd</v>
          </cell>
          <cell r="B21">
            <v>1.0563</v>
          </cell>
          <cell r="C21">
            <v>36000</v>
          </cell>
          <cell r="D21">
            <v>0</v>
          </cell>
          <cell r="E21">
            <v>117</v>
          </cell>
          <cell r="F21" t="str">
            <v>kW</v>
          </cell>
          <cell r="G21">
            <v>245.55</v>
          </cell>
          <cell r="H21">
            <v>0</v>
          </cell>
          <cell r="I21">
            <v>0</v>
          </cell>
          <cell r="J21">
            <v>3.9470106138249523</v>
          </cell>
          <cell r="K21">
            <v>0</v>
          </cell>
          <cell r="L21">
            <v>0</v>
          </cell>
          <cell r="M21">
            <v>0</v>
          </cell>
          <cell r="N21">
            <v>0</v>
          </cell>
          <cell r="O21">
            <v>2.503832177640037</v>
          </cell>
          <cell r="P21">
            <v>2.1172379802527086</v>
          </cell>
          <cell r="Q21">
            <v>208.51</v>
          </cell>
          <cell r="R21">
            <v>0</v>
          </cell>
          <cell r="S21">
            <v>5.14</v>
          </cell>
          <cell r="T21">
            <v>0</v>
          </cell>
          <cell r="U21">
            <v>0</v>
          </cell>
          <cell r="V21">
            <v>0</v>
          </cell>
          <cell r="W21">
            <v>0</v>
          </cell>
          <cell r="X21">
            <v>1.8483000000000001</v>
          </cell>
          <cell r="Y21">
            <v>1.5101</v>
          </cell>
        </row>
        <row r="22">
          <cell r="A22" t="str">
            <v>WHSI_RES</v>
          </cell>
          <cell r="B22">
            <v>1.0430999999999999</v>
          </cell>
          <cell r="C22">
            <v>750</v>
          </cell>
          <cell r="D22">
            <v>0</v>
          </cell>
          <cell r="E22">
            <v>0</v>
          </cell>
          <cell r="F22" t="str">
            <v>kWh</v>
          </cell>
          <cell r="G22">
            <v>29.98</v>
          </cell>
          <cell r="H22">
            <v>0</v>
          </cell>
          <cell r="I22">
            <v>0.79</v>
          </cell>
          <cell r="J22">
            <v>0</v>
          </cell>
          <cell r="K22">
            <v>-0.3</v>
          </cell>
          <cell r="L22">
            <v>0</v>
          </cell>
          <cell r="M22">
            <v>0</v>
          </cell>
          <cell r="N22">
            <v>0</v>
          </cell>
          <cell r="O22">
            <v>7.1999999999999998E-3</v>
          </cell>
          <cell r="P22">
            <v>5.5688910375990336E-3</v>
          </cell>
          <cell r="Q22">
            <v>0</v>
          </cell>
          <cell r="R22">
            <v>0</v>
          </cell>
          <cell r="S22">
            <v>0</v>
          </cell>
          <cell r="T22">
            <v>0</v>
          </cell>
          <cell r="U22">
            <v>0</v>
          </cell>
          <cell r="V22">
            <v>0</v>
          </cell>
          <cell r="W22">
            <v>0</v>
          </cell>
          <cell r="X22">
            <v>0</v>
          </cell>
          <cell r="Y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Design"/>
      <sheetName val="Rate Design_2022_v6"/>
    </sheetNames>
    <sheetDataSet>
      <sheetData sheetId="0">
        <row r="5">
          <cell r="C5" t="str">
            <v>Number of Customers</v>
          </cell>
          <cell r="D5" t="str">
            <v>GWh</v>
          </cell>
          <cell r="E5" t="str">
            <v>kWs</v>
          </cell>
        </row>
        <row r="8">
          <cell r="A8" t="str">
            <v>UR</v>
          </cell>
          <cell r="C8">
            <v>236736.51410973314</v>
          </cell>
          <cell r="D8">
            <v>2090.4112226667548</v>
          </cell>
          <cell r="E8">
            <v>0</v>
          </cell>
          <cell r="T8" t="str">
            <v>UR</v>
          </cell>
          <cell r="U8">
            <v>37.472207144933236</v>
          </cell>
          <cell r="V8">
            <v>106452476.34587196</v>
          </cell>
          <cell r="W8">
            <v>0</v>
          </cell>
          <cell r="X8">
            <v>-3.5900029645684846E-16</v>
          </cell>
          <cell r="Y8">
            <v>0</v>
          </cell>
        </row>
        <row r="9">
          <cell r="A9" t="str">
            <v>R1</v>
          </cell>
          <cell r="C9">
            <v>461272.03919284471</v>
          </cell>
          <cell r="D9">
            <v>4997.6791200159278</v>
          </cell>
          <cell r="E9">
            <v>0</v>
          </cell>
          <cell r="T9" t="str">
            <v>R1</v>
          </cell>
          <cell r="U9">
            <v>58.342778587129459</v>
          </cell>
          <cell r="V9">
            <v>322942709.41274208</v>
          </cell>
          <cell r="W9">
            <v>33116261.747093901</v>
          </cell>
          <cell r="X9">
            <v>0.66263281318846179</v>
          </cell>
          <cell r="Y9">
            <v>0</v>
          </cell>
        </row>
        <row r="10">
          <cell r="A10" t="str">
            <v>R2</v>
          </cell>
          <cell r="C10">
            <v>335222.50993507612</v>
          </cell>
          <cell r="D10">
            <v>4408.4370975753654</v>
          </cell>
          <cell r="E10">
            <v>0</v>
          </cell>
          <cell r="T10" t="str">
            <v>R2</v>
          </cell>
          <cell r="U10">
            <v>131.77826629904257</v>
          </cell>
          <cell r="V10">
            <v>530100494.20389485</v>
          </cell>
          <cell r="W10">
            <v>51764790.327336095</v>
          </cell>
          <cell r="X10">
            <v>1.1742209127993835</v>
          </cell>
          <cell r="Y10">
            <v>0</v>
          </cell>
        </row>
        <row r="11">
          <cell r="A11" t="str">
            <v>Seasonal</v>
          </cell>
          <cell r="C11">
            <v>150700.60943742251</v>
          </cell>
          <cell r="D11">
            <v>600.0893023828487</v>
          </cell>
          <cell r="E11">
            <v>0</v>
          </cell>
          <cell r="T11" t="str">
            <v>Seasonal</v>
          </cell>
          <cell r="U11">
            <v>61.503836019932564</v>
          </cell>
          <cell r="V11">
            <v>111223986.85131763</v>
          </cell>
          <cell r="W11">
            <v>11038221.697319169</v>
          </cell>
          <cell r="X11">
            <v>1.8394298404401372</v>
          </cell>
          <cell r="Y11">
            <v>0</v>
          </cell>
        </row>
        <row r="12">
          <cell r="A12" t="str">
            <v>GSe</v>
          </cell>
          <cell r="C12">
            <v>88514.58987596113</v>
          </cell>
          <cell r="D12">
            <v>1999.4814047088983</v>
          </cell>
          <cell r="E12">
            <v>0</v>
          </cell>
          <cell r="T12" t="str">
            <v>GSe</v>
          </cell>
          <cell r="U12">
            <v>32.000016477933869</v>
          </cell>
          <cell r="V12">
            <v>33989620.014819779</v>
          </cell>
          <cell r="W12">
            <v>134182524.14653032</v>
          </cell>
          <cell r="X12">
            <v>6.7108663191626814</v>
          </cell>
          <cell r="Y12">
            <v>0</v>
          </cell>
        </row>
        <row r="13">
          <cell r="A13" t="str">
            <v>GSd</v>
          </cell>
          <cell r="C13">
            <v>5611.935954531652</v>
          </cell>
          <cell r="D13">
            <v>2296.9679265153522</v>
          </cell>
          <cell r="E13">
            <v>7871665.8042090014</v>
          </cell>
          <cell r="T13" t="str">
            <v>GSd</v>
          </cell>
          <cell r="U13">
            <v>109.33789380845295</v>
          </cell>
          <cell r="V13">
            <v>7363167.0894770501</v>
          </cell>
          <cell r="W13">
            <v>148382095.80409166</v>
          </cell>
          <cell r="X13">
            <v>0</v>
          </cell>
          <cell r="Y13">
            <v>18.850151860455171</v>
          </cell>
        </row>
        <row r="14">
          <cell r="A14" t="str">
            <v>UGe</v>
          </cell>
          <cell r="C14">
            <v>18501.266387692118</v>
          </cell>
          <cell r="D14">
            <v>588.5663730136489</v>
          </cell>
          <cell r="E14">
            <v>0</v>
          </cell>
          <cell r="T14" t="str">
            <v>UGe</v>
          </cell>
          <cell r="U14">
            <v>26.147306339229456</v>
          </cell>
          <cell r="V14">
            <v>5805099.3588320995</v>
          </cell>
          <cell r="W14">
            <v>18677702.49574836</v>
          </cell>
          <cell r="X14">
            <v>3.1734233133491005</v>
          </cell>
          <cell r="Y14">
            <v>0</v>
          </cell>
        </row>
        <row r="15">
          <cell r="A15" t="str">
            <v>UGd</v>
          </cell>
          <cell r="C15">
            <v>1783.2776977712454</v>
          </cell>
          <cell r="D15">
            <v>1043.9196519483387</v>
          </cell>
          <cell r="E15">
            <v>2764064.5555597679</v>
          </cell>
          <cell r="T15" t="str">
            <v>UGd</v>
          </cell>
          <cell r="U15">
            <v>108.62876735441776</v>
          </cell>
          <cell r="V15">
            <v>2324583.0979141719</v>
          </cell>
          <cell r="W15">
            <v>29851947.784853812</v>
          </cell>
          <cell r="X15">
            <v>0</v>
          </cell>
          <cell r="Y15">
            <v>10.800018300878037</v>
          </cell>
        </row>
        <row r="16">
          <cell r="A16" t="str">
            <v>St Lgt</v>
          </cell>
          <cell r="C16">
            <v>5481.1830550147579</v>
          </cell>
          <cell r="D16">
            <v>133.42999699318997</v>
          </cell>
          <cell r="E16">
            <v>0</v>
          </cell>
          <cell r="T16" t="str">
            <v>St Lgt</v>
          </cell>
          <cell r="U16">
            <v>4.8900649843612634</v>
          </cell>
          <cell r="V16">
            <v>321640.0959624236</v>
          </cell>
          <cell r="W16">
            <v>14656207.914498471</v>
          </cell>
          <cell r="X16">
            <v>10.984192643912371</v>
          </cell>
          <cell r="Y16">
            <v>0</v>
          </cell>
        </row>
        <row r="17">
          <cell r="A17" t="str">
            <v>Sen Lgt</v>
          </cell>
          <cell r="C17">
            <v>23605.205452826416</v>
          </cell>
          <cell r="D17">
            <v>20.49453279022655</v>
          </cell>
          <cell r="E17">
            <v>0</v>
          </cell>
          <cell r="T17" t="str">
            <v>Sen Lgt</v>
          </cell>
          <cell r="U17">
            <v>3.7641607652889517</v>
          </cell>
          <cell r="V17">
            <v>1066245.4586653681</v>
          </cell>
          <cell r="W17">
            <v>2871305.5975688417</v>
          </cell>
          <cell r="X17">
            <v>14.010105167843165</v>
          </cell>
          <cell r="Y17">
            <v>0</v>
          </cell>
        </row>
        <row r="18">
          <cell r="A18" t="str">
            <v>USL</v>
          </cell>
          <cell r="C18">
            <v>5975.077192279995</v>
          </cell>
          <cell r="D18">
            <v>26.397633172621855</v>
          </cell>
          <cell r="E18">
            <v>0</v>
          </cell>
          <cell r="T18" t="str">
            <v>USL</v>
          </cell>
          <cell r="U18">
            <v>38.489875156990223</v>
          </cell>
          <cell r="V18">
            <v>2759759.7022108403</v>
          </cell>
          <cell r="W18">
            <v>820714.78452621703</v>
          </cell>
          <cell r="X18">
            <v>3.1090468571910321</v>
          </cell>
          <cell r="Y18">
            <v>0</v>
          </cell>
        </row>
        <row r="19">
          <cell r="A19" t="str">
            <v>DGen</v>
          </cell>
          <cell r="C19">
            <v>1608.4591845445987</v>
          </cell>
          <cell r="D19">
            <v>20.936266143415974</v>
          </cell>
          <cell r="E19">
            <v>210569.15026733725</v>
          </cell>
          <cell r="T19" t="str">
            <v>Dgen</v>
          </cell>
          <cell r="U19">
            <v>198.03</v>
          </cell>
          <cell r="V19">
            <v>3822278.0677844025</v>
          </cell>
          <cell r="W19">
            <v>2504792.2696189531</v>
          </cell>
          <cell r="X19">
            <v>0</v>
          </cell>
          <cell r="Y19">
            <v>11.895343009357662</v>
          </cell>
        </row>
        <row r="20">
          <cell r="A20" t="str">
            <v>ST</v>
          </cell>
          <cell r="C20">
            <v>827.97657876549647</v>
          </cell>
          <cell r="D20">
            <v>15149.40505826596</v>
          </cell>
          <cell r="E20">
            <v>29499182.4844267</v>
          </cell>
          <cell r="T20" t="str">
            <v>ST</v>
          </cell>
          <cell r="U20">
            <v>1111.468124250413</v>
          </cell>
          <cell r="V20">
            <v>11043234.899085127</v>
          </cell>
          <cell r="W20">
            <v>47979225.81211514</v>
          </cell>
          <cell r="X20">
            <v>0</v>
          </cell>
          <cell r="Y20">
            <v>1.6264595073929415</v>
          </cell>
        </row>
        <row r="21">
          <cell r="A21" t="str">
            <v>AUR</v>
          </cell>
          <cell r="C21">
            <v>15466.739377888514</v>
          </cell>
          <cell r="D21">
            <v>91.767418545550527</v>
          </cell>
          <cell r="E21">
            <v>0</v>
          </cell>
          <cell r="T21" t="str">
            <v>AUR</v>
          </cell>
          <cell r="U21">
            <v>31.599905949400252</v>
          </cell>
          <cell r="V21">
            <v>5864970.1162219495</v>
          </cell>
          <cell r="W21">
            <v>0</v>
          </cell>
          <cell r="X21">
            <v>0</v>
          </cell>
          <cell r="Y21">
            <v>0</v>
          </cell>
        </row>
        <row r="22">
          <cell r="A22" t="str">
            <v>AUGe</v>
          </cell>
          <cell r="C22">
            <v>1352.1664874592414</v>
          </cell>
          <cell r="D22">
            <v>43.685011856968622</v>
          </cell>
          <cell r="E22">
            <v>0</v>
          </cell>
          <cell r="T22" t="str">
            <v>AUGe</v>
          </cell>
          <cell r="U22">
            <v>35.676705421380895</v>
          </cell>
          <cell r="V22">
            <v>578890.1454449601</v>
          </cell>
          <cell r="W22">
            <v>897962.9388320354</v>
          </cell>
          <cell r="X22">
            <v>2.0555401055449014</v>
          </cell>
          <cell r="Y22">
            <v>0</v>
          </cell>
        </row>
        <row r="23">
          <cell r="A23" t="str">
            <v>AUGd</v>
          </cell>
          <cell r="C23">
            <v>193.69999999999996</v>
          </cell>
          <cell r="D23">
            <v>142.60441376849562</v>
          </cell>
          <cell r="E23">
            <v>411709.72259682778</v>
          </cell>
          <cell r="T23" t="str">
            <v>AUGd</v>
          </cell>
          <cell r="U23">
            <v>282.77019824799402</v>
          </cell>
          <cell r="V23">
            <v>657271.04880763707</v>
          </cell>
          <cell r="W23">
            <v>2140241.0518336697</v>
          </cell>
          <cell r="X23">
            <v>0</v>
          </cell>
          <cell r="Y23">
            <v>5.1984224184317576</v>
          </cell>
        </row>
        <row r="24">
          <cell r="A24" t="str">
            <v>AR</v>
          </cell>
          <cell r="C24">
            <v>38017.903287695837</v>
          </cell>
          <cell r="D24">
            <v>284.06294900681206</v>
          </cell>
          <cell r="E24">
            <v>0</v>
          </cell>
          <cell r="T24" t="str">
            <v>AR</v>
          </cell>
          <cell r="U24">
            <v>41.167947857335349</v>
          </cell>
          <cell r="V24">
            <v>18781428.722316965</v>
          </cell>
          <cell r="W24">
            <v>-1.5133991837501526E-9</v>
          </cell>
          <cell r="X24">
            <v>-5.3276894753136577E-16</v>
          </cell>
          <cell r="Y24">
            <v>0</v>
          </cell>
        </row>
        <row r="25">
          <cell r="A25" t="str">
            <v>AGSe</v>
          </cell>
          <cell r="C25">
            <v>4336.6665686909555</v>
          </cell>
          <cell r="D25">
            <v>102.30005609821755</v>
          </cell>
          <cell r="E25">
            <v>0</v>
          </cell>
          <cell r="T25" t="str">
            <v>AGSe</v>
          </cell>
          <cell r="U25">
            <v>42.916298375773067</v>
          </cell>
          <cell r="V25">
            <v>2233364.1170181721</v>
          </cell>
          <cell r="W25">
            <v>2036515.9118055606</v>
          </cell>
          <cell r="X25">
            <v>1.9907280498950228</v>
          </cell>
          <cell r="Y25">
            <v>0</v>
          </cell>
        </row>
        <row r="26">
          <cell r="A26" t="str">
            <v>AGSd</v>
          </cell>
          <cell r="C26">
            <v>370.53930633139191</v>
          </cell>
          <cell r="D26">
            <v>235.70649378290264</v>
          </cell>
          <cell r="E26">
            <v>662981.05756921333</v>
          </cell>
          <cell r="T26" t="str">
            <v>AGSd</v>
          </cell>
          <cell r="U26">
            <v>252.29582169754335</v>
          </cell>
          <cell r="V26">
            <v>1121826.2251453949</v>
          </cell>
          <cell r="W26">
            <v>4192606.873057073</v>
          </cell>
          <cell r="X26">
            <v>0</v>
          </cell>
          <cell r="Y26">
            <v>6.3238712858992612</v>
          </cell>
        </row>
        <row r="27">
          <cell r="U27">
            <v>0</v>
          </cell>
          <cell r="V27">
            <v>1168453044.9735329</v>
          </cell>
          <cell r="W27">
            <v>505113117.15682924</v>
          </cell>
          <cell r="X27">
            <v>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peak"/>
      <sheetName val="tx_peak"/>
      <sheetName val="TotTXPk"/>
      <sheetName val="TotST"/>
      <sheetName val="Hourly load shapes by class"/>
      <sheetName val="st_cdet"/>
      <sheetName val="Line Loss Factors"/>
      <sheetName val="Summary"/>
      <sheetName val="Evidence-Table1"/>
      <sheetName val="Evidence-Table2"/>
      <sheetName val="YEAR OVER YEAR"/>
      <sheetName val="DRO Exhibit 3.4"/>
      <sheetName val="RTSR Calculation_2021_v6"/>
    </sheetNames>
    <sheetDataSet>
      <sheetData sheetId="0"/>
      <sheetData sheetId="1"/>
      <sheetData sheetId="2"/>
      <sheetData sheetId="3"/>
      <sheetData sheetId="4"/>
      <sheetData sheetId="5"/>
      <sheetData sheetId="6"/>
      <sheetData sheetId="7">
        <row r="18">
          <cell r="N18">
            <v>3.4203999999999999</v>
          </cell>
          <cell r="O18">
            <v>0.74860000000000004</v>
          </cell>
          <cell r="P18">
            <v>1.8156000000000001</v>
          </cell>
        </row>
        <row r="24">
          <cell r="B24" t="str">
            <v>Dgen</v>
          </cell>
          <cell r="C24">
            <v>21571753.001813445</v>
          </cell>
          <cell r="D24">
            <v>216960.63988932327</v>
          </cell>
          <cell r="E24">
            <v>0</v>
          </cell>
          <cell r="F24">
            <v>9.7862032903041872E-4</v>
          </cell>
          <cell r="G24">
            <v>1.0433415072145715E-3</v>
          </cell>
          <cell r="H24">
            <v>0</v>
          </cell>
          <cell r="I24">
            <v>130765.61336525108</v>
          </cell>
          <cell r="J24">
            <v>113345.83726706388</v>
          </cell>
          <cell r="K24">
            <v>0</v>
          </cell>
          <cell r="L24">
            <v>0</v>
          </cell>
          <cell r="M24">
            <v>0</v>
          </cell>
          <cell r="N24">
            <v>0</v>
          </cell>
          <cell r="O24">
            <v>0</v>
          </cell>
          <cell r="P24">
            <v>0.60270000000000001</v>
          </cell>
          <cell r="Q24">
            <v>0.52239999999999998</v>
          </cell>
        </row>
        <row r="25">
          <cell r="B25" t="str">
            <v>GSd</v>
          </cell>
          <cell r="C25">
            <v>2442131220.8262715</v>
          </cell>
          <cell r="D25">
            <v>8369137.6786148138</v>
          </cell>
          <cell r="E25">
            <v>0</v>
          </cell>
          <cell r="F25">
            <v>9.3903456581965819E-2</v>
          </cell>
          <cell r="G25">
            <v>9.379538689545136E-2</v>
          </cell>
          <cell r="H25">
            <v>0</v>
          </cell>
          <cell r="I25">
            <v>12547606.801939122</v>
          </cell>
          <cell r="J25">
            <v>10189680.546531454</v>
          </cell>
          <cell r="K25">
            <v>0</v>
          </cell>
          <cell r="L25">
            <v>0</v>
          </cell>
          <cell r="M25">
            <v>0</v>
          </cell>
          <cell r="N25">
            <v>0</v>
          </cell>
          <cell r="O25">
            <v>0</v>
          </cell>
          <cell r="P25">
            <v>1.4993000000000001</v>
          </cell>
          <cell r="Q25">
            <v>1.2175</v>
          </cell>
        </row>
        <row r="26">
          <cell r="B26" t="str">
            <v>GSe</v>
          </cell>
          <cell r="C26">
            <v>2211185962.2923179</v>
          </cell>
          <cell r="D26">
            <v>0</v>
          </cell>
          <cell r="E26">
            <v>0</v>
          </cell>
          <cell r="F26">
            <v>9.1147758549562738E-2</v>
          </cell>
          <cell r="G26">
            <v>9.1761192871509634E-2</v>
          </cell>
          <cell r="H26">
            <v>0</v>
          </cell>
          <cell r="I26">
            <v>12179383.771242809</v>
          </cell>
          <cell r="J26">
            <v>9968691.1358610373</v>
          </cell>
          <cell r="K26">
            <v>0</v>
          </cell>
          <cell r="L26">
            <v>0</v>
          </cell>
          <cell r="M26">
            <v>0</v>
          </cell>
          <cell r="N26">
            <v>0.55079999999999996</v>
          </cell>
          <cell r="O26">
            <v>0.45079999999999998</v>
          </cell>
          <cell r="P26">
            <v>0</v>
          </cell>
          <cell r="Q26">
            <v>0</v>
          </cell>
        </row>
        <row r="27">
          <cell r="B27" t="str">
            <v>R1</v>
          </cell>
          <cell r="C27">
            <v>5348993479.9313517</v>
          </cell>
          <cell r="D27">
            <v>0</v>
          </cell>
          <cell r="E27">
            <v>0</v>
          </cell>
          <cell r="F27">
            <v>0.28909531759989604</v>
          </cell>
          <cell r="G27">
            <v>0.28830928181207444</v>
          </cell>
          <cell r="H27">
            <v>0</v>
          </cell>
          <cell r="I27">
            <v>38629614.985034108</v>
          </cell>
          <cell r="J27">
            <v>31321151.044875301</v>
          </cell>
          <cell r="K27">
            <v>0</v>
          </cell>
          <cell r="L27">
            <v>0</v>
          </cell>
          <cell r="M27">
            <v>0</v>
          </cell>
          <cell r="N27">
            <v>0.72219999999999995</v>
          </cell>
          <cell r="O27">
            <v>0.58560000000000001</v>
          </cell>
          <cell r="P27">
            <v>0</v>
          </cell>
          <cell r="Q27">
            <v>0</v>
          </cell>
        </row>
        <row r="28">
          <cell r="B28" t="str">
            <v>R2</v>
          </cell>
          <cell r="C28">
            <v>4890720496.5432253</v>
          </cell>
          <cell r="D28">
            <v>0</v>
          </cell>
          <cell r="E28">
            <v>0</v>
          </cell>
          <cell r="F28">
            <v>0.24871198827273619</v>
          </cell>
          <cell r="G28">
            <v>0.24746513396020217</v>
          </cell>
          <cell r="H28">
            <v>0</v>
          </cell>
          <cell r="I28">
            <v>33233496.927248646</v>
          </cell>
          <cell r="J28">
            <v>26883951.811721325</v>
          </cell>
          <cell r="K28">
            <v>0</v>
          </cell>
          <cell r="L28">
            <v>0</v>
          </cell>
          <cell r="M28">
            <v>0</v>
          </cell>
          <cell r="N28">
            <v>0.67949999999999999</v>
          </cell>
          <cell r="O28">
            <v>0.54969999999999997</v>
          </cell>
          <cell r="P28">
            <v>0</v>
          </cell>
          <cell r="Q28">
            <v>0</v>
          </cell>
        </row>
        <row r="29">
          <cell r="B29" t="str">
            <v>Seasonal</v>
          </cell>
          <cell r="C29">
            <v>668464339.66750121</v>
          </cell>
          <cell r="D29">
            <v>0</v>
          </cell>
          <cell r="E29">
            <v>0</v>
          </cell>
          <cell r="F29">
            <v>2.8961132022982873E-2</v>
          </cell>
          <cell r="G29">
            <v>2.905535218675858E-2</v>
          </cell>
          <cell r="H29">
            <v>0</v>
          </cell>
          <cell r="I29">
            <v>3869856.4503452638</v>
          </cell>
          <cell r="J29">
            <v>3156495.9295923733</v>
          </cell>
          <cell r="K29">
            <v>0</v>
          </cell>
          <cell r="L29">
            <v>0</v>
          </cell>
          <cell r="M29">
            <v>0</v>
          </cell>
          <cell r="N29">
            <v>0.57889999999999997</v>
          </cell>
          <cell r="O29">
            <v>0.47220000000000001</v>
          </cell>
          <cell r="P29">
            <v>0</v>
          </cell>
          <cell r="Q29">
            <v>0</v>
          </cell>
        </row>
        <row r="30">
          <cell r="B30" t="str">
            <v>UGd</v>
          </cell>
          <cell r="C30">
            <v>1096051249.5345447</v>
          </cell>
          <cell r="D30">
            <v>2910327.1735335714</v>
          </cell>
          <cell r="E30">
            <v>0</v>
          </cell>
          <cell r="F30">
            <v>4.4282485793168611E-2</v>
          </cell>
          <cell r="G30">
            <v>4.4100988302116152E-2</v>
          </cell>
          <cell r="H30">
            <v>0</v>
          </cell>
          <cell r="I30">
            <v>5917132.7677393043</v>
          </cell>
          <cell r="J30">
            <v>4791013.6890397193</v>
          </cell>
          <cell r="K30">
            <v>0</v>
          </cell>
          <cell r="L30">
            <v>0</v>
          </cell>
          <cell r="M30">
            <v>0</v>
          </cell>
          <cell r="N30">
            <v>0</v>
          </cell>
          <cell r="O30">
            <v>0</v>
          </cell>
          <cell r="P30">
            <v>2.0331999999999999</v>
          </cell>
          <cell r="Q30">
            <v>1.6462000000000001</v>
          </cell>
        </row>
        <row r="31">
          <cell r="B31" t="str">
            <v>UGe</v>
          </cell>
          <cell r="C31">
            <v>628464080.90106177</v>
          </cell>
          <cell r="D31">
            <v>0</v>
          </cell>
          <cell r="E31">
            <v>0</v>
          </cell>
          <cell r="F31">
            <v>2.7310182917384154E-2</v>
          </cell>
          <cell r="G31">
            <v>2.711823225206568E-2</v>
          </cell>
          <cell r="H31">
            <v>0</v>
          </cell>
          <cell r="I31">
            <v>3649252.641059672</v>
          </cell>
          <cell r="J31">
            <v>2946052.388943193</v>
          </cell>
          <cell r="K31">
            <v>0</v>
          </cell>
          <cell r="L31">
            <v>0</v>
          </cell>
          <cell r="M31">
            <v>0</v>
          </cell>
          <cell r="N31">
            <v>0.58069999999999999</v>
          </cell>
          <cell r="O31">
            <v>0.46879999999999999</v>
          </cell>
          <cell r="P31">
            <v>0</v>
          </cell>
          <cell r="Q31">
            <v>0</v>
          </cell>
        </row>
        <row r="32">
          <cell r="B32" t="str">
            <v>UR</v>
          </cell>
          <cell r="C32">
            <v>2193664954.7850957</v>
          </cell>
          <cell r="D32">
            <v>0</v>
          </cell>
          <cell r="E32">
            <v>0</v>
          </cell>
          <cell r="F32">
            <v>0.12702099109321555</v>
          </cell>
          <cell r="G32">
            <v>0.12688761284148564</v>
          </cell>
          <cell r="H32">
            <v>0</v>
          </cell>
          <cell r="I32">
            <v>16972851.797410529</v>
          </cell>
          <cell r="J32">
            <v>13784731.669243775</v>
          </cell>
          <cell r="K32">
            <v>0</v>
          </cell>
          <cell r="L32">
            <v>0</v>
          </cell>
          <cell r="M32">
            <v>0</v>
          </cell>
          <cell r="N32">
            <v>0.77370000000000005</v>
          </cell>
          <cell r="O32">
            <v>0.62839999999999996</v>
          </cell>
          <cell r="P32">
            <v>0</v>
          </cell>
          <cell r="Q32">
            <v>0</v>
          </cell>
        </row>
        <row r="33">
          <cell r="B33" t="str">
            <v>STL</v>
          </cell>
          <cell r="C33">
            <v>145047762.38100258</v>
          </cell>
          <cell r="D33">
            <v>0</v>
          </cell>
          <cell r="E33">
            <v>0</v>
          </cell>
          <cell r="F33">
            <v>4.1640396489016351E-3</v>
          </cell>
          <cell r="G33">
            <v>4.8386297507617311E-3</v>
          </cell>
          <cell r="H33">
            <v>0</v>
          </cell>
          <cell r="I33">
            <v>556409.04098664178</v>
          </cell>
          <cell r="J33">
            <v>525655.82461066823</v>
          </cell>
          <cell r="M33">
            <v>0</v>
          </cell>
          <cell r="N33">
            <v>0.3836</v>
          </cell>
          <cell r="O33">
            <v>0.3624</v>
          </cell>
          <cell r="P33">
            <v>0</v>
          </cell>
          <cell r="Q33">
            <v>0</v>
          </cell>
        </row>
        <row r="34">
          <cell r="B34" t="str">
            <v>Sen LGT</v>
          </cell>
          <cell r="C34">
            <v>22493835.958795864</v>
          </cell>
          <cell r="D34">
            <v>0</v>
          </cell>
          <cell r="E34">
            <v>0</v>
          </cell>
          <cell r="F34">
            <v>6.4352512509107274E-4</v>
          </cell>
          <cell r="G34">
            <v>7.5145089945108769E-4</v>
          </cell>
          <cell r="H34">
            <v>0</v>
          </cell>
          <cell r="I34">
            <v>85989.382401097013</v>
          </cell>
          <cell r="J34">
            <v>81635.620527320876</v>
          </cell>
          <cell r="M34">
            <v>0</v>
          </cell>
          <cell r="N34">
            <v>0.38229999999999997</v>
          </cell>
          <cell r="O34">
            <v>0.3629</v>
          </cell>
          <cell r="P34">
            <v>0</v>
          </cell>
          <cell r="Q34">
            <v>0</v>
          </cell>
        </row>
        <row r="35">
          <cell r="B35" t="str">
            <v>USL</v>
          </cell>
          <cell r="C35">
            <v>28603366.889281474</v>
          </cell>
          <cell r="D35">
            <v>0</v>
          </cell>
          <cell r="E35">
            <v>0</v>
          </cell>
          <cell r="F35">
            <v>9.9817319407564985E-4</v>
          </cell>
          <cell r="G35">
            <v>9.9061657541342127E-4</v>
          </cell>
          <cell r="H35">
            <v>0</v>
          </cell>
          <cell r="I35">
            <v>133378.3144453736</v>
          </cell>
          <cell r="J35">
            <v>107617.94136862038</v>
          </cell>
          <cell r="K35">
            <v>0</v>
          </cell>
          <cell r="L35">
            <v>0</v>
          </cell>
          <cell r="M35">
            <v>0</v>
          </cell>
          <cell r="N35">
            <v>0.46629999999999999</v>
          </cell>
          <cell r="O35">
            <v>0.37619999999999998</v>
          </cell>
          <cell r="P35">
            <v>0</v>
          </cell>
          <cell r="Q35">
            <v>0</v>
          </cell>
        </row>
        <row r="36">
          <cell r="B36" t="str">
            <v>AR</v>
          </cell>
          <cell r="C36">
            <v>306393839.69230568</v>
          </cell>
          <cell r="D36">
            <v>0</v>
          </cell>
          <cell r="E36">
            <v>0</v>
          </cell>
          <cell r="F36">
            <v>1.6217267964024375E-2</v>
          </cell>
          <cell r="G36">
            <v>1.6995850486704007E-2</v>
          </cell>
          <cell r="H36">
            <v>0</v>
          </cell>
          <cell r="I36">
            <v>2166990.5371017149</v>
          </cell>
          <cell r="J36">
            <v>1846383.8447530675</v>
          </cell>
          <cell r="K36">
            <v>0</v>
          </cell>
          <cell r="L36">
            <v>0</v>
          </cell>
          <cell r="M36">
            <v>0</v>
          </cell>
          <cell r="N36">
            <v>0.70730000000000004</v>
          </cell>
          <cell r="O36">
            <v>0.60260000000000002</v>
          </cell>
          <cell r="P36">
            <v>0</v>
          </cell>
          <cell r="Q36">
            <v>0</v>
          </cell>
        </row>
        <row r="37">
          <cell r="B37" t="str">
            <v>AGSe</v>
          </cell>
          <cell r="C37">
            <v>110415369.43819664</v>
          </cell>
          <cell r="D37">
            <v>0</v>
          </cell>
          <cell r="E37">
            <v>0</v>
          </cell>
          <cell r="F37">
            <v>4.3566854431716E-3</v>
          </cell>
          <cell r="G37">
            <v>4.4345040104777573E-3</v>
          </cell>
          <cell r="H37">
            <v>0</v>
          </cell>
          <cell r="I37">
            <v>582150.83757787617</v>
          </cell>
          <cell r="J37">
            <v>481752.68256473535</v>
          </cell>
          <cell r="K37">
            <v>0</v>
          </cell>
          <cell r="L37">
            <v>0</v>
          </cell>
          <cell r="M37">
            <v>0</v>
          </cell>
          <cell r="N37">
            <v>0.5272</v>
          </cell>
          <cell r="O37">
            <v>0.43630000000000002</v>
          </cell>
          <cell r="P37">
            <v>0</v>
          </cell>
          <cell r="Q37">
            <v>0</v>
          </cell>
        </row>
        <row r="38">
          <cell r="B38" t="str">
            <v>AGSd</v>
          </cell>
          <cell r="C38">
            <v>249220085.79341075</v>
          </cell>
          <cell r="D38">
            <v>700994.62853510736</v>
          </cell>
          <cell r="E38">
            <v>0</v>
          </cell>
          <cell r="F38">
            <v>9.1797349434579716E-3</v>
          </cell>
          <cell r="G38">
            <v>9.2247061648397521E-3</v>
          </cell>
          <cell r="H38">
            <v>0</v>
          </cell>
          <cell r="I38">
            <v>1226618.3675144131</v>
          </cell>
          <cell r="J38">
            <v>1002147.4623278601</v>
          </cell>
          <cell r="K38">
            <v>0</v>
          </cell>
          <cell r="L38">
            <v>0</v>
          </cell>
          <cell r="M38">
            <v>0</v>
          </cell>
          <cell r="N38">
            <v>0</v>
          </cell>
          <cell r="O38">
            <v>0</v>
          </cell>
          <cell r="P38">
            <v>1.7498</v>
          </cell>
          <cell r="Q38">
            <v>1.4296</v>
          </cell>
        </row>
        <row r="39">
          <cell r="B39" t="str">
            <v>AUR</v>
          </cell>
          <cell r="C39">
            <v>98095516.039550081</v>
          </cell>
          <cell r="D39">
            <v>0</v>
          </cell>
          <cell r="E39">
            <v>0</v>
          </cell>
          <cell r="F39">
            <v>5.3919222337820627E-3</v>
          </cell>
          <cell r="G39">
            <v>5.5958889655995537E-3</v>
          </cell>
          <cell r="H39">
            <v>0</v>
          </cell>
          <cell r="I39">
            <v>720481.67936263059</v>
          </cell>
          <cell r="J39">
            <v>607922.44502256019</v>
          </cell>
          <cell r="K39">
            <v>0</v>
          </cell>
          <cell r="L39">
            <v>0</v>
          </cell>
          <cell r="M39">
            <v>0</v>
          </cell>
          <cell r="N39">
            <v>0.73450000000000004</v>
          </cell>
          <cell r="O39">
            <v>0.61970000000000003</v>
          </cell>
          <cell r="P39">
            <v>0</v>
          </cell>
          <cell r="Q39">
            <v>0</v>
          </cell>
        </row>
        <row r="40">
          <cell r="B40" t="str">
            <v>AUGe</v>
          </cell>
          <cell r="C40">
            <v>45751937.747050002</v>
          </cell>
          <cell r="D40">
            <v>0</v>
          </cell>
          <cell r="E40">
            <v>0</v>
          </cell>
          <cell r="F40">
            <v>1.9154857652768531E-3</v>
          </cell>
          <cell r="G40">
            <v>1.9366847975222405E-3</v>
          </cell>
          <cell r="H40">
            <v>0</v>
          </cell>
          <cell r="I40">
            <v>255951.83704900261</v>
          </cell>
          <cell r="J40">
            <v>210396.26850809011</v>
          </cell>
          <cell r="K40">
            <v>0</v>
          </cell>
          <cell r="L40">
            <v>0</v>
          </cell>
          <cell r="M40">
            <v>0</v>
          </cell>
          <cell r="N40">
            <v>0.55940000000000001</v>
          </cell>
          <cell r="O40">
            <v>0.45989999999999998</v>
          </cell>
          <cell r="P40">
            <v>0</v>
          </cell>
          <cell r="Q40">
            <v>0</v>
          </cell>
        </row>
        <row r="41">
          <cell r="B41" t="str">
            <v>AUGd</v>
          </cell>
          <cell r="C41">
            <v>148889412.53181222</v>
          </cell>
          <cell r="D41">
            <v>429854.9891351253</v>
          </cell>
          <cell r="E41">
            <v>0</v>
          </cell>
          <cell r="F41">
            <v>5.7212325222760103E-3</v>
          </cell>
          <cell r="G41">
            <v>5.6951457203521022E-3</v>
          </cell>
          <cell r="H41">
            <v>0</v>
          </cell>
          <cell r="I41">
            <v>764484.91594475182</v>
          </cell>
          <cell r="J41">
            <v>618705.43399984576</v>
          </cell>
          <cell r="K41">
            <v>0</v>
          </cell>
          <cell r="L41">
            <v>0</v>
          </cell>
          <cell r="M41">
            <v>0</v>
          </cell>
          <cell r="N41">
            <v>0</v>
          </cell>
          <cell r="O41">
            <v>0</v>
          </cell>
          <cell r="P41">
            <v>1.7785</v>
          </cell>
          <cell r="Q41">
            <v>1.4393</v>
          </cell>
        </row>
      </sheetData>
      <sheetData sheetId="8">
        <row r="6">
          <cell r="B6">
            <v>233443583.34156916</v>
          </cell>
        </row>
      </sheetData>
      <sheetData sheetId="9">
        <row r="4">
          <cell r="A4" t="str">
            <v>RATE CLASS</v>
          </cell>
        </row>
      </sheetData>
      <sheetData sheetId="10"/>
      <sheetData sheetId="11">
        <row r="22">
          <cell r="J22">
            <v>3.836E-3</v>
          </cell>
          <cell r="K22">
            <v>3.6240000000000001E-3</v>
          </cell>
        </row>
      </sheetData>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B5">
            <v>250.60464000000002</v>
          </cell>
        </row>
        <row r="7">
          <cell r="F7">
            <v>63.590321692096069</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CA_Extract"/>
      <sheetName val="ActualInputs_ScaleUp"/>
      <sheetName val="Charge_dets_SUMMARY"/>
      <sheetName val="Fixed"/>
      <sheetName val="HVDS High"/>
      <sheetName val="LVDS Low"/>
      <sheetName val="Specific Line"/>
      <sheetName val="Rate Calc"/>
      <sheetName val="Exhibit G1-4-4"/>
      <sheetName val="Exhibit G-7-1"/>
      <sheetName val="Sheet1"/>
      <sheetName val="DRO_EXHIBIT3.1.1."/>
      <sheetName val="Sheet2"/>
    </sheetNames>
    <sheetDataSet>
      <sheetData sheetId="0"/>
      <sheetData sheetId="1"/>
      <sheetData sheetId="2"/>
      <sheetData sheetId="3"/>
      <sheetData sheetId="4"/>
      <sheetData sheetId="5"/>
      <sheetData sheetId="6"/>
      <sheetData sheetId="7">
        <row r="16">
          <cell r="G16">
            <v>577.4</v>
          </cell>
          <cell r="H16">
            <v>722.88</v>
          </cell>
        </row>
        <row r="36">
          <cell r="D36">
            <v>1.4905974986544777</v>
          </cell>
        </row>
      </sheetData>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A9" t="str">
            <v>UR</v>
          </cell>
          <cell r="B9">
            <v>0</v>
          </cell>
          <cell r="C9">
            <v>225944.18649169474</v>
          </cell>
          <cell r="D9">
            <v>2047.2628889178184</v>
          </cell>
          <cell r="E9">
            <v>0</v>
          </cell>
          <cell r="F9">
            <v>1.0569999999999999</v>
          </cell>
          <cell r="G9">
            <v>170605240.74315152</v>
          </cell>
          <cell r="H9">
            <v>755</v>
          </cell>
          <cell r="I9">
            <v>0</v>
          </cell>
        </row>
        <row r="10">
          <cell r="A10" t="str">
            <v>R1</v>
          </cell>
          <cell r="B10">
            <v>0</v>
          </cell>
          <cell r="C10">
            <v>446101.51280686347</v>
          </cell>
          <cell r="D10">
            <v>4924.0683025766612</v>
          </cell>
          <cell r="E10">
            <v>0</v>
          </cell>
          <cell r="F10">
            <v>1.0760000000000001</v>
          </cell>
          <cell r="G10">
            <v>410339025.21472174</v>
          </cell>
          <cell r="H10">
            <v>920</v>
          </cell>
          <cell r="I10">
            <v>0</v>
          </cell>
        </row>
        <row r="11">
          <cell r="A11" t="str">
            <v>R2</v>
          </cell>
          <cell r="B11">
            <v>0</v>
          </cell>
          <cell r="C11">
            <v>328410.3530898749</v>
          </cell>
          <cell r="D11">
            <v>4539.3673058441782</v>
          </cell>
          <cell r="E11">
            <v>0</v>
          </cell>
          <cell r="F11">
            <v>1.105</v>
          </cell>
          <cell r="G11">
            <v>378280608.8203482</v>
          </cell>
          <cell r="H11">
            <v>1152</v>
          </cell>
          <cell r="I11">
            <v>0</v>
          </cell>
        </row>
        <row r="12">
          <cell r="A12" t="str">
            <v>Seasonal</v>
          </cell>
          <cell r="B12">
            <v>0</v>
          </cell>
          <cell r="C12">
            <v>149484.64840405117</v>
          </cell>
          <cell r="D12">
            <v>631.92121602545365</v>
          </cell>
          <cell r="E12">
            <v>0</v>
          </cell>
          <cell r="F12">
            <v>1.1040000000000001</v>
          </cell>
          <cell r="G12">
            <v>52660101.335454471</v>
          </cell>
          <cell r="H12">
            <v>352</v>
          </cell>
          <cell r="I12">
            <v>0</v>
          </cell>
        </row>
        <row r="13">
          <cell r="A13" t="str">
            <v>GSe</v>
          </cell>
          <cell r="B13">
            <v>0</v>
          </cell>
          <cell r="C13">
            <v>88483.899806478017</v>
          </cell>
          <cell r="D13">
            <v>2104.034979835551</v>
          </cell>
          <cell r="E13">
            <v>0</v>
          </cell>
          <cell r="F13">
            <v>1.0960000000000001</v>
          </cell>
          <cell r="G13">
            <v>175336248.31962925</v>
          </cell>
          <cell r="H13">
            <v>1982</v>
          </cell>
          <cell r="I13">
            <v>0</v>
          </cell>
        </row>
        <row r="14">
          <cell r="A14" t="str">
            <v>GSd</v>
          </cell>
          <cell r="B14">
            <v>0</v>
          </cell>
          <cell r="C14">
            <v>5405.649614848262</v>
          </cell>
          <cell r="D14">
            <v>2341.9790377935678</v>
          </cell>
          <cell r="E14">
            <v>8025918.0344505152</v>
          </cell>
          <cell r="F14">
            <v>1.0669999999999999</v>
          </cell>
          <cell r="G14">
            <v>195164919.81613064</v>
          </cell>
          <cell r="H14">
            <v>36104</v>
          </cell>
          <cell r="I14">
            <v>124</v>
          </cell>
        </row>
        <row r="15">
          <cell r="A15" t="str">
            <v>UGe</v>
          </cell>
          <cell r="B15">
            <v>0</v>
          </cell>
          <cell r="C15">
            <v>18073.874182670519</v>
          </cell>
          <cell r="D15">
            <v>598.36676536535117</v>
          </cell>
          <cell r="E15">
            <v>0</v>
          </cell>
          <cell r="F15">
            <v>1.0920000000000001</v>
          </cell>
          <cell r="G15">
            <v>49863897.113779269</v>
          </cell>
          <cell r="H15">
            <v>2759</v>
          </cell>
          <cell r="I15">
            <v>0</v>
          </cell>
        </row>
        <row r="16">
          <cell r="A16" t="str">
            <v>UGd</v>
          </cell>
          <cell r="B16">
            <v>0</v>
          </cell>
          <cell r="C16">
            <v>1744.2364648136806</v>
          </cell>
          <cell r="D16">
            <v>1057.5260278163953</v>
          </cell>
          <cell r="E16">
            <v>2832322.4440301014</v>
          </cell>
          <cell r="F16">
            <v>1.0920000000000001</v>
          </cell>
          <cell r="G16">
            <v>88127168.984699607</v>
          </cell>
          <cell r="H16">
            <v>50525</v>
          </cell>
          <cell r="I16">
            <v>135</v>
          </cell>
        </row>
        <row r="17">
          <cell r="A17" t="str">
            <v>St Lgt</v>
          </cell>
          <cell r="B17">
            <v>0</v>
          </cell>
          <cell r="C17">
            <v>19544.852415994977</v>
          </cell>
          <cell r="D17">
            <v>121.36784768686539</v>
          </cell>
          <cell r="E17">
            <v>0</v>
          </cell>
          <cell r="F17">
            <v>1.0920000000000001</v>
          </cell>
          <cell r="G17">
            <v>10113987.307238782</v>
          </cell>
          <cell r="H17">
            <v>517</v>
          </cell>
          <cell r="I17">
            <v>0</v>
          </cell>
        </row>
        <row r="18">
          <cell r="A18" t="str">
            <v>Sen Lgt</v>
          </cell>
          <cell r="B18">
            <v>0</v>
          </cell>
          <cell r="C18">
            <v>23986.843457437422</v>
          </cell>
          <cell r="D18">
            <v>20.385578156035042</v>
          </cell>
          <cell r="E18">
            <v>0</v>
          </cell>
          <cell r="F18">
            <v>1.0609999999999999</v>
          </cell>
          <cell r="G18">
            <v>1698798.1796695869</v>
          </cell>
          <cell r="H18">
            <v>71</v>
          </cell>
          <cell r="I18">
            <v>0</v>
          </cell>
        </row>
        <row r="19">
          <cell r="A19" t="str">
            <v>USL</v>
          </cell>
          <cell r="B19">
            <v>0</v>
          </cell>
          <cell r="C19">
            <v>5597.258733734303</v>
          </cell>
          <cell r="D19">
            <v>24.437189604035659</v>
          </cell>
          <cell r="E19">
            <v>0</v>
          </cell>
          <cell r="F19">
            <v>1.05</v>
          </cell>
          <cell r="G19">
            <v>2036432.4670029718</v>
          </cell>
          <cell r="H19">
            <v>364</v>
          </cell>
          <cell r="I19">
            <v>0</v>
          </cell>
        </row>
        <row r="20">
          <cell r="A20" t="str">
            <v>DGen</v>
          </cell>
          <cell r="B20">
            <v>0</v>
          </cell>
          <cell r="C20">
            <v>1152.4825649576753</v>
          </cell>
          <cell r="D20">
            <v>18.36807032833428</v>
          </cell>
          <cell r="E20">
            <v>184739.19535572777</v>
          </cell>
          <cell r="F20">
            <v>1.0609999999999999</v>
          </cell>
          <cell r="G20">
            <v>1530672.5273611899</v>
          </cell>
          <cell r="H20">
            <v>1328</v>
          </cell>
          <cell r="I20">
            <v>13</v>
          </cell>
        </row>
        <row r="21">
          <cell r="A21" t="str">
            <v>ST</v>
          </cell>
          <cell r="B21">
            <v>0</v>
          </cell>
          <cell r="C21">
            <v>808.24672285681027</v>
          </cell>
          <cell r="D21">
            <v>15528.383150724745</v>
          </cell>
          <cell r="E21">
            <v>29977946.365926702</v>
          </cell>
          <cell r="F21">
            <v>1.034</v>
          </cell>
          <cell r="G21">
            <v>1294031929.227062</v>
          </cell>
          <cell r="H21">
            <v>1601036</v>
          </cell>
          <cell r="I21">
            <v>3091</v>
          </cell>
        </row>
        <row r="22">
          <cell r="A22" t="str">
            <v>AUR</v>
          </cell>
          <cell r="B22">
            <v>0</v>
          </cell>
          <cell r="C22">
            <v>15311.903572352236</v>
          </cell>
          <cell r="D22">
            <v>92.804244895154866</v>
          </cell>
          <cell r="E22">
            <v>0</v>
          </cell>
          <cell r="F22">
            <v>0</v>
          </cell>
          <cell r="G22">
            <v>7733687.0745962383</v>
          </cell>
          <cell r="H22">
            <v>505</v>
          </cell>
          <cell r="I22">
            <v>0</v>
          </cell>
        </row>
        <row r="23">
          <cell r="A23" t="str">
            <v>AUGe</v>
          </cell>
          <cell r="B23">
            <v>0</v>
          </cell>
          <cell r="C23">
            <v>1338.5189081990445</v>
          </cell>
          <cell r="D23">
            <v>43.284078687074945</v>
          </cell>
          <cell r="E23">
            <v>0</v>
          </cell>
          <cell r="F23">
            <v>0</v>
          </cell>
          <cell r="G23">
            <v>3607006.5572562455</v>
          </cell>
          <cell r="H23">
            <v>2695</v>
          </cell>
          <cell r="I23">
            <v>0</v>
          </cell>
        </row>
        <row r="24">
          <cell r="A24" t="str">
            <v>AUGd</v>
          </cell>
          <cell r="B24">
            <v>0</v>
          </cell>
          <cell r="C24">
            <v>193.59999999999997</v>
          </cell>
          <cell r="D24">
            <v>142.27159249812493</v>
          </cell>
          <cell r="E24">
            <v>410748.84242995875</v>
          </cell>
          <cell r="F24">
            <v>0</v>
          </cell>
          <cell r="G24">
            <v>11855966.041510411</v>
          </cell>
          <cell r="H24">
            <v>61239</v>
          </cell>
          <cell r="I24">
            <v>177</v>
          </cell>
        </row>
        <row r="25">
          <cell r="A25" t="str">
            <v>AR</v>
          </cell>
          <cell r="B25">
            <v>0</v>
          </cell>
          <cell r="C25">
            <v>37768.854836221115</v>
          </cell>
          <cell r="D25">
            <v>287.24041877598773</v>
          </cell>
          <cell r="E25">
            <v>0</v>
          </cell>
          <cell r="F25">
            <v>0</v>
          </cell>
          <cell r="G25">
            <v>23936701.564665645</v>
          </cell>
          <cell r="H25">
            <v>634</v>
          </cell>
          <cell r="I25">
            <v>0</v>
          </cell>
        </row>
        <row r="26">
          <cell r="A26" t="str">
            <v>AGSe</v>
          </cell>
          <cell r="B26">
            <v>0</v>
          </cell>
          <cell r="C26">
            <v>4338.8425960310306</v>
          </cell>
          <cell r="D26">
            <v>103.5130373005651</v>
          </cell>
          <cell r="E26">
            <v>0</v>
          </cell>
          <cell r="F26">
            <v>0</v>
          </cell>
          <cell r="G26">
            <v>8626086.4417137597</v>
          </cell>
          <cell r="H26">
            <v>1988</v>
          </cell>
          <cell r="I26">
            <v>0</v>
          </cell>
        </row>
        <row r="27">
          <cell r="A27" t="str">
            <v>AGSd</v>
          </cell>
          <cell r="B27">
            <v>0</v>
          </cell>
          <cell r="C27">
            <v>364.81491330236395</v>
          </cell>
          <cell r="D27">
            <v>235.94113023110026</v>
          </cell>
          <cell r="E27">
            <v>663644.2019348524</v>
          </cell>
          <cell r="F27">
            <v>0</v>
          </cell>
          <cell r="G27">
            <v>19661760.85259169</v>
          </cell>
          <cell r="H27">
            <v>53895</v>
          </cell>
          <cell r="I27">
            <v>152</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Y31"/>
  <sheetViews>
    <sheetView tabSelected="1" zoomScaleNormal="100" workbookViewId="0">
      <pane xSplit="2" ySplit="2" topLeftCell="M3" activePane="bottomRight" state="frozen"/>
      <selection activeCell="Q6" sqref="Q6"/>
      <selection pane="topRight" activeCell="Q6" sqref="Q6"/>
      <selection pane="bottomLeft" activeCell="Q6" sqref="Q6"/>
      <selection pane="bottomRight" activeCell="Q6" sqref="Q6"/>
    </sheetView>
  </sheetViews>
  <sheetFormatPr defaultRowHeight="12.75" x14ac:dyDescent="0.2"/>
  <cols>
    <col min="1" max="1" width="18.42578125" bestFit="1" customWidth="1"/>
    <col min="2" max="3" width="14.7109375" customWidth="1"/>
    <col min="4" max="4" width="11.140625" customWidth="1"/>
    <col min="5" max="5" width="13" customWidth="1"/>
    <col min="6" max="6" width="12.140625" customWidth="1"/>
    <col min="7" max="7" width="13.5703125" style="139" customWidth="1"/>
    <col min="8" max="8" width="10" style="139" customWidth="1"/>
    <col min="9" max="9" width="10.7109375" style="139" customWidth="1"/>
    <col min="10" max="10" width="9.5703125" style="139" customWidth="1"/>
    <col min="11" max="11" width="10.42578125" style="139" customWidth="1"/>
    <col min="12" max="12" width="11" style="139" customWidth="1"/>
    <col min="13" max="13" width="11.42578125" style="139" customWidth="1"/>
    <col min="14" max="14" width="11.85546875" style="139" customWidth="1"/>
    <col min="15" max="15" width="9.85546875" style="139" customWidth="1"/>
    <col min="16" max="16" width="11.5703125" style="139" customWidth="1"/>
    <col min="17" max="18" width="10" customWidth="1"/>
    <col min="19" max="20" width="11" customWidth="1"/>
    <col min="21" max="21" width="13.85546875" bestFit="1" customWidth="1"/>
    <col min="22" max="23" width="10.7109375" customWidth="1"/>
    <col min="24" max="24" width="9.5703125" customWidth="1"/>
    <col min="25" max="25" width="10.5703125" customWidth="1"/>
    <col min="26" max="26" width="11" customWidth="1"/>
    <col min="27" max="27" width="10.28515625" customWidth="1"/>
    <col min="28" max="28" width="10.7109375" customWidth="1"/>
  </cols>
  <sheetData>
    <row r="1" spans="1:25" x14ac:dyDescent="0.2">
      <c r="A1" s="8">
        <v>1</v>
      </c>
      <c r="B1" s="8">
        <v>2</v>
      </c>
      <c r="C1" s="8">
        <v>3</v>
      </c>
      <c r="D1" s="8">
        <v>4</v>
      </c>
      <c r="E1" s="8">
        <v>5</v>
      </c>
      <c r="F1" s="8">
        <v>6</v>
      </c>
      <c r="G1" s="138">
        <v>7</v>
      </c>
      <c r="H1" s="138">
        <v>8</v>
      </c>
      <c r="I1" s="138">
        <v>9</v>
      </c>
      <c r="J1" s="138">
        <v>10</v>
      </c>
      <c r="K1" s="138">
        <v>11</v>
      </c>
      <c r="L1" s="138">
        <v>12</v>
      </c>
      <c r="M1" s="138">
        <v>13</v>
      </c>
      <c r="N1" s="138">
        <v>14</v>
      </c>
      <c r="O1" s="138">
        <v>15</v>
      </c>
      <c r="P1" s="138">
        <v>16</v>
      </c>
      <c r="Q1" s="8">
        <v>17</v>
      </c>
      <c r="R1" s="8">
        <v>18</v>
      </c>
      <c r="S1" s="8">
        <v>19</v>
      </c>
      <c r="T1" s="8">
        <v>20</v>
      </c>
      <c r="U1" s="8">
        <v>21</v>
      </c>
      <c r="V1" s="8">
        <v>22</v>
      </c>
      <c r="W1" s="8">
        <v>23</v>
      </c>
      <c r="X1" s="8">
        <v>24</v>
      </c>
      <c r="Y1" s="8">
        <v>25</v>
      </c>
    </row>
    <row r="2" spans="1:25" s="11" customFormat="1" ht="89.25" x14ac:dyDescent="0.2">
      <c r="A2" s="9" t="s">
        <v>13</v>
      </c>
      <c r="B2" s="9" t="s">
        <v>14</v>
      </c>
      <c r="C2" s="9" t="s">
        <v>103</v>
      </c>
      <c r="D2" s="9" t="s">
        <v>15</v>
      </c>
      <c r="E2" s="9" t="s">
        <v>71</v>
      </c>
      <c r="F2" s="10" t="s">
        <v>17</v>
      </c>
      <c r="G2" s="10" t="s">
        <v>54</v>
      </c>
      <c r="H2" s="10" t="s">
        <v>53</v>
      </c>
      <c r="I2" s="10" t="s">
        <v>52</v>
      </c>
      <c r="J2" s="10" t="s">
        <v>51</v>
      </c>
      <c r="K2" s="10" t="s">
        <v>97</v>
      </c>
      <c r="M2" s="10" t="s">
        <v>90</v>
      </c>
      <c r="N2" s="10" t="s">
        <v>91</v>
      </c>
      <c r="O2" s="10" t="s">
        <v>58</v>
      </c>
      <c r="P2" s="10" t="s">
        <v>59</v>
      </c>
      <c r="Q2" s="137" t="s">
        <v>55</v>
      </c>
      <c r="R2" s="10" t="s">
        <v>52</v>
      </c>
      <c r="S2" s="137" t="s">
        <v>57</v>
      </c>
      <c r="T2" s="10" t="s">
        <v>104</v>
      </c>
      <c r="U2" s="137" t="s">
        <v>105</v>
      </c>
      <c r="V2" s="137" t="s">
        <v>89</v>
      </c>
      <c r="W2" s="137" t="s">
        <v>87</v>
      </c>
      <c r="X2" s="137" t="s">
        <v>56</v>
      </c>
      <c r="Y2" s="137" t="s">
        <v>100</v>
      </c>
    </row>
    <row r="3" spans="1:25" x14ac:dyDescent="0.2">
      <c r="A3" s="5" t="s">
        <v>0</v>
      </c>
      <c r="B3" s="126">
        <v>1.0569999999999999</v>
      </c>
      <c r="C3" s="6">
        <v>750</v>
      </c>
      <c r="D3" s="6">
        <v>600</v>
      </c>
      <c r="E3" s="2"/>
      <c r="F3" s="4" t="s">
        <v>18</v>
      </c>
      <c r="G3" s="121">
        <f>VLOOKUP(A3,'[1]Data for Bill Impacts'!$A$3:$Y$22,17,0)</f>
        <v>36.72</v>
      </c>
      <c r="H3" s="77">
        <v>0</v>
      </c>
      <c r="I3" s="77">
        <v>0.79</v>
      </c>
      <c r="J3" s="125">
        <f>VLOOKUP(A3,'[1]Data for Bill Impacts'!$A$3:$Y$22,19,0)</f>
        <v>0</v>
      </c>
      <c r="K3" s="121"/>
      <c r="L3" s="125"/>
      <c r="M3" s="121">
        <f>VLOOKUP(A3,'[1]Data for Bill Impacts'!$A$3:$Y$22,22,0)</f>
        <v>0.01</v>
      </c>
      <c r="N3" s="125">
        <f>VLOOKUP(A3,'[1]Data for Bill Impacts'!$A$3:$Y$22,23,0)</f>
        <v>2.0000000000000001E-4</v>
      </c>
      <c r="O3" s="125">
        <f>VLOOKUP(A3,'[1]Data for Bill Impacts'!$A$3:$Y$22,24,0)</f>
        <v>7.7000000000000002E-3</v>
      </c>
      <c r="P3" s="125">
        <f>VLOOKUP(A3,'[1]Data for Bill Impacts'!$A$3:$Y$22,25,0)</f>
        <v>6.3E-3</v>
      </c>
      <c r="Q3" s="3">
        <f>ROUND(VLOOKUP(A3,'[2]Rate Design'!$T$8:$Y$27,2,0),2)</f>
        <v>37.47</v>
      </c>
      <c r="R3" s="2">
        <v>0.79</v>
      </c>
      <c r="S3" s="99">
        <f>ROUND(VLOOKUP(A3,'[2]Rate Design'!$T$8:$Y$27,5,0)/100,4)</f>
        <v>0</v>
      </c>
      <c r="T3" s="125">
        <f>'[1]Data for Bill Impacts'!T3</f>
        <v>0</v>
      </c>
      <c r="U3" s="99">
        <f>T3</f>
        <v>0</v>
      </c>
      <c r="V3" s="99">
        <f>M3</f>
        <v>0.01</v>
      </c>
      <c r="W3" s="99">
        <f>N3</f>
        <v>2.0000000000000001E-4</v>
      </c>
      <c r="X3" s="99">
        <f>ROUND(IF($F3="kWh",VLOOKUP($A3,[3]Summary!$B$24:$Q$36,13,0)/100,VLOOKUP($A3,[3]Summary!$B$24:$Q$36,15,0)),4)</f>
        <v>7.7000000000000002E-3</v>
      </c>
      <c r="Y3" s="99">
        <f>ROUND(IF($F3="kWh",VLOOKUP($A3,[3]Summary!$B$24:$Q$36,14,0)/100,VLOOKUP($A3,[3]Summary!$B$24:$Q$36,16,0)),4)</f>
        <v>6.3E-3</v>
      </c>
    </row>
    <row r="4" spans="1:25" x14ac:dyDescent="0.2">
      <c r="A4" s="5" t="s">
        <v>1</v>
      </c>
      <c r="B4" s="126">
        <v>1.0760000000000001</v>
      </c>
      <c r="C4" s="6">
        <v>750</v>
      </c>
      <c r="D4" s="6">
        <v>600</v>
      </c>
      <c r="E4" s="2"/>
      <c r="F4" s="4" t="s">
        <v>18</v>
      </c>
      <c r="G4" s="121">
        <f>VLOOKUP(A4,'[1]Data for Bill Impacts'!$A$3:$Y$22,17,0)</f>
        <v>52.36</v>
      </c>
      <c r="H4" s="77">
        <v>0</v>
      </c>
      <c r="I4" s="77">
        <v>0.79</v>
      </c>
      <c r="J4" s="125">
        <f>VLOOKUP(A4,'[1]Data for Bill Impacts'!$A$3:$Y$22,19,0)</f>
        <v>1.1599999999999999E-2</v>
      </c>
      <c r="K4" s="121"/>
      <c r="L4" s="125"/>
      <c r="M4" s="121">
        <f>VLOOKUP(A4,'[1]Data for Bill Impacts'!$A$3:$Y$22,22,0)</f>
        <v>0</v>
      </c>
      <c r="N4" s="125">
        <f>VLOOKUP(A4,'[1]Data for Bill Impacts'!$A$3:$Y$22,23,0)</f>
        <v>2.0000000000000001E-4</v>
      </c>
      <c r="O4" s="125">
        <f>VLOOKUP(A4,'[1]Data for Bill Impacts'!$A$3:$Y$22,24,0)</f>
        <v>7.1999999999999998E-3</v>
      </c>
      <c r="P4" s="125">
        <f>VLOOKUP(A4,'[1]Data for Bill Impacts'!$A$3:$Y$22,25,0)</f>
        <v>5.8999999999999999E-3</v>
      </c>
      <c r="Q4" s="3">
        <f>ROUND(VLOOKUP(A4,'[2]Rate Design'!$T$8:$Y$27,2,0),2)</f>
        <v>58.34</v>
      </c>
      <c r="R4" s="2">
        <v>0.79</v>
      </c>
      <c r="S4" s="99">
        <f>ROUND(VLOOKUP(A4,'[2]Rate Design'!$T$8:$Y$27,5,0)/100,4)</f>
        <v>6.6E-3</v>
      </c>
      <c r="T4" s="125">
        <f>'[1]Data for Bill Impacts'!T4</f>
        <v>0</v>
      </c>
      <c r="U4" s="99">
        <f t="shared" ref="U4:U21" si="0">T4</f>
        <v>0</v>
      </c>
      <c r="V4" s="99">
        <f t="shared" ref="V4:V21" si="1">M4</f>
        <v>0</v>
      </c>
      <c r="W4" s="99">
        <f t="shared" ref="W4:W21" si="2">N4</f>
        <v>2.0000000000000001E-4</v>
      </c>
      <c r="X4" s="99">
        <f>ROUND(IF($F4="kWh",VLOOKUP($A4,[3]Summary!$B$24:$Q$36,13,0)/100,VLOOKUP($A4,[3]Summary!$B$24:$Q$36,15,0)),4)</f>
        <v>7.1999999999999998E-3</v>
      </c>
      <c r="Y4" s="99">
        <f>ROUND(IF($F4="kWh",VLOOKUP($A4,[3]Summary!$B$24:$Q$36,14,0)/100,VLOOKUP($A4,[3]Summary!$B$24:$Q$36,16,0)),4)</f>
        <v>5.8999999999999999E-3</v>
      </c>
    </row>
    <row r="5" spans="1:25" x14ac:dyDescent="0.2">
      <c r="A5" s="5" t="s">
        <v>2</v>
      </c>
      <c r="B5" s="126">
        <v>1.105</v>
      </c>
      <c r="C5" s="6">
        <v>750</v>
      </c>
      <c r="D5" s="6">
        <v>600</v>
      </c>
      <c r="E5" s="2"/>
      <c r="F5" s="4" t="s">
        <v>18</v>
      </c>
      <c r="G5" s="121">
        <f>VLOOKUP(A5,'[1]Data for Bill Impacts'!$A$3:$Y$22,17,0)</f>
        <v>55.319678307903928</v>
      </c>
      <c r="H5" s="77">
        <v>0</v>
      </c>
      <c r="I5" s="77">
        <v>0.79</v>
      </c>
      <c r="J5" s="125">
        <f>VLOOKUP(A5,'[1]Data for Bill Impacts'!$A$3:$Y$22,19,0)</f>
        <v>0.02</v>
      </c>
      <c r="K5" s="121"/>
      <c r="L5" s="125"/>
      <c r="M5" s="121">
        <f>VLOOKUP(A5,'[1]Data for Bill Impacts'!$A$3:$Y$22,22,0)</f>
        <v>-0.02</v>
      </c>
      <c r="N5" s="125">
        <f>VLOOKUP(A5,'[1]Data for Bill Impacts'!$A$3:$Y$22,23,0)</f>
        <v>2.0000000000000001E-4</v>
      </c>
      <c r="O5" s="125">
        <f>VLOOKUP(A5,'[1]Data for Bill Impacts'!$A$3:$Y$22,24,0)</f>
        <v>6.7999999999999996E-3</v>
      </c>
      <c r="P5" s="125">
        <f>VLOOKUP(A5,'[1]Data for Bill Impacts'!$A$3:$Y$22,25,0)</f>
        <v>5.4999999999999997E-3</v>
      </c>
      <c r="Q5" s="3">
        <f>ROUND(VLOOKUP(A5,'[2]Rate Design'!$T$8:$Y$27,2,0),2)-[4]Sheet1!F7</f>
        <v>68.189678307903932</v>
      </c>
      <c r="R5" s="2">
        <v>0.79</v>
      </c>
      <c r="S5" s="99">
        <f>ROUND(VLOOKUP(A5,'[2]Rate Design'!$T$8:$Y$27,5,0)/100,4)</f>
        <v>1.17E-2</v>
      </c>
      <c r="T5" s="125">
        <f>'[1]Data for Bill Impacts'!T5</f>
        <v>0</v>
      </c>
      <c r="U5" s="99">
        <f t="shared" si="0"/>
        <v>0</v>
      </c>
      <c r="V5" s="99">
        <f t="shared" si="1"/>
        <v>-0.02</v>
      </c>
      <c r="W5" s="99">
        <f t="shared" si="2"/>
        <v>2.0000000000000001E-4</v>
      </c>
      <c r="X5" s="99">
        <f>ROUND(IF($F5="kWh",VLOOKUP($A5,[3]Summary!$B$24:$Q$36,13,0)/100,VLOOKUP($A5,[3]Summary!$B$24:$Q$36,15,0)),4)</f>
        <v>6.7999999999999996E-3</v>
      </c>
      <c r="Y5" s="99">
        <f>ROUND(IF($F5="kWh",VLOOKUP($A5,[3]Summary!$B$24:$Q$36,14,0)/100,VLOOKUP($A5,[3]Summary!$B$24:$Q$36,16,0)),4)</f>
        <v>5.4999999999999997E-3</v>
      </c>
    </row>
    <row r="6" spans="1:25" x14ac:dyDescent="0.2">
      <c r="A6" s="5" t="s">
        <v>3</v>
      </c>
      <c r="B6" s="126">
        <v>1.1040000000000001</v>
      </c>
      <c r="C6" s="6">
        <v>500</v>
      </c>
      <c r="D6" s="6">
        <v>600</v>
      </c>
      <c r="E6" s="2"/>
      <c r="F6" s="4" t="s">
        <v>18</v>
      </c>
      <c r="G6" s="121">
        <f>VLOOKUP(A6,'[1]Data for Bill Impacts'!$A$3:$Y$22,17,0)</f>
        <v>55.4</v>
      </c>
      <c r="H6" s="77">
        <v>0</v>
      </c>
      <c r="I6" s="77">
        <v>0.79</v>
      </c>
      <c r="J6" s="125">
        <f>VLOOKUP(A6,'[1]Data for Bill Impacts'!$A$3:$Y$22,19,0)</f>
        <v>3.15E-2</v>
      </c>
      <c r="K6" s="121"/>
      <c r="L6" s="125"/>
      <c r="M6" s="121">
        <f>VLOOKUP(A6,'[1]Data for Bill Impacts'!$A$3:$Y$22,22,0)</f>
        <v>0</v>
      </c>
      <c r="N6" s="125">
        <f>VLOOKUP(A6,'[1]Data for Bill Impacts'!$A$3:$Y$22,23,0)</f>
        <v>2.0000000000000001E-4</v>
      </c>
      <c r="O6" s="125">
        <f>VLOOKUP(A6,'[1]Data for Bill Impacts'!$A$3:$Y$22,24,0)</f>
        <v>5.7999999999999996E-3</v>
      </c>
      <c r="P6" s="125">
        <f>VLOOKUP(A6,'[1]Data for Bill Impacts'!$A$3:$Y$22,25,0)</f>
        <v>4.7000000000000002E-3</v>
      </c>
      <c r="Q6" s="3">
        <f>ROUND(VLOOKUP(A6,'[2]Rate Design'!$T$8:$Y$27,2,0),2)</f>
        <v>61.5</v>
      </c>
      <c r="R6" s="2">
        <v>0.79</v>
      </c>
      <c r="S6" s="99">
        <f>ROUND(VLOOKUP(A6,'[2]Rate Design'!$T$8:$Y$27,5,0)/100,4)</f>
        <v>1.84E-2</v>
      </c>
      <c r="T6" s="125">
        <f>'[1]Data for Bill Impacts'!T6</f>
        <v>0</v>
      </c>
      <c r="U6" s="99">
        <f t="shared" si="0"/>
        <v>0</v>
      </c>
      <c r="V6" s="99">
        <f t="shared" si="1"/>
        <v>0</v>
      </c>
      <c r="W6" s="99">
        <f t="shared" si="2"/>
        <v>2.0000000000000001E-4</v>
      </c>
      <c r="X6" s="99">
        <f>ROUND(IF($F6="kWh",VLOOKUP($A6,[3]Summary!$B$24:$Q$36,13,0)/100,VLOOKUP($A6,[3]Summary!$B$24:$Q$36,15,0)),4)</f>
        <v>5.7999999999999996E-3</v>
      </c>
      <c r="Y6" s="99">
        <f>ROUND(IF($F6="kWh",VLOOKUP($A6,[3]Summary!$B$24:$Q$36,14,0)/100,VLOOKUP($A6,[3]Summary!$B$24:$Q$36,16,0)),4)</f>
        <v>4.7000000000000002E-3</v>
      </c>
    </row>
    <row r="7" spans="1:25" x14ac:dyDescent="0.2">
      <c r="A7" s="5" t="s">
        <v>4</v>
      </c>
      <c r="B7" s="126">
        <v>1.0960000000000001</v>
      </c>
      <c r="C7" s="6">
        <v>2000</v>
      </c>
      <c r="D7" s="6">
        <v>750</v>
      </c>
      <c r="E7" s="2"/>
      <c r="F7" s="4" t="s">
        <v>18</v>
      </c>
      <c r="G7" s="121">
        <f>VLOOKUP(A7,'[1]Data for Bill Impacts'!$A$3:$Y$22,17,0)</f>
        <v>31.41</v>
      </c>
      <c r="H7" s="77">
        <v>0</v>
      </c>
      <c r="I7" s="77">
        <v>0.79</v>
      </c>
      <c r="J7" s="125">
        <f>VLOOKUP(A7,'[1]Data for Bill Impacts'!$A$3:$Y$22,19,0)</f>
        <v>6.5199999999999994E-2</v>
      </c>
      <c r="K7" s="121"/>
      <c r="L7" s="125"/>
      <c r="M7" s="121">
        <f>VLOOKUP(A7,'[1]Data for Bill Impacts'!$A$3:$Y$22,22,0)</f>
        <v>0</v>
      </c>
      <c r="N7" s="125">
        <f>VLOOKUP(A7,'[1]Data for Bill Impacts'!$A$3:$Y$22,23,0)</f>
        <v>2.0000000000000001E-4</v>
      </c>
      <c r="O7" s="125">
        <f>VLOOKUP(A7,'[1]Data for Bill Impacts'!$A$3:$Y$22,24,0)</f>
        <v>5.4999999999999997E-3</v>
      </c>
      <c r="P7" s="125">
        <f>VLOOKUP(A7,'[1]Data for Bill Impacts'!$A$3:$Y$22,25,0)</f>
        <v>4.4999999999999997E-3</v>
      </c>
      <c r="Q7" s="3">
        <f>ROUND(VLOOKUP(A7,'[2]Rate Design'!$T$8:$Y$27,2,0),2)</f>
        <v>32</v>
      </c>
      <c r="R7" s="2">
        <v>0.79</v>
      </c>
      <c r="S7" s="99">
        <f>ROUND(VLOOKUP(A7,'[2]Rate Design'!$T$8:$Y$27,5,0)/100,4)</f>
        <v>6.7100000000000007E-2</v>
      </c>
      <c r="T7" s="125">
        <f>'[1]Data for Bill Impacts'!T7</f>
        <v>1.9E-3</v>
      </c>
      <c r="U7" s="99">
        <f t="shared" si="0"/>
        <v>1.9E-3</v>
      </c>
      <c r="V7" s="99">
        <f t="shared" si="1"/>
        <v>0</v>
      </c>
      <c r="W7" s="99">
        <f t="shared" si="2"/>
        <v>2.0000000000000001E-4</v>
      </c>
      <c r="X7" s="99">
        <f>ROUND(IF($F7="kWh",VLOOKUP($A7,[3]Summary!$B$24:$Q$36,13,0)/100,VLOOKUP($A7,[3]Summary!$B$24:$Q$36,15,0)),4)</f>
        <v>5.4999999999999997E-3</v>
      </c>
      <c r="Y7" s="99">
        <f>ROUND(IF($F7="kWh",VLOOKUP($A7,[3]Summary!$B$24:$Q$36,14,0)/100,VLOOKUP($A7,[3]Summary!$B$24:$Q$36,16,0)),4)</f>
        <v>4.4999999999999997E-3</v>
      </c>
    </row>
    <row r="8" spans="1:25" x14ac:dyDescent="0.2">
      <c r="A8" s="5" t="s">
        <v>6</v>
      </c>
      <c r="B8" s="126">
        <v>1.0669999999999999</v>
      </c>
      <c r="C8" s="6">
        <v>2000</v>
      </c>
      <c r="D8" s="6">
        <v>750</v>
      </c>
      <c r="E8" s="2"/>
      <c r="F8" s="4" t="s">
        <v>18</v>
      </c>
      <c r="G8" s="121">
        <f>VLOOKUP(A8,'[1]Data for Bill Impacts'!$A$3:$Y$22,17,0)</f>
        <v>25.6</v>
      </c>
      <c r="H8" s="77">
        <v>0</v>
      </c>
      <c r="I8" s="77">
        <v>0.79</v>
      </c>
      <c r="J8" s="125">
        <f>VLOOKUP(A8,'[1]Data for Bill Impacts'!$A$3:$Y$22,19,0)</f>
        <v>3.0800000000000001E-2</v>
      </c>
      <c r="K8" s="121"/>
      <c r="L8" s="125"/>
      <c r="M8" s="121">
        <f>VLOOKUP(A8,'[1]Data for Bill Impacts'!$A$3:$Y$22,22,0)</f>
        <v>0.01</v>
      </c>
      <c r="N8" s="125">
        <f>VLOOKUP(A8,'[1]Data for Bill Impacts'!$A$3:$Y$22,23,0)</f>
        <v>2.0000000000000001E-4</v>
      </c>
      <c r="O8" s="125">
        <f>VLOOKUP(A8,'[1]Data for Bill Impacts'!$A$3:$Y$22,24,0)</f>
        <v>5.7999999999999996E-3</v>
      </c>
      <c r="P8" s="125">
        <f>VLOOKUP(A8,'[1]Data for Bill Impacts'!$A$3:$Y$22,25,0)</f>
        <v>4.7000000000000002E-3</v>
      </c>
      <c r="Q8" s="3">
        <f>ROUND(VLOOKUP(A8,'[2]Rate Design'!$T$8:$Y$27,2,0),2)</f>
        <v>26.15</v>
      </c>
      <c r="R8" s="2">
        <v>0.79</v>
      </c>
      <c r="S8" s="99">
        <f>ROUND(VLOOKUP(A8,'[2]Rate Design'!$T$8:$Y$27,5,0)/100,4)</f>
        <v>3.1699999999999999E-2</v>
      </c>
      <c r="T8" s="125">
        <f>'[1]Data for Bill Impacts'!T8</f>
        <v>1.9E-3</v>
      </c>
      <c r="U8" s="99">
        <f t="shared" si="0"/>
        <v>1.9E-3</v>
      </c>
      <c r="V8" s="99">
        <f t="shared" si="1"/>
        <v>0.01</v>
      </c>
      <c r="W8" s="99">
        <f t="shared" si="2"/>
        <v>2.0000000000000001E-4</v>
      </c>
      <c r="X8" s="99">
        <f>ROUND(IF($F8="kWh",VLOOKUP($A8,[3]Summary!$B$24:$Q$36,13,0)/100,VLOOKUP($A8,[3]Summary!$B$24:$Q$36,15,0)),4)</f>
        <v>5.7999999999999996E-3</v>
      </c>
      <c r="Y8" s="99">
        <f>ROUND(IF($F8="kWh",VLOOKUP($A8,[3]Summary!$B$24:$Q$36,14,0)/100,VLOOKUP($A8,[3]Summary!$B$24:$Q$36,16,0)),4)</f>
        <v>4.7000000000000002E-3</v>
      </c>
    </row>
    <row r="9" spans="1:25" x14ac:dyDescent="0.2">
      <c r="A9" s="5" t="s">
        <v>8</v>
      </c>
      <c r="B9" s="126">
        <v>1.0920000000000001</v>
      </c>
      <c r="C9" s="6">
        <v>1440</v>
      </c>
      <c r="D9" s="6">
        <v>750</v>
      </c>
      <c r="E9" s="2"/>
      <c r="F9" s="4" t="s">
        <v>18</v>
      </c>
      <c r="G9" s="121">
        <f>VLOOKUP(A9,'[1]Data for Bill Impacts'!$A$3:$Y$22,17,0)</f>
        <v>4.7699999999999996</v>
      </c>
      <c r="H9" s="77">
        <v>0</v>
      </c>
      <c r="I9" s="77">
        <v>0</v>
      </c>
      <c r="J9" s="125">
        <f>VLOOKUP(A9,'[1]Data for Bill Impacts'!$A$3:$Y$22,19,0)</f>
        <v>0.107</v>
      </c>
      <c r="K9" s="121"/>
      <c r="L9" s="125"/>
      <c r="M9" s="121">
        <f>VLOOKUP(A9,'[1]Data for Bill Impacts'!$A$3:$Y$22,22,0)</f>
        <v>0</v>
      </c>
      <c r="N9" s="125">
        <f>VLOOKUP(A9,'[1]Data for Bill Impacts'!$A$3:$Y$22,23,0)</f>
        <v>2.0000000000000001E-4</v>
      </c>
      <c r="O9" s="125">
        <f>VLOOKUP(A9,'[1]Data for Bill Impacts'!$A$3:$Y$22,24,0)</f>
        <v>3.836E-3</v>
      </c>
      <c r="P9" s="125">
        <f>VLOOKUP(A9,'[1]Data for Bill Impacts'!$A$3:$Y$22,25,0)</f>
        <v>3.6240000000000001E-3</v>
      </c>
      <c r="Q9" s="3">
        <f>ROUND(VLOOKUP(A9,'[2]Rate Design'!$T$8:$Y$27,2,0),2)</f>
        <v>4.8899999999999997</v>
      </c>
      <c r="R9" s="2">
        <v>0</v>
      </c>
      <c r="S9" s="99">
        <f>ROUND(VLOOKUP(A9,'[2]Rate Design'!$T$8:$Y$27,5,0)/100,4)</f>
        <v>0.10979999999999999</v>
      </c>
      <c r="T9" s="125">
        <f>'[1]Data for Bill Impacts'!T9</f>
        <v>0</v>
      </c>
      <c r="U9" s="99">
        <f t="shared" si="0"/>
        <v>0</v>
      </c>
      <c r="V9" s="99">
        <f t="shared" si="1"/>
        <v>0</v>
      </c>
      <c r="W9" s="99">
        <f t="shared" si="2"/>
        <v>2.0000000000000001E-4</v>
      </c>
      <c r="X9" s="99">
        <f>'[3]DRO Exhibit 3.4'!$J$22</f>
        <v>3.836E-3</v>
      </c>
      <c r="Y9" s="99">
        <f>'[3]DRO Exhibit 3.4'!$K$22</f>
        <v>3.6240000000000001E-3</v>
      </c>
    </row>
    <row r="10" spans="1:25" x14ac:dyDescent="0.2">
      <c r="A10" s="5" t="s">
        <v>9</v>
      </c>
      <c r="B10" s="126">
        <v>1.0920000000000001</v>
      </c>
      <c r="C10" s="6">
        <v>62</v>
      </c>
      <c r="D10" s="6">
        <v>750</v>
      </c>
      <c r="E10" s="2"/>
      <c r="F10" s="4" t="s">
        <v>18</v>
      </c>
      <c r="G10" s="121">
        <f>VLOOKUP(A10,'[1]Data for Bill Impacts'!$A$3:$Y$22,17,0)</f>
        <v>3.6</v>
      </c>
      <c r="H10" s="77">
        <v>0</v>
      </c>
      <c r="I10" s="77">
        <v>0</v>
      </c>
      <c r="J10" s="125">
        <f>VLOOKUP(A10,'[1]Data for Bill Impacts'!$A$3:$Y$22,19,0)</f>
        <v>0.1338</v>
      </c>
      <c r="K10" s="121"/>
      <c r="L10" s="125"/>
      <c r="M10" s="121">
        <f>VLOOKUP(A10,'[1]Data for Bill Impacts'!$A$3:$Y$22,22,0)</f>
        <v>0</v>
      </c>
      <c r="N10" s="125">
        <f>VLOOKUP(A10,'[1]Data for Bill Impacts'!$A$3:$Y$22,23,0)</f>
        <v>1E-4</v>
      </c>
      <c r="O10" s="125">
        <f>VLOOKUP(A10,'[1]Data for Bill Impacts'!$A$3:$Y$22,24,0)</f>
        <v>3.836E-3</v>
      </c>
      <c r="P10" s="125">
        <f>VLOOKUP(A10,'[1]Data for Bill Impacts'!$A$3:$Y$22,25,0)</f>
        <v>3.6240000000000001E-3</v>
      </c>
      <c r="Q10" s="3">
        <f>ROUND(VLOOKUP(A10,'[2]Rate Design'!$T$8:$Y$27,2,0),2)</f>
        <v>3.76</v>
      </c>
      <c r="R10" s="2">
        <v>0</v>
      </c>
      <c r="S10" s="99">
        <f>ROUND(VLOOKUP(A10,'[2]Rate Design'!$T$8:$Y$27,5,0)/100,4)</f>
        <v>0.1401</v>
      </c>
      <c r="T10" s="125">
        <f>'[1]Data for Bill Impacts'!T10</f>
        <v>0</v>
      </c>
      <c r="U10" s="99">
        <f t="shared" si="0"/>
        <v>0</v>
      </c>
      <c r="V10" s="99">
        <f t="shared" si="1"/>
        <v>0</v>
      </c>
      <c r="W10" s="99">
        <f t="shared" si="2"/>
        <v>1E-4</v>
      </c>
      <c r="X10" s="99">
        <f>X9</f>
        <v>3.836E-3</v>
      </c>
      <c r="Y10" s="99">
        <f>Y9</f>
        <v>3.6240000000000001E-3</v>
      </c>
    </row>
    <row r="11" spans="1:25" x14ac:dyDescent="0.2">
      <c r="A11" s="7" t="s">
        <v>12</v>
      </c>
      <c r="B11" s="126">
        <v>1.0920000000000001</v>
      </c>
      <c r="C11" s="6">
        <v>500</v>
      </c>
      <c r="D11" s="6">
        <v>750</v>
      </c>
      <c r="E11" s="2"/>
      <c r="F11" s="4" t="s">
        <v>18</v>
      </c>
      <c r="G11" s="121">
        <f>VLOOKUP(A11,'[1]Data for Bill Impacts'!$A$3:$Y$22,17,0)</f>
        <v>37.5</v>
      </c>
      <c r="H11" s="77">
        <v>0</v>
      </c>
      <c r="I11" s="77">
        <v>0</v>
      </c>
      <c r="J11" s="125">
        <f>VLOOKUP(A11,'[1]Data for Bill Impacts'!$A$3:$Y$22,19,0)</f>
        <v>3.04E-2</v>
      </c>
      <c r="K11" s="121"/>
      <c r="L11" s="125"/>
      <c r="M11" s="121">
        <f>VLOOKUP(A11,'[1]Data for Bill Impacts'!$A$3:$Y$22,22,0)</f>
        <v>-0.01</v>
      </c>
      <c r="N11" s="125">
        <f>VLOOKUP(A11,'[1]Data for Bill Impacts'!$A$3:$Y$22,23,0)</f>
        <v>2.0000000000000001E-4</v>
      </c>
      <c r="O11" s="125">
        <f>VLOOKUP(A11,'[1]Data for Bill Impacts'!$A$3:$Y$22,24,0)</f>
        <v>4.7000000000000002E-3</v>
      </c>
      <c r="P11" s="125">
        <f>VLOOKUP(A11,'[1]Data for Bill Impacts'!$A$3:$Y$22,25,0)</f>
        <v>3.8E-3</v>
      </c>
      <c r="Q11" s="3">
        <f>ROUND(VLOOKUP(A11,'[2]Rate Design'!$T$8:$Y$27,2,0),2)</f>
        <v>38.49</v>
      </c>
      <c r="R11" s="2">
        <v>0</v>
      </c>
      <c r="S11" s="99">
        <f>ROUND(VLOOKUP(A11,'[2]Rate Design'!$T$8:$Y$27,5,0)/100,4)</f>
        <v>3.1099999999999999E-2</v>
      </c>
      <c r="T11" s="125">
        <f>'[1]Data for Bill Impacts'!T11</f>
        <v>0</v>
      </c>
      <c r="U11" s="99">
        <f t="shared" si="0"/>
        <v>0</v>
      </c>
      <c r="V11" s="99">
        <f t="shared" si="1"/>
        <v>-0.01</v>
      </c>
      <c r="W11" s="99">
        <f t="shared" si="2"/>
        <v>2.0000000000000001E-4</v>
      </c>
      <c r="X11" s="99">
        <f>ROUND(IF($F11="kWh",VLOOKUP($A11,[3]Summary!$B$24:$Q$36,13,0)/100,VLOOKUP($A11,[3]Summary!$B$24:$Q$36,15,0)),4)</f>
        <v>4.7000000000000002E-3</v>
      </c>
      <c r="Y11" s="99">
        <f>ROUND(IF($F11="kWh",VLOOKUP($A11,[3]Summary!$B$24:$Q$36,14,0)/100,VLOOKUP($A11,[3]Summary!$B$24:$Q$36,16,0)),4)</f>
        <v>3.8E-3</v>
      </c>
    </row>
    <row r="12" spans="1:25" x14ac:dyDescent="0.2">
      <c r="A12" s="5" t="s">
        <v>5</v>
      </c>
      <c r="B12" s="126">
        <v>1.0609999999999999</v>
      </c>
      <c r="C12" s="6">
        <v>36000</v>
      </c>
      <c r="D12" s="6">
        <v>0</v>
      </c>
      <c r="E12" s="2">
        <v>117</v>
      </c>
      <c r="F12" s="4" t="s">
        <v>19</v>
      </c>
      <c r="G12" s="121">
        <f>VLOOKUP(A12,'[1]Data for Bill Impacts'!$A$3:$Y$22,17,0)</f>
        <v>107.62</v>
      </c>
      <c r="H12" s="77">
        <v>0</v>
      </c>
      <c r="I12" s="77">
        <v>0</v>
      </c>
      <c r="J12" s="125">
        <f>VLOOKUP(A12,'[1]Data for Bill Impacts'!$A$3:$Y$22,19,0)</f>
        <v>18.352900000000002</v>
      </c>
      <c r="K12" s="121"/>
      <c r="L12" s="125"/>
      <c r="M12" s="121">
        <f>VLOOKUP(A12,'[1]Data for Bill Impacts'!$A$3:$Y$22,22,0)</f>
        <v>-0.02</v>
      </c>
      <c r="N12" s="125">
        <f>VLOOKUP(A12,'[1]Data for Bill Impacts'!$A$3:$Y$22,23,0)</f>
        <v>4.7E-2</v>
      </c>
      <c r="O12" s="125">
        <f>VLOOKUP(A12,'[1]Data for Bill Impacts'!$A$3:$Y$22,24,0)</f>
        <v>1.5908</v>
      </c>
      <c r="P12" s="125">
        <f>VLOOKUP(A12,'[1]Data for Bill Impacts'!$A$3:$Y$22,25,0)</f>
        <v>1.2918000000000001</v>
      </c>
      <c r="Q12" s="3">
        <f>ROUND(VLOOKUP(A12,'[2]Rate Design'!$T$8:$Y$27,2,0),2)</f>
        <v>109.34</v>
      </c>
      <c r="R12" s="2">
        <v>0</v>
      </c>
      <c r="S12" s="99">
        <f>ROUND(VLOOKUP(A12,'[2]Rate Design'!$T$8:$Y$27,6,0),4)</f>
        <v>18.850200000000001</v>
      </c>
      <c r="T12" s="125">
        <f>'[1]Data for Bill Impacts'!T12</f>
        <v>1.9E-3</v>
      </c>
      <c r="U12" s="99">
        <f t="shared" si="0"/>
        <v>1.9E-3</v>
      </c>
      <c r="V12" s="99">
        <f t="shared" si="1"/>
        <v>-0.02</v>
      </c>
      <c r="W12" s="99">
        <f t="shared" si="2"/>
        <v>4.7E-2</v>
      </c>
      <c r="X12" s="99">
        <f>ROUND(IF($F12="kWh",VLOOKUP($A12,[3]Summary!$B$24:$Q$36,13,0)/100,VLOOKUP($A12,[3]Summary!$B$24:$Q$36,15,0))*1.061,4)</f>
        <v>1.5908</v>
      </c>
      <c r="Y12" s="99">
        <f>ROUND(IF($F12="kWh",VLOOKUP($A12,[3]Summary!$B$24:$Q$36,14,0)/100,VLOOKUP($A12,[3]Summary!$B$24:$Q$36,16,0))*1.061,4)</f>
        <v>1.2918000000000001</v>
      </c>
    </row>
    <row r="13" spans="1:25" x14ac:dyDescent="0.2">
      <c r="A13" s="5" t="s">
        <v>7</v>
      </c>
      <c r="B13" s="126">
        <v>1.05</v>
      </c>
      <c r="C13" s="6">
        <v>36000</v>
      </c>
      <c r="D13" s="6">
        <v>0</v>
      </c>
      <c r="E13" s="2">
        <v>117</v>
      </c>
      <c r="F13" s="4" t="s">
        <v>19</v>
      </c>
      <c r="G13" s="121">
        <f>VLOOKUP(A13,'[1]Data for Bill Impacts'!$A$3:$Y$22,17,0)</f>
        <v>106.7</v>
      </c>
      <c r="H13" s="77">
        <v>0</v>
      </c>
      <c r="I13" s="77">
        <v>0</v>
      </c>
      <c r="J13" s="125">
        <f>VLOOKUP(A13,'[1]Data for Bill Impacts'!$A$3:$Y$22,19,0)</f>
        <v>10.513299999999999</v>
      </c>
      <c r="K13" s="121"/>
      <c r="L13" s="125"/>
      <c r="M13" s="121">
        <f>VLOOKUP(A13,'[1]Data for Bill Impacts'!$A$3:$Y$22,22,0)</f>
        <v>0.01</v>
      </c>
      <c r="N13" s="125">
        <f>VLOOKUP(A13,'[1]Data for Bill Impacts'!$A$3:$Y$22,23,0)</f>
        <v>6.4600000000000005E-2</v>
      </c>
      <c r="O13" s="125">
        <f>VLOOKUP(A13,'[1]Data for Bill Impacts'!$A$3:$Y$22,24,0)</f>
        <v>2.1349</v>
      </c>
      <c r="P13" s="125">
        <f>VLOOKUP(A13,'[1]Data for Bill Impacts'!$A$3:$Y$22,25,0)</f>
        <v>1.7284999999999999</v>
      </c>
      <c r="Q13" s="3">
        <f>ROUND(VLOOKUP(A13,'[2]Rate Design'!$T$8:$Y$27,2,0),2)</f>
        <v>108.63</v>
      </c>
      <c r="R13" s="2">
        <v>0</v>
      </c>
      <c r="S13" s="99">
        <f>ROUND(VLOOKUP(A13,'[2]Rate Design'!$T$8:$Y$27,6,0),4)</f>
        <v>10.8</v>
      </c>
      <c r="T13" s="125">
        <f>'[1]Data for Bill Impacts'!T13</f>
        <v>1.9E-3</v>
      </c>
      <c r="U13" s="99">
        <f t="shared" si="0"/>
        <v>1.9E-3</v>
      </c>
      <c r="V13" s="99">
        <f t="shared" si="1"/>
        <v>0.01</v>
      </c>
      <c r="W13" s="99">
        <f t="shared" si="2"/>
        <v>6.4600000000000005E-2</v>
      </c>
      <c r="X13" s="99">
        <f>ROUND(IF($F13="kWh",VLOOKUP($A13,[3]Summary!$B$24:$Q$36,13,0)/100,VLOOKUP($A13,[3]Summary!$B$24:$Q$36,15,0))*1.05,4)</f>
        <v>2.1349</v>
      </c>
      <c r="Y13" s="99">
        <f>ROUND(IF($F13="kWh",VLOOKUP($A13,[3]Summary!$B$24:$Q$36,14,0)/100,VLOOKUP($A13,[3]Summary!$B$24:$Q$36,16,0))*1.05,4)</f>
        <v>1.7284999999999999</v>
      </c>
    </row>
    <row r="14" spans="1:25" x14ac:dyDescent="0.2">
      <c r="A14" s="7" t="s">
        <v>10</v>
      </c>
      <c r="B14" s="126">
        <v>1.0609999999999999</v>
      </c>
      <c r="C14" s="6">
        <v>2000</v>
      </c>
      <c r="D14" s="6">
        <v>0</v>
      </c>
      <c r="E14" s="2">
        <v>15</v>
      </c>
      <c r="F14" s="4" t="s">
        <v>19</v>
      </c>
      <c r="G14" s="121">
        <f>VLOOKUP(A14,'[1]Data for Bill Impacts'!$A$3:$Y$22,17,0)</f>
        <v>198.03</v>
      </c>
      <c r="H14" s="77">
        <v>0</v>
      </c>
      <c r="I14" s="77">
        <v>0</v>
      </c>
      <c r="J14" s="125">
        <f>VLOOKUP(A14,'[1]Data for Bill Impacts'!$A$3:$Y$22,19,0)</f>
        <v>11.1084</v>
      </c>
      <c r="K14" s="121"/>
      <c r="L14" s="125"/>
      <c r="M14" s="121">
        <f>VLOOKUP(A14,'[1]Data for Bill Impacts'!$A$3:$Y$22,22,0)</f>
        <v>0.01</v>
      </c>
      <c r="N14" s="125">
        <f>VLOOKUP(A14,'[1]Data for Bill Impacts'!$A$3:$Y$22,23,0)</f>
        <v>1.72E-2</v>
      </c>
      <c r="O14" s="125">
        <f>VLOOKUP(A14,'[1]Data for Bill Impacts'!$A$3:$Y$22,24,0)</f>
        <v>0.63949999999999996</v>
      </c>
      <c r="P14" s="125">
        <f>VLOOKUP(A14,'[1]Data for Bill Impacts'!$A$3:$Y$22,25,0)</f>
        <v>0.55430000000000001</v>
      </c>
      <c r="Q14" s="3">
        <f>ROUND(VLOOKUP(A14,'[2]Rate Design'!$T$8:$Y$27,2,0),2)</f>
        <v>198.03</v>
      </c>
      <c r="R14" s="2">
        <v>0</v>
      </c>
      <c r="S14" s="99">
        <f>ROUND(VLOOKUP(A14,'[2]Rate Design'!$T$8:$Y$27,6,0),4)</f>
        <v>11.895300000000001</v>
      </c>
      <c r="T14" s="125">
        <f>'[1]Data for Bill Impacts'!T14</f>
        <v>1.9E-3</v>
      </c>
      <c r="U14" s="99">
        <f t="shared" si="0"/>
        <v>1.9E-3</v>
      </c>
      <c r="V14" s="99">
        <f t="shared" si="1"/>
        <v>0.01</v>
      </c>
      <c r="W14" s="99">
        <f t="shared" si="2"/>
        <v>1.72E-2</v>
      </c>
      <c r="X14" s="99">
        <f>ROUND(IF($F14="kWh",VLOOKUP($A14,[3]Summary!$B$24:$Q$36,13,0)/100,VLOOKUP($A14,[3]Summary!$B$24:$Q$36,15,0))*1.061,4)</f>
        <v>0.63949999999999996</v>
      </c>
      <c r="Y14" s="99">
        <f>ROUND(IF($F14="kWh",VLOOKUP($A14,[3]Summary!$B$24:$Q$36,14,0)/100,VLOOKUP($A14,[3]Summary!$B$24:$Q$36,16,0))*1.061,4)</f>
        <v>0.55430000000000001</v>
      </c>
    </row>
    <row r="15" spans="1:25" x14ac:dyDescent="0.2">
      <c r="A15" s="7" t="s">
        <v>11</v>
      </c>
      <c r="B15" s="126">
        <v>1.034</v>
      </c>
      <c r="C15" s="6">
        <v>36000</v>
      </c>
      <c r="D15" s="6">
        <v>0</v>
      </c>
      <c r="E15" s="2">
        <v>117</v>
      </c>
      <c r="F15" s="4" t="s">
        <v>19</v>
      </c>
      <c r="G15" s="121">
        <f>VLOOKUP(A15,'[1]Data for Bill Impacts'!$A$3:$Y$22,17,0)</f>
        <v>1269.2</v>
      </c>
      <c r="H15" s="77">
        <v>0</v>
      </c>
      <c r="I15" s="77">
        <v>0</v>
      </c>
      <c r="J15" s="125">
        <f>VLOOKUP(A15,'[1]Data for Bill Impacts'!$A$3:$Y$22,19,0)</f>
        <v>1.4475424689830076</v>
      </c>
      <c r="K15" s="121"/>
      <c r="L15" s="125"/>
      <c r="M15" s="121">
        <f>VLOOKUP(A15,'[1]Data for Bill Impacts'!$A$3:$Y$22,22,0)</f>
        <v>3.83</v>
      </c>
      <c r="N15" s="125">
        <f>VLOOKUP(A15,'[1]Data for Bill Impacts'!$A$3:$Y$22,23,0)</f>
        <v>0.27289999999999998</v>
      </c>
      <c r="O15" s="125">
        <f>VLOOKUP(A15,'[1]Data for Bill Impacts'!$A$3:$Y$22,24,0)</f>
        <v>3.5367000000000002</v>
      </c>
      <c r="P15" s="125">
        <f>VLOOKUP(A15,'[1]Data for Bill Impacts'!$A$3:$Y$22,25,0)</f>
        <v>2.6514000000000002</v>
      </c>
      <c r="Q15" s="3">
        <f>SUM('[5]Rate Calc'!$G$16:$H$16)</f>
        <v>1300.28</v>
      </c>
      <c r="R15" s="2">
        <v>0</v>
      </c>
      <c r="S15" s="99">
        <f>'[5]Rate Calc'!$D$36</f>
        <v>1.4905974986544777</v>
      </c>
      <c r="T15" s="125">
        <f>'[1]Data for Bill Impacts'!T15</f>
        <v>1.9E-3</v>
      </c>
      <c r="U15" s="99">
        <f t="shared" si="0"/>
        <v>1.9E-3</v>
      </c>
      <c r="V15" s="99">
        <f t="shared" si="1"/>
        <v>3.83</v>
      </c>
      <c r="W15" s="99">
        <f t="shared" si="2"/>
        <v>0.27289999999999998</v>
      </c>
      <c r="X15" s="145">
        <f>ROUND([3]Summary!$N$18*1.034,4)</f>
        <v>3.5367000000000002</v>
      </c>
      <c r="Y15" s="145">
        <f>ROUND(([3]Summary!$O$18+[3]Summary!$P$18)*1.034,4)</f>
        <v>2.6514000000000002</v>
      </c>
    </row>
    <row r="16" spans="1:25" s="182" customFormat="1" x14ac:dyDescent="0.2">
      <c r="A16" s="7" t="s">
        <v>130</v>
      </c>
      <c r="B16" s="140">
        <v>1.0569999999999999</v>
      </c>
      <c r="C16" s="155">
        <v>750</v>
      </c>
      <c r="D16" s="155">
        <v>600</v>
      </c>
      <c r="E16" s="155"/>
      <c r="F16" s="147" t="s">
        <v>18</v>
      </c>
      <c r="G16" s="121">
        <f>VLOOKUP(A16,'[1]Data for Bill Impacts'!$A$3:$Y$22,17,0)</f>
        <v>30.76</v>
      </c>
      <c r="H16" s="155">
        <v>0</v>
      </c>
      <c r="I16" s="155">
        <v>0.79</v>
      </c>
      <c r="J16" s="125">
        <f>VLOOKUP(A16,'[1]Data for Bill Impacts'!$A$3:$Y$22,19,0)</f>
        <v>0</v>
      </c>
      <c r="K16" s="155"/>
      <c r="L16" s="155"/>
      <c r="M16" s="121">
        <f>VLOOKUP(A16,'[1]Data for Bill Impacts'!$A$3:$Y$22,22,0)</f>
        <v>0</v>
      </c>
      <c r="N16" s="125">
        <f>VLOOKUP(A16,'[1]Data for Bill Impacts'!$A$3:$Y$22,23,0)</f>
        <v>0</v>
      </c>
      <c r="O16" s="125">
        <f>VLOOKUP(A16,'[1]Data for Bill Impacts'!$A$3:$Y$22,24,0)</f>
        <v>7.3000000000000001E-3</v>
      </c>
      <c r="P16" s="125">
        <f>VLOOKUP(A16,'[1]Data for Bill Impacts'!$A$3:$Y$22,25,0)</f>
        <v>6.1999999999999998E-3</v>
      </c>
      <c r="Q16" s="3">
        <f>ROUND(VLOOKUP(A16,'[2]Rate Design'!$T$8:$Y$27,2,0),2)</f>
        <v>31.6</v>
      </c>
      <c r="R16" s="155">
        <v>0.79</v>
      </c>
      <c r="S16" s="145">
        <f>ROUND(VLOOKUP(A16,'[2]Rate Design'!$T$8:$Y$27,5,0)/100,4)</f>
        <v>0</v>
      </c>
      <c r="T16" s="146">
        <v>0</v>
      </c>
      <c r="U16" s="99">
        <f t="shared" si="0"/>
        <v>0</v>
      </c>
      <c r="V16" s="99">
        <f t="shared" si="1"/>
        <v>0</v>
      </c>
      <c r="W16" s="99">
        <f t="shared" si="2"/>
        <v>0</v>
      </c>
      <c r="X16" s="145">
        <f>ROUND(IF($F16="kWh",VLOOKUP($A16,[3]Summary!$B$24:$Q$41,13,0)/100,VLOOKUP($A16,[3]Summary!$B$24:$Q$41,15,0)),4)</f>
        <v>7.3000000000000001E-3</v>
      </c>
      <c r="Y16" s="145">
        <f>ROUND(IF($F16="kWh",VLOOKUP($A16,[3]Summary!$B$24:$Q$41,14,0)/100,VLOOKUP($A16,[3]Summary!$B$24:$Q$41,16,0)),4)</f>
        <v>6.1999999999999998E-3</v>
      </c>
    </row>
    <row r="17" spans="1:25" s="182" customFormat="1" x14ac:dyDescent="0.2">
      <c r="A17" s="7" t="s">
        <v>131</v>
      </c>
      <c r="B17" s="140">
        <v>1.0569999999999999</v>
      </c>
      <c r="C17" s="155">
        <v>2000</v>
      </c>
      <c r="D17" s="155">
        <v>750</v>
      </c>
      <c r="E17" s="155"/>
      <c r="F17" s="147" t="s">
        <v>18</v>
      </c>
      <c r="G17" s="121">
        <f>VLOOKUP(A17,'[1]Data for Bill Impacts'!$A$3:$Y$22,17,0)</f>
        <v>30.24</v>
      </c>
      <c r="H17" s="155">
        <v>0</v>
      </c>
      <c r="I17" s="155">
        <v>0.79</v>
      </c>
      <c r="J17" s="125">
        <f>VLOOKUP(A17,'[1]Data for Bill Impacts'!$A$3:$Y$22,19,0)</f>
        <v>1.7399999999999999E-2</v>
      </c>
      <c r="K17" s="155"/>
      <c r="L17" s="155"/>
      <c r="M17" s="121">
        <f>VLOOKUP(A17,'[1]Data for Bill Impacts'!$A$3:$Y$22,22,0)</f>
        <v>0</v>
      </c>
      <c r="N17" s="125">
        <f>VLOOKUP(A17,'[1]Data for Bill Impacts'!$A$3:$Y$22,23,0)</f>
        <v>0</v>
      </c>
      <c r="O17" s="125">
        <f>VLOOKUP(A17,'[1]Data for Bill Impacts'!$A$3:$Y$22,24,0)</f>
        <v>5.5999999999999999E-3</v>
      </c>
      <c r="P17" s="125">
        <f>VLOOKUP(A17,'[1]Data for Bill Impacts'!$A$3:$Y$22,25,0)</f>
        <v>4.5999999999999999E-3</v>
      </c>
      <c r="Q17" s="3">
        <f>ROUND(VLOOKUP(A17,'[2]Rate Design'!$T$8:$Y$27,2,0),2)</f>
        <v>35.68</v>
      </c>
      <c r="R17" s="155">
        <v>0.79</v>
      </c>
      <c r="S17" s="145">
        <f>ROUND(VLOOKUP(A17,'[2]Rate Design'!$T$8:$Y$27,5,0)/100,4)</f>
        <v>2.06E-2</v>
      </c>
      <c r="T17" s="146">
        <v>0</v>
      </c>
      <c r="U17" s="99">
        <f t="shared" si="0"/>
        <v>0</v>
      </c>
      <c r="V17" s="99">
        <f t="shared" si="1"/>
        <v>0</v>
      </c>
      <c r="W17" s="99">
        <f t="shared" si="2"/>
        <v>0</v>
      </c>
      <c r="X17" s="145">
        <f>ROUND(IF($F17="kWh",VLOOKUP($A17,[3]Summary!$B$24:$Q$41,13,0)/100,VLOOKUP($A17,[3]Summary!$B$24:$Q$41,15,0)),4)</f>
        <v>5.5999999999999999E-3</v>
      </c>
      <c r="Y17" s="145">
        <f>ROUND(IF($F17="kWh",VLOOKUP($A17,[3]Summary!$B$24:$Q$41,14,0)/100,VLOOKUP($A17,[3]Summary!$B$24:$Q$41,16,0)),4)</f>
        <v>4.5999999999999999E-3</v>
      </c>
    </row>
    <row r="18" spans="1:25" s="182" customFormat="1" x14ac:dyDescent="0.2">
      <c r="A18" s="7" t="s">
        <v>132</v>
      </c>
      <c r="B18" s="140">
        <v>1.0465</v>
      </c>
      <c r="C18" s="146">
        <v>36000</v>
      </c>
      <c r="D18" s="155">
        <v>0</v>
      </c>
      <c r="E18" s="155">
        <v>117</v>
      </c>
      <c r="F18" s="147" t="s">
        <v>19</v>
      </c>
      <c r="G18" s="121">
        <f>VLOOKUP(A18,'[1]Data for Bill Impacts'!$A$3:$Y$22,17,0)</f>
        <v>209.83</v>
      </c>
      <c r="H18" s="155">
        <v>0</v>
      </c>
      <c r="I18" s="155">
        <v>0</v>
      </c>
      <c r="J18" s="125">
        <f>VLOOKUP(A18,'[1]Data for Bill Impacts'!$A$3:$Y$22,19,0)</f>
        <v>3.86</v>
      </c>
      <c r="K18" s="155"/>
      <c r="L18" s="155"/>
      <c r="M18" s="121">
        <f>VLOOKUP(A18,'[1]Data for Bill Impacts'!$A$3:$Y$22,22,0)</f>
        <v>0</v>
      </c>
      <c r="N18" s="125">
        <f>VLOOKUP(A18,'[1]Data for Bill Impacts'!$A$3:$Y$22,23,0)</f>
        <v>0</v>
      </c>
      <c r="O18" s="125">
        <f>VLOOKUP(A18,'[1]Data for Bill Impacts'!$A$3:$Y$22,24,0)</f>
        <v>1.8612</v>
      </c>
      <c r="P18" s="125">
        <f>VLOOKUP(A18,'[1]Data for Bill Impacts'!$A$3:$Y$22,25,0)</f>
        <v>1.5062</v>
      </c>
      <c r="Q18" s="3">
        <f>ROUND(VLOOKUP(A18,'[2]Rate Design'!$T$8:$Y$27,2,0),2)</f>
        <v>282.77</v>
      </c>
      <c r="R18" s="155">
        <v>0</v>
      </c>
      <c r="S18" s="145">
        <f>ROUND(VLOOKUP(A18,'[2]Rate Design'!$T$8:$Y$27,6,0),4)</f>
        <v>5.1984000000000004</v>
      </c>
      <c r="T18" s="146">
        <v>0</v>
      </c>
      <c r="U18" s="99">
        <f t="shared" si="0"/>
        <v>0</v>
      </c>
      <c r="V18" s="99">
        <f t="shared" si="1"/>
        <v>0</v>
      </c>
      <c r="W18" s="99">
        <f t="shared" si="2"/>
        <v>0</v>
      </c>
      <c r="X18" s="145">
        <f>ROUND(IF($F18="kWh",VLOOKUP($A18,[3]Summary!$B$24:$Q$41,13,0)/100,VLOOKUP($A18,[3]Summary!$B$24:$Q$41,15,0))*B18,4)</f>
        <v>1.8612</v>
      </c>
      <c r="Y18" s="145">
        <f>ROUND(IF($F18="kWh",VLOOKUP($A18,[3]Summary!$B$24:$Q$41,14,0)/100,VLOOKUP($A18,[3]Summary!$B$24:$Q$41,16,0))*B18,4)</f>
        <v>1.5062</v>
      </c>
    </row>
    <row r="19" spans="1:25" s="182" customFormat="1" x14ac:dyDescent="0.2">
      <c r="A19" s="7" t="s">
        <v>119</v>
      </c>
      <c r="B19" s="140">
        <v>1.0667</v>
      </c>
      <c r="C19" s="146">
        <v>750</v>
      </c>
      <c r="D19" s="155">
        <v>600</v>
      </c>
      <c r="E19" s="155"/>
      <c r="F19" s="147" t="s">
        <v>18</v>
      </c>
      <c r="G19" s="121">
        <f>VLOOKUP(A19,'[1]Data for Bill Impacts'!$A$3:$Y$22,17,0)</f>
        <v>40.08</v>
      </c>
      <c r="H19" s="155">
        <v>0</v>
      </c>
      <c r="I19" s="155">
        <v>0.79</v>
      </c>
      <c r="J19" s="125">
        <f>VLOOKUP(A19,'[1]Data for Bill Impacts'!$A$3:$Y$22,19,0)</f>
        <v>0</v>
      </c>
      <c r="K19" s="155"/>
      <c r="L19" s="155"/>
      <c r="M19" s="121">
        <f>VLOOKUP(A19,'[1]Data for Bill Impacts'!$A$3:$Y$22,22,0)</f>
        <v>0</v>
      </c>
      <c r="N19" s="125">
        <f>VLOOKUP(A19,'[1]Data for Bill Impacts'!$A$3:$Y$22,23,0)</f>
        <v>0</v>
      </c>
      <c r="O19" s="125">
        <f>VLOOKUP(A19,'[1]Data for Bill Impacts'!$A$3:$Y$22,24,0)</f>
        <v>7.1000000000000004E-3</v>
      </c>
      <c r="P19" s="125">
        <f>VLOOKUP(A19,'[1]Data for Bill Impacts'!$A$3:$Y$22,25,0)</f>
        <v>6.0000000000000001E-3</v>
      </c>
      <c r="Q19" s="3">
        <f>ROUND(VLOOKUP(A19,'[2]Rate Design'!$T$8:$Y$27,2,0),2)</f>
        <v>41.17</v>
      </c>
      <c r="R19" s="155">
        <v>0.79</v>
      </c>
      <c r="S19" s="145">
        <f>ROUND(VLOOKUP(A19,'[2]Rate Design'!$T$8:$Y$27,5,0)/100,4)</f>
        <v>0</v>
      </c>
      <c r="T19" s="146">
        <v>0</v>
      </c>
      <c r="U19" s="99">
        <f t="shared" si="0"/>
        <v>0</v>
      </c>
      <c r="V19" s="99">
        <f t="shared" si="1"/>
        <v>0</v>
      </c>
      <c r="W19" s="99">
        <f t="shared" si="2"/>
        <v>0</v>
      </c>
      <c r="X19" s="145">
        <f>ROUND(IF($F19="kWh",VLOOKUP($A19,[3]Summary!$B$24:$Q$41,13,0)/100,VLOOKUP($A19,[3]Summary!$B$24:$Q$41,15,0)),4)</f>
        <v>7.1000000000000004E-3</v>
      </c>
      <c r="Y19" s="145">
        <f>ROUND(IF($F19="kWh",VLOOKUP($A19,[3]Summary!$B$24:$Q$41,14,0)/100,VLOOKUP($A19,[3]Summary!$B$24:$Q$41,16,0)),4)</f>
        <v>6.0000000000000001E-3</v>
      </c>
    </row>
    <row r="20" spans="1:25" s="182" customFormat="1" x14ac:dyDescent="0.2">
      <c r="A20" s="7" t="s">
        <v>120</v>
      </c>
      <c r="B20" s="140">
        <v>1.0667</v>
      </c>
      <c r="C20" s="146">
        <v>2000</v>
      </c>
      <c r="D20" s="155">
        <v>750</v>
      </c>
      <c r="E20" s="155"/>
      <c r="F20" s="147" t="s">
        <v>18</v>
      </c>
      <c r="G20" s="121">
        <f>VLOOKUP(A20,'[1]Data for Bill Impacts'!$A$3:$Y$22,17,0)</f>
        <v>40.82</v>
      </c>
      <c r="H20" s="155">
        <v>0</v>
      </c>
      <c r="I20" s="155">
        <v>0.79</v>
      </c>
      <c r="J20" s="125">
        <f>VLOOKUP(A20,'[1]Data for Bill Impacts'!$A$3:$Y$22,19,0)</f>
        <v>1.8700000000000001E-2</v>
      </c>
      <c r="K20" s="155"/>
      <c r="L20" s="155"/>
      <c r="M20" s="121">
        <f>VLOOKUP(A20,'[1]Data for Bill Impacts'!$A$3:$Y$22,22,0)</f>
        <v>0</v>
      </c>
      <c r="N20" s="125">
        <f>VLOOKUP(A20,'[1]Data for Bill Impacts'!$A$3:$Y$22,23,0)</f>
        <v>0</v>
      </c>
      <c r="O20" s="125">
        <f>VLOOKUP(A20,'[1]Data for Bill Impacts'!$A$3:$Y$22,24,0)</f>
        <v>5.3E-3</v>
      </c>
      <c r="P20" s="125">
        <f>VLOOKUP(A20,'[1]Data for Bill Impacts'!$A$3:$Y$22,25,0)</f>
        <v>4.4000000000000003E-3</v>
      </c>
      <c r="Q20" s="3">
        <f>ROUND(VLOOKUP(A20,'[2]Rate Design'!$T$8:$Y$27,2,0),2)</f>
        <v>42.92</v>
      </c>
      <c r="R20" s="155">
        <v>0.79</v>
      </c>
      <c r="S20" s="145">
        <f>ROUND(VLOOKUP(A20,'[2]Rate Design'!$T$8:$Y$27,5,0)/100,4)</f>
        <v>1.9900000000000001E-2</v>
      </c>
      <c r="T20" s="146">
        <v>0</v>
      </c>
      <c r="U20" s="99">
        <f t="shared" si="0"/>
        <v>0</v>
      </c>
      <c r="V20" s="99">
        <f t="shared" si="1"/>
        <v>0</v>
      </c>
      <c r="W20" s="99">
        <f t="shared" si="2"/>
        <v>0</v>
      </c>
      <c r="X20" s="145">
        <f>ROUND(IF($F20="kWh",VLOOKUP($A20,[3]Summary!$B$24:$Q$41,13,0)/100,VLOOKUP($A20,[3]Summary!$B$24:$Q$41,15,0)),4)</f>
        <v>5.3E-3</v>
      </c>
      <c r="Y20" s="145">
        <f>ROUND(IF($F20="kWh",VLOOKUP($A20,[3]Summary!$B$24:$Q$41,14,0)/100,VLOOKUP($A20,[3]Summary!$B$24:$Q$41,16,0)),4)</f>
        <v>4.4000000000000003E-3</v>
      </c>
    </row>
    <row r="21" spans="1:25" s="182" customFormat="1" x14ac:dyDescent="0.2">
      <c r="A21" s="7" t="s">
        <v>121</v>
      </c>
      <c r="B21" s="140">
        <v>1.0563</v>
      </c>
      <c r="C21" s="146">
        <v>36000</v>
      </c>
      <c r="D21" s="155">
        <v>0</v>
      </c>
      <c r="E21" s="155">
        <v>117</v>
      </c>
      <c r="F21" s="147" t="s">
        <v>19</v>
      </c>
      <c r="G21" s="121">
        <f>VLOOKUP(A21,'[1]Data for Bill Impacts'!$A$3:$Y$22,17,0)</f>
        <v>208.51</v>
      </c>
      <c r="H21" s="155">
        <v>0</v>
      </c>
      <c r="I21" s="155">
        <v>0</v>
      </c>
      <c r="J21" s="125">
        <f>VLOOKUP(A21,'[1]Data for Bill Impacts'!$A$3:$Y$22,19,0)</f>
        <v>5.14</v>
      </c>
      <c r="K21" s="155"/>
      <c r="L21" s="155"/>
      <c r="M21" s="121">
        <f>VLOOKUP(A21,'[1]Data for Bill Impacts'!$A$3:$Y$22,22,0)</f>
        <v>0</v>
      </c>
      <c r="N21" s="125">
        <f>VLOOKUP(A21,'[1]Data for Bill Impacts'!$A$3:$Y$22,23,0)</f>
        <v>0</v>
      </c>
      <c r="O21" s="125">
        <f>VLOOKUP(A21,'[1]Data for Bill Impacts'!$A$3:$Y$22,24,0)</f>
        <v>1.8483000000000001</v>
      </c>
      <c r="P21" s="125">
        <f>VLOOKUP(A21,'[1]Data for Bill Impacts'!$A$3:$Y$22,25,0)</f>
        <v>1.5101</v>
      </c>
      <c r="Q21" s="3">
        <f>ROUND(VLOOKUP(A21,'[2]Rate Design'!$T$8:$Y$27,2,0),2)</f>
        <v>252.3</v>
      </c>
      <c r="R21" s="155">
        <v>0</v>
      </c>
      <c r="S21" s="145">
        <f>ROUND(VLOOKUP(A21,'[2]Rate Design'!$T$8:$Y$27,6,0),4)</f>
        <v>6.3239000000000001</v>
      </c>
      <c r="T21" s="146">
        <v>0</v>
      </c>
      <c r="U21" s="99">
        <f t="shared" si="0"/>
        <v>0</v>
      </c>
      <c r="V21" s="99">
        <f t="shared" si="1"/>
        <v>0</v>
      </c>
      <c r="W21" s="99">
        <f t="shared" si="2"/>
        <v>0</v>
      </c>
      <c r="X21" s="145">
        <f>ROUND(IF($F21="kWh",VLOOKUP($A21,[3]Summary!$B$24:$Q$41,13,0)/100,VLOOKUP($A21,[3]Summary!$B$24:$Q$41,15,0))*B21,4)</f>
        <v>1.8483000000000001</v>
      </c>
      <c r="Y21" s="145">
        <f>ROUND(IF($F21="kWh",VLOOKUP($A21,[3]Summary!$B$24:$Q$41,14,0)/100,VLOOKUP($A21,[3]Summary!$B$24:$Q$41,16,0))*B21,4)</f>
        <v>1.5101</v>
      </c>
    </row>
    <row r="22" spans="1:25" x14ac:dyDescent="0.2">
      <c r="G22"/>
      <c r="H22"/>
      <c r="I22"/>
      <c r="J22"/>
      <c r="K22"/>
      <c r="L22"/>
      <c r="M22"/>
      <c r="N22"/>
      <c r="O22" s="67"/>
      <c r="P22" s="67"/>
    </row>
    <row r="23" spans="1:25" x14ac:dyDescent="0.2">
      <c r="G23"/>
      <c r="H23"/>
      <c r="I23"/>
      <c r="J23"/>
      <c r="K23"/>
      <c r="L23"/>
      <c r="M23"/>
      <c r="N23"/>
      <c r="O23" s="67"/>
      <c r="P23" s="67"/>
    </row>
    <row r="24" spans="1:25" x14ac:dyDescent="0.2">
      <c r="G24"/>
      <c r="H24"/>
      <c r="I24"/>
      <c r="J24"/>
      <c r="K24"/>
      <c r="L24"/>
      <c r="M24"/>
      <c r="N24"/>
      <c r="O24" s="67"/>
      <c r="P24" s="67"/>
    </row>
    <row r="25" spans="1:25" x14ac:dyDescent="0.2">
      <c r="G25"/>
      <c r="H25"/>
      <c r="I25"/>
      <c r="J25"/>
      <c r="K25"/>
      <c r="L25"/>
      <c r="M25"/>
      <c r="N25"/>
      <c r="O25" s="67"/>
      <c r="P25" s="67"/>
    </row>
    <row r="26" spans="1:25" x14ac:dyDescent="0.2">
      <c r="G26"/>
      <c r="H26"/>
      <c r="I26"/>
      <c r="J26"/>
      <c r="K26"/>
      <c r="L26"/>
      <c r="M26"/>
      <c r="N26"/>
      <c r="O26" s="67"/>
      <c r="P26" s="67"/>
    </row>
    <row r="27" spans="1:25" x14ac:dyDescent="0.2">
      <c r="G27"/>
      <c r="H27"/>
      <c r="I27"/>
      <c r="J27"/>
      <c r="K27"/>
      <c r="L27"/>
      <c r="M27"/>
      <c r="N27"/>
      <c r="O27" s="67"/>
      <c r="P27" s="67"/>
    </row>
    <row r="28" spans="1:25" x14ac:dyDescent="0.2">
      <c r="G28"/>
      <c r="H28"/>
      <c r="I28"/>
      <c r="J28"/>
      <c r="K28"/>
      <c r="L28"/>
      <c r="M28"/>
      <c r="N28"/>
      <c r="O28" s="67"/>
      <c r="P28" s="67"/>
    </row>
    <row r="29" spans="1:25" x14ac:dyDescent="0.2">
      <c r="G29"/>
      <c r="H29"/>
      <c r="I29"/>
      <c r="J29"/>
      <c r="K29"/>
      <c r="L29"/>
      <c r="M29"/>
      <c r="N29"/>
      <c r="O29" s="67"/>
      <c r="P29" s="67"/>
    </row>
    <row r="30" spans="1:25" x14ac:dyDescent="0.2">
      <c r="G30"/>
      <c r="H30"/>
      <c r="I30"/>
      <c r="J30"/>
      <c r="K30"/>
      <c r="L30"/>
      <c r="M30"/>
      <c r="N30"/>
      <c r="O30" s="67"/>
      <c r="P30" s="67"/>
    </row>
    <row r="31" spans="1:25" x14ac:dyDescent="0.2">
      <c r="G31"/>
      <c r="H31"/>
      <c r="I31"/>
      <c r="J31"/>
      <c r="K31"/>
      <c r="L31"/>
      <c r="M31"/>
      <c r="N31"/>
      <c r="O31" s="67"/>
      <c r="P31" s="67"/>
    </row>
  </sheetData>
  <pageMargins left="0.7" right="0.7" top="0.75" bottom="0.75" header="0.3" footer="0.3"/>
  <pageSetup paperSize="17" scale="69" orientation="landscape" r:id="rId1"/>
  <headerFooter>
    <oddHeader>&amp;RFiled: 2017-03-31
EB-2017-0049
Exhibit H1-4-1
Attachment 5
Page &amp;P of &amp;N</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theme="1" tint="0.499984740745262"/>
    <pageSetUpPr fitToPage="1"/>
  </sheetPr>
  <dimension ref="A1:K68"/>
  <sheetViews>
    <sheetView tabSelected="1" zoomScaleNormal="100" zoomScaleSheetLayoutView="9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1</v>
      </c>
    </row>
    <row r="4" spans="1:11" x14ac:dyDescent="0.2">
      <c r="A4" s="14" t="s">
        <v>62</v>
      </c>
      <c r="B4" s="78">
        <f>'Data for Bill Impacts_HONI Avg '!C4</f>
        <v>920</v>
      </c>
    </row>
    <row r="5" spans="1:11" x14ac:dyDescent="0.2">
      <c r="A5" s="14" t="s">
        <v>16</v>
      </c>
      <c r="B5" s="14">
        <f>VLOOKUP($B$3,'Data for Bill Impacts'!$A$3:$Y$15,5,0)</f>
        <v>0</v>
      </c>
    </row>
    <row r="6" spans="1:11" x14ac:dyDescent="0.2">
      <c r="A6" s="14" t="s">
        <v>20</v>
      </c>
      <c r="B6" s="14">
        <f>VLOOKUP($B$3,'Data for Bill Impacts'!$A$3:$Y$15,2,0)</f>
        <v>1.0760000000000001</v>
      </c>
    </row>
    <row r="7" spans="1:11" x14ac:dyDescent="0.2">
      <c r="A7" s="14" t="s">
        <v>15</v>
      </c>
      <c r="B7" s="14">
        <f>VLOOKUP($B$3,'Data for Bill Impacts'!$A$3:$Y$15,4,0)</f>
        <v>600</v>
      </c>
    </row>
    <row r="8" spans="1:11" x14ac:dyDescent="0.2">
      <c r="A8" s="14" t="s">
        <v>82</v>
      </c>
      <c r="B8" s="149">
        <f>B4*B6</f>
        <v>989.92000000000007</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0.30289438463335744</v>
      </c>
      <c r="K12" s="105"/>
    </row>
    <row r="13" spans="1:11" x14ac:dyDescent="0.2">
      <c r="A13" s="106" t="s">
        <v>32</v>
      </c>
      <c r="B13" s="72">
        <f>IF(B4&gt;B7,(B4)-B7,0)</f>
        <v>320</v>
      </c>
      <c r="C13" s="20">
        <v>0.121</v>
      </c>
      <c r="D13" s="21">
        <f>B13*C13</f>
        <v>38.72</v>
      </c>
      <c r="E13" s="72">
        <f t="shared" ref="E13" si="0">B13</f>
        <v>320</v>
      </c>
      <c r="F13" s="20">
        <f>C13</f>
        <v>0.121</v>
      </c>
      <c r="G13" s="21">
        <f>E13*F13</f>
        <v>38.72</v>
      </c>
      <c r="H13" s="21">
        <f t="shared" ref="H13:H46" si="1">G13-D13</f>
        <v>0</v>
      </c>
      <c r="I13" s="22">
        <f t="shared" ref="I13:I46" si="2">IF(ISERROR(H13/D13),0,(H13/D13))</f>
        <v>0</v>
      </c>
      <c r="J13" s="22">
        <f>G13/$G$46</f>
        <v>0.18977460474115859</v>
      </c>
      <c r="K13" s="107"/>
    </row>
    <row r="14" spans="1:11" s="1" customFormat="1" x14ac:dyDescent="0.2">
      <c r="A14" s="45" t="s">
        <v>33</v>
      </c>
      <c r="B14" s="23"/>
      <c r="C14" s="24"/>
      <c r="D14" s="24">
        <f>SUM(D12:D13)</f>
        <v>100.52</v>
      </c>
      <c r="E14" s="75"/>
      <c r="F14" s="24"/>
      <c r="G14" s="24">
        <f>SUM(G12:G13)</f>
        <v>100.52</v>
      </c>
      <c r="H14" s="24">
        <f t="shared" si="1"/>
        <v>0</v>
      </c>
      <c r="I14" s="26">
        <f t="shared" si="2"/>
        <v>0</v>
      </c>
      <c r="J14" s="26">
        <f>G14/$G$46</f>
        <v>0.49266898937451603</v>
      </c>
      <c r="K14" s="107"/>
    </row>
    <row r="15" spans="1:11" s="1" customFormat="1" x14ac:dyDescent="0.2">
      <c r="A15" s="108" t="s">
        <v>34</v>
      </c>
      <c r="B15" s="74">
        <f>B4*0.65</f>
        <v>598</v>
      </c>
      <c r="C15" s="27">
        <v>8.6999999999999994E-2</v>
      </c>
      <c r="D15" s="21">
        <f>B15*C15</f>
        <v>52.025999999999996</v>
      </c>
      <c r="E15" s="72">
        <f t="shared" ref="E15:F17" si="3">B15</f>
        <v>598</v>
      </c>
      <c r="F15" s="27">
        <f t="shared" si="3"/>
        <v>8.6999999999999994E-2</v>
      </c>
      <c r="G15" s="21">
        <f>E15*F15</f>
        <v>52.025999999999996</v>
      </c>
      <c r="H15" s="21">
        <f t="shared" si="1"/>
        <v>0</v>
      </c>
      <c r="I15" s="22">
        <f t="shared" si="2"/>
        <v>0</v>
      </c>
      <c r="J15" s="22"/>
      <c r="K15" s="107">
        <f t="shared" ref="K15:K26" si="4">G15/$G$51</f>
        <v>0.25331244185492036</v>
      </c>
    </row>
    <row r="16" spans="1:11" s="1" customFormat="1" x14ac:dyDescent="0.2">
      <c r="A16" s="108" t="s">
        <v>35</v>
      </c>
      <c r="B16" s="74">
        <f>B4*0.17</f>
        <v>156.4</v>
      </c>
      <c r="C16" s="27">
        <v>0.13200000000000001</v>
      </c>
      <c r="D16" s="21">
        <f>B16*C16</f>
        <v>20.6448</v>
      </c>
      <c r="E16" s="72">
        <f t="shared" si="3"/>
        <v>156.4</v>
      </c>
      <c r="F16" s="27">
        <f t="shared" si="3"/>
        <v>0.13200000000000001</v>
      </c>
      <c r="G16" s="21">
        <f>E16*F16</f>
        <v>20.6448</v>
      </c>
      <c r="H16" s="21">
        <f t="shared" si="1"/>
        <v>0</v>
      </c>
      <c r="I16" s="22">
        <f t="shared" si="2"/>
        <v>0</v>
      </c>
      <c r="J16" s="22"/>
      <c r="K16" s="107">
        <f t="shared" si="4"/>
        <v>0.10051867719229732</v>
      </c>
    </row>
    <row r="17" spans="1:11" s="1" customFormat="1" x14ac:dyDescent="0.2">
      <c r="A17" s="108" t="s">
        <v>36</v>
      </c>
      <c r="B17" s="74">
        <f>B4*0.18</f>
        <v>165.6</v>
      </c>
      <c r="C17" s="27">
        <v>0.18</v>
      </c>
      <c r="D17" s="21">
        <f>B17*C17</f>
        <v>29.807999999999996</v>
      </c>
      <c r="E17" s="72">
        <f t="shared" si="3"/>
        <v>165.6</v>
      </c>
      <c r="F17" s="27">
        <f t="shared" si="3"/>
        <v>0.18</v>
      </c>
      <c r="G17" s="21">
        <f>E17*F17</f>
        <v>29.807999999999996</v>
      </c>
      <c r="H17" s="21">
        <f t="shared" si="1"/>
        <v>0</v>
      </c>
      <c r="I17" s="22">
        <f t="shared" si="2"/>
        <v>0</v>
      </c>
      <c r="J17" s="22"/>
      <c r="K17" s="107">
        <f t="shared" si="4"/>
        <v>0.14513391894075012</v>
      </c>
    </row>
    <row r="18" spans="1:11" s="1" customFormat="1" x14ac:dyDescent="0.2">
      <c r="A18" s="60" t="s">
        <v>37</v>
      </c>
      <c r="B18" s="28"/>
      <c r="C18" s="29"/>
      <c r="D18" s="29">
        <f>SUM(D15:D17)</f>
        <v>102.47879999999999</v>
      </c>
      <c r="E18" s="76"/>
      <c r="F18" s="29"/>
      <c r="G18" s="29">
        <f>SUM(G15:G17)</f>
        <v>102.47879999999999</v>
      </c>
      <c r="H18" s="30">
        <f t="shared" si="1"/>
        <v>0</v>
      </c>
      <c r="I18" s="31">
        <f t="shared" si="2"/>
        <v>0</v>
      </c>
      <c r="J18" s="32">
        <f t="shared" ref="J18:J23" si="5">G18/$G$46</f>
        <v>0.50226946705444842</v>
      </c>
      <c r="K18" s="61">
        <f t="shared" si="4"/>
        <v>0.49896503798796776</v>
      </c>
    </row>
    <row r="19" spans="1:11" x14ac:dyDescent="0.2">
      <c r="A19" s="106" t="s">
        <v>38</v>
      </c>
      <c r="B19" s="72">
        <v>1</v>
      </c>
      <c r="C19" s="77">
        <f>VLOOKUP($B$3,'Data for Bill Impacts'!$A$3:$Y$15,7,0)</f>
        <v>52.36</v>
      </c>
      <c r="D19" s="21">
        <f>B19*C19</f>
        <v>52.36</v>
      </c>
      <c r="E19" s="72">
        <f t="shared" ref="E19:E41" si="6">B19</f>
        <v>1</v>
      </c>
      <c r="F19" s="77">
        <f>VLOOKUP($B$3,'Data for Bill Impacts'!$A$3:$Y$15,17,0)</f>
        <v>58.34</v>
      </c>
      <c r="G19" s="21">
        <f>E19*F19</f>
        <v>58.34</v>
      </c>
      <c r="H19" s="21">
        <f t="shared" si="1"/>
        <v>5.980000000000004</v>
      </c>
      <c r="I19" s="22">
        <f t="shared" si="2"/>
        <v>0.11420932009167312</v>
      </c>
      <c r="J19" s="22">
        <f t="shared" si="5"/>
        <v>0.28593622005679731</v>
      </c>
      <c r="K19" s="107">
        <f t="shared" si="4"/>
        <v>0.28405504666543757</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920</v>
      </c>
      <c r="C23" s="77">
        <f>VLOOKUP($B$3,'Data for Bill Impacts'!$A$3:$Y$15,10,0)</f>
        <v>1.1599999999999999E-2</v>
      </c>
      <c r="D23" s="21">
        <f>B23*C23</f>
        <v>10.671999999999999</v>
      </c>
      <c r="E23" s="72">
        <f t="shared" si="6"/>
        <v>920</v>
      </c>
      <c r="F23" s="77">
        <f>VLOOKUP($B$3,'Data for Bill Impacts'!$A$3:$Y$15,19,0)</f>
        <v>6.6E-3</v>
      </c>
      <c r="G23" s="21">
        <f>E23*F23</f>
        <v>6.0720000000000001</v>
      </c>
      <c r="H23" s="21">
        <f t="shared" si="1"/>
        <v>-4.5999999999999988</v>
      </c>
      <c r="I23" s="22">
        <f t="shared" si="2"/>
        <v>-0.43103448275862061</v>
      </c>
      <c r="J23" s="22">
        <f t="shared" si="5"/>
        <v>2.9760108470772598E-2</v>
      </c>
      <c r="K23" s="107">
        <f t="shared" si="4"/>
        <v>2.9564316821263915E-2</v>
      </c>
    </row>
    <row r="24" spans="1:11" x14ac:dyDescent="0.2">
      <c r="A24" s="106" t="s">
        <v>129</v>
      </c>
      <c r="B24" s="72">
        <f>IF($B$9="kWh",$B$4,$B$5)</f>
        <v>920</v>
      </c>
      <c r="C24" s="125">
        <f>VLOOKUP($B$3,'Data for Bill Impacts'!$A$3:$Y$15,14,0)</f>
        <v>2.0000000000000001E-4</v>
      </c>
      <c r="D24" s="21">
        <f>B24*C24</f>
        <v>0.184</v>
      </c>
      <c r="E24" s="72">
        <f t="shared" si="6"/>
        <v>920</v>
      </c>
      <c r="F24" s="125">
        <f>VLOOKUP($B$3,'Data for Bill Impacts'!$A$3:$Y$15,23,0)</f>
        <v>2.0000000000000001E-4</v>
      </c>
      <c r="G24" s="21">
        <f>E24*F24</f>
        <v>0.184</v>
      </c>
      <c r="H24" s="21">
        <f t="shared" si="1"/>
        <v>0</v>
      </c>
      <c r="I24" s="22">
        <f>IF(ISERROR(H24/D24),0,(H24/D24))</f>
        <v>0</v>
      </c>
      <c r="J24" s="22">
        <f t="shared" ref="J24" si="9">G24/$G$46</f>
        <v>9.0182146881129081E-4</v>
      </c>
      <c r="K24" s="107">
        <f t="shared" si="4"/>
        <v>8.9588838852314894E-4</v>
      </c>
    </row>
    <row r="25" spans="1:11" s="1" customFormat="1" x14ac:dyDescent="0.2">
      <c r="A25" s="109" t="s">
        <v>72</v>
      </c>
      <c r="B25" s="73"/>
      <c r="C25" s="34"/>
      <c r="D25" s="34">
        <f>SUM(D19:D24)</f>
        <v>63.215999999999994</v>
      </c>
      <c r="E25" s="72"/>
      <c r="F25" s="34"/>
      <c r="G25" s="34">
        <f>SUM(G19:G24)</f>
        <v>64.596000000000004</v>
      </c>
      <c r="H25" s="34">
        <f t="shared" si="1"/>
        <v>1.3800000000000097</v>
      </c>
      <c r="I25" s="35">
        <f t="shared" si="2"/>
        <v>2.182991647684146E-2</v>
      </c>
      <c r="J25" s="35">
        <f>G25/$G$46</f>
        <v>0.3165981499963812</v>
      </c>
      <c r="K25" s="110">
        <f t="shared" si="4"/>
        <v>0.31451525187522461</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3.8719508715267378E-3</v>
      </c>
      <c r="K26" s="107">
        <f t="shared" si="4"/>
        <v>3.846477320289607E-3</v>
      </c>
    </row>
    <row r="27" spans="1:11" s="1" customFormat="1" x14ac:dyDescent="0.2">
      <c r="A27" s="118" t="s">
        <v>75</v>
      </c>
      <c r="B27" s="119">
        <f>B8-B4</f>
        <v>69.920000000000073</v>
      </c>
      <c r="C27" s="120">
        <f>IF(B4&gt;B7,C13,C12)</f>
        <v>0.121</v>
      </c>
      <c r="D27" s="21">
        <f>B27*C27</f>
        <v>8.4603200000000083</v>
      </c>
      <c r="E27" s="72">
        <f>B27</f>
        <v>69.920000000000073</v>
      </c>
      <c r="F27" s="120">
        <f>C27</f>
        <v>0.121</v>
      </c>
      <c r="G27" s="21">
        <f>E27*F27</f>
        <v>8.4603200000000083</v>
      </c>
      <c r="H27" s="21">
        <f t="shared" si="1"/>
        <v>0</v>
      </c>
      <c r="I27" s="22">
        <f>IF(ISERROR(H27/D27),0,(H27/D27))</f>
        <v>0</v>
      </c>
      <c r="J27" s="22">
        <f t="shared" ref="J27:J46" si="10">G27/$G$46</f>
        <v>4.1465751135943189E-2</v>
      </c>
      <c r="K27" s="107">
        <f t="shared" ref="K27:K41" si="11">G27/$G$51</f>
        <v>4.1192948104294427E-2</v>
      </c>
    </row>
    <row r="28" spans="1:11" s="1" customFormat="1" x14ac:dyDescent="0.2">
      <c r="A28" s="118" t="s">
        <v>74</v>
      </c>
      <c r="B28" s="119">
        <f>B8-B4</f>
        <v>69.920000000000073</v>
      </c>
      <c r="C28" s="120">
        <f>0.65*C15+0.17*C16+0.18*C17</f>
        <v>0.11139</v>
      </c>
      <c r="D28" s="21">
        <f>B28*C28</f>
        <v>7.7883888000000079</v>
      </c>
      <c r="E28" s="72">
        <f>B28</f>
        <v>69.920000000000073</v>
      </c>
      <c r="F28" s="120">
        <f>C28</f>
        <v>0.11139</v>
      </c>
      <c r="G28" s="21">
        <f>E28*F28</f>
        <v>7.7883888000000079</v>
      </c>
      <c r="H28" s="21">
        <f t="shared" si="1"/>
        <v>0</v>
      </c>
      <c r="I28" s="22">
        <f>IF(ISERROR(H28/D28),0,(H28/D28))</f>
        <v>0</v>
      </c>
      <c r="J28" s="22">
        <f t="shared" si="10"/>
        <v>3.8172479496138119E-2</v>
      </c>
      <c r="K28" s="107">
        <f t="shared" si="11"/>
        <v>3.7921342887085589E-2</v>
      </c>
    </row>
    <row r="29" spans="1:11" s="1" customFormat="1" x14ac:dyDescent="0.2">
      <c r="A29" s="109" t="s">
        <v>78</v>
      </c>
      <c r="B29" s="73"/>
      <c r="C29" s="34"/>
      <c r="D29" s="34">
        <f>SUM(D25,D26:D27)</f>
        <v>72.46632000000001</v>
      </c>
      <c r="E29" s="72"/>
      <c r="F29" s="34"/>
      <c r="G29" s="34">
        <f>SUM(G25,G26:G27)</f>
        <v>73.84632000000002</v>
      </c>
      <c r="H29" s="34">
        <f t="shared" si="1"/>
        <v>1.3800000000000097</v>
      </c>
      <c r="I29" s="35">
        <f>IF(ISERROR(H29/D29),0,(H29/D29))</f>
        <v>1.9043329370113032E-2</v>
      </c>
      <c r="J29" s="35">
        <f t="shared" si="10"/>
        <v>0.3619358520038512</v>
      </c>
      <c r="K29" s="110">
        <f t="shared" si="11"/>
        <v>0.35955467729980872</v>
      </c>
    </row>
    <row r="30" spans="1:11" s="1" customFormat="1" x14ac:dyDescent="0.2">
      <c r="A30" s="109" t="s">
        <v>77</v>
      </c>
      <c r="B30" s="73"/>
      <c r="C30" s="34"/>
      <c r="D30" s="34">
        <f>SUM(D25,D26,D28)</f>
        <v>71.794388800000007</v>
      </c>
      <c r="E30" s="72"/>
      <c r="F30" s="34"/>
      <c r="G30" s="34">
        <f>SUM(G25,G26,G28)</f>
        <v>73.174388800000017</v>
      </c>
      <c r="H30" s="34">
        <f t="shared" si="1"/>
        <v>1.3800000000000097</v>
      </c>
      <c r="I30" s="35">
        <f>IF(ISERROR(H30/D30),0,(H30/D30))</f>
        <v>1.9221557883086392E-2</v>
      </c>
      <c r="J30" s="35">
        <f t="shared" si="10"/>
        <v>0.35864258036404612</v>
      </c>
      <c r="K30" s="110">
        <f t="shared" si="11"/>
        <v>0.35628307208259985</v>
      </c>
    </row>
    <row r="31" spans="1:11" x14ac:dyDescent="0.2">
      <c r="A31" s="106" t="s">
        <v>40</v>
      </c>
      <c r="B31" s="72">
        <f>B8</f>
        <v>989.92000000000007</v>
      </c>
      <c r="C31" s="125">
        <f>VLOOKUP($B$3,'Data for Bill Impacts'!$A$3:$Y$15,15,0)</f>
        <v>7.1999999999999998E-3</v>
      </c>
      <c r="D31" s="21">
        <f>B31*C31</f>
        <v>7.1274240000000004</v>
      </c>
      <c r="E31" s="72">
        <f t="shared" si="6"/>
        <v>989.92000000000007</v>
      </c>
      <c r="F31" s="77">
        <f>VLOOKUP($B$3,'Data for Bill Impacts'!$A$3:$Y$15,24,0)</f>
        <v>7.1999999999999998E-3</v>
      </c>
      <c r="G31" s="21">
        <f>E31*F31</f>
        <v>7.1274240000000004</v>
      </c>
      <c r="H31" s="21">
        <f t="shared" si="1"/>
        <v>0</v>
      </c>
      <c r="I31" s="22">
        <f t="shared" si="2"/>
        <v>0</v>
      </c>
      <c r="J31" s="22">
        <f t="shared" si="10"/>
        <v>3.4932956415874163E-2</v>
      </c>
      <c r="K31" s="107">
        <f t="shared" si="11"/>
        <v>3.4703132617832699E-2</v>
      </c>
    </row>
    <row r="32" spans="1:11" x14ac:dyDescent="0.2">
      <c r="A32" s="106" t="s">
        <v>41</v>
      </c>
      <c r="B32" s="72">
        <f>B8</f>
        <v>989.92000000000007</v>
      </c>
      <c r="C32" s="125">
        <f>VLOOKUP($B$3,'Data for Bill Impacts'!$A$3:$Y$15,16,0)</f>
        <v>5.8999999999999999E-3</v>
      </c>
      <c r="D32" s="21">
        <f>B32*C32</f>
        <v>5.8405279999999999</v>
      </c>
      <c r="E32" s="72">
        <f t="shared" si="6"/>
        <v>989.92000000000007</v>
      </c>
      <c r="F32" s="77">
        <f>VLOOKUP($B$3,'Data for Bill Impacts'!$A$3:$Y$15,25,0)</f>
        <v>5.8999999999999999E-3</v>
      </c>
      <c r="G32" s="21">
        <f>E32*F32</f>
        <v>5.8405279999999999</v>
      </c>
      <c r="H32" s="21">
        <f t="shared" si="1"/>
        <v>0</v>
      </c>
      <c r="I32" s="22">
        <f t="shared" si="2"/>
        <v>0</v>
      </c>
      <c r="J32" s="22">
        <f t="shared" si="10"/>
        <v>2.8625617063007994E-2</v>
      </c>
      <c r="K32" s="107">
        <f t="shared" si="11"/>
        <v>2.8437289228501795E-2</v>
      </c>
    </row>
    <row r="33" spans="1:11" s="1" customFormat="1" x14ac:dyDescent="0.2">
      <c r="A33" s="109" t="s">
        <v>76</v>
      </c>
      <c r="B33" s="73"/>
      <c r="C33" s="34"/>
      <c r="D33" s="34">
        <f>SUM(D31:D32)</f>
        <v>12.967952</v>
      </c>
      <c r="E33" s="72"/>
      <c r="F33" s="34"/>
      <c r="G33" s="34">
        <f>SUM(G31:G32)</f>
        <v>12.967952</v>
      </c>
      <c r="H33" s="34">
        <f t="shared" si="1"/>
        <v>0</v>
      </c>
      <c r="I33" s="35">
        <f t="shared" si="2"/>
        <v>0</v>
      </c>
      <c r="J33" s="35">
        <f t="shared" si="10"/>
        <v>6.3558573478882149E-2</v>
      </c>
      <c r="K33" s="110">
        <f t="shared" si="11"/>
        <v>6.3140421846334491E-2</v>
      </c>
    </row>
    <row r="34" spans="1:11" s="1" customFormat="1" x14ac:dyDescent="0.2">
      <c r="A34" s="109" t="s">
        <v>93</v>
      </c>
      <c r="B34" s="73"/>
      <c r="C34" s="34"/>
      <c r="D34" s="34">
        <f>D29+D33</f>
        <v>85.434272000000007</v>
      </c>
      <c r="E34" s="72"/>
      <c r="F34" s="34"/>
      <c r="G34" s="34">
        <f>G29+G33</f>
        <v>86.814272000000017</v>
      </c>
      <c r="H34" s="34">
        <f t="shared" si="1"/>
        <v>1.3800000000000097</v>
      </c>
      <c r="I34" s="35">
        <f t="shared" si="2"/>
        <v>1.6152768294204107E-2</v>
      </c>
      <c r="J34" s="35">
        <f t="shared" si="10"/>
        <v>0.42549442548273331</v>
      </c>
      <c r="K34" s="110">
        <f t="shared" si="11"/>
        <v>0.42269509914614317</v>
      </c>
    </row>
    <row r="35" spans="1:11" s="1" customFormat="1" x14ac:dyDescent="0.2">
      <c r="A35" s="109" t="s">
        <v>94</v>
      </c>
      <c r="B35" s="73"/>
      <c r="C35" s="34"/>
      <c r="D35" s="34">
        <f>D30+D33</f>
        <v>84.762340800000004</v>
      </c>
      <c r="E35" s="72"/>
      <c r="F35" s="34"/>
      <c r="G35" s="34">
        <f>G30+G33</f>
        <v>86.142340800000014</v>
      </c>
      <c r="H35" s="34">
        <f t="shared" si="1"/>
        <v>1.3800000000000097</v>
      </c>
      <c r="I35" s="35">
        <f t="shared" si="2"/>
        <v>1.6280815123501279E-2</v>
      </c>
      <c r="J35" s="35">
        <f t="shared" si="10"/>
        <v>0.42220115384292822</v>
      </c>
      <c r="K35" s="110">
        <f t="shared" si="11"/>
        <v>0.41942349392893435</v>
      </c>
    </row>
    <row r="36" spans="1:11" x14ac:dyDescent="0.2">
      <c r="A36" s="106" t="s">
        <v>42</v>
      </c>
      <c r="B36" s="72">
        <f>B8</f>
        <v>989.92000000000007</v>
      </c>
      <c r="C36" s="33">
        <v>3.5999999999999999E-3</v>
      </c>
      <c r="D36" s="21">
        <f>B36*C36</f>
        <v>3.5637120000000002</v>
      </c>
      <c r="E36" s="72">
        <f t="shared" si="6"/>
        <v>989.92000000000007</v>
      </c>
      <c r="F36" s="33">
        <v>3.5999999999999999E-3</v>
      </c>
      <c r="G36" s="21">
        <f>E36*F36</f>
        <v>3.5637120000000002</v>
      </c>
      <c r="H36" s="21">
        <f t="shared" si="1"/>
        <v>0</v>
      </c>
      <c r="I36" s="22">
        <f t="shared" si="2"/>
        <v>0</v>
      </c>
      <c r="J36" s="22">
        <f t="shared" si="10"/>
        <v>1.7466478207937081E-2</v>
      </c>
      <c r="K36" s="107">
        <f t="shared" si="11"/>
        <v>1.735156630891635E-2</v>
      </c>
    </row>
    <row r="37" spans="1:11" x14ac:dyDescent="0.2">
      <c r="A37" s="106" t="s">
        <v>43</v>
      </c>
      <c r="B37" s="72">
        <f>B8</f>
        <v>989.92000000000007</v>
      </c>
      <c r="C37" s="33">
        <v>2.0999999999999999E-3</v>
      </c>
      <c r="D37" s="21">
        <f>B37*C37</f>
        <v>2.0788320000000002</v>
      </c>
      <c r="E37" s="72">
        <f t="shared" si="6"/>
        <v>989.92000000000007</v>
      </c>
      <c r="F37" s="33">
        <v>2.0999999999999999E-3</v>
      </c>
      <c r="G37" s="21">
        <f>E37*F37</f>
        <v>2.0788320000000002</v>
      </c>
      <c r="H37" s="21">
        <f>G37-D37</f>
        <v>0</v>
      </c>
      <c r="I37" s="22">
        <f t="shared" si="2"/>
        <v>0</v>
      </c>
      <c r="J37" s="22">
        <f t="shared" si="10"/>
        <v>1.0188778954629964E-2</v>
      </c>
      <c r="K37" s="107">
        <f t="shared" si="11"/>
        <v>1.0121747013534538E-2</v>
      </c>
    </row>
    <row r="38" spans="1:11" x14ac:dyDescent="0.2">
      <c r="A38" s="106" t="s">
        <v>99</v>
      </c>
      <c r="B38" s="72">
        <f>B8</f>
        <v>989.92000000000007</v>
      </c>
      <c r="C38" s="33">
        <v>1.1000000000000001E-3</v>
      </c>
      <c r="D38" s="21">
        <f>B38*C38</f>
        <v>1.0889120000000001</v>
      </c>
      <c r="E38" s="72">
        <f t="shared" si="6"/>
        <v>989.92000000000007</v>
      </c>
      <c r="F38" s="33">
        <v>1.1000000000000001E-3</v>
      </c>
      <c r="G38" s="21">
        <f>E38*F38</f>
        <v>1.0889120000000001</v>
      </c>
      <c r="H38" s="21">
        <f>G38-D38</f>
        <v>0</v>
      </c>
      <c r="I38" s="22">
        <f t="shared" si="2"/>
        <v>0</v>
      </c>
      <c r="J38" s="22">
        <f t="shared" si="10"/>
        <v>5.3369794524252192E-3</v>
      </c>
      <c r="K38" s="107">
        <f t="shared" si="11"/>
        <v>5.3018674832799959E-3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1.2253009087109929E-3</v>
      </c>
      <c r="K39" s="107">
        <f t="shared" si="11"/>
        <v>1.2172396583194959E-3</v>
      </c>
    </row>
    <row r="40" spans="1:11" s="1" customFormat="1" x14ac:dyDescent="0.2">
      <c r="A40" s="109" t="s">
        <v>45</v>
      </c>
      <c r="B40" s="73"/>
      <c r="C40" s="34"/>
      <c r="D40" s="34">
        <f>SUM(D36:D39)</f>
        <v>6.9814560000000014</v>
      </c>
      <c r="E40" s="72"/>
      <c r="F40" s="34"/>
      <c r="G40" s="34">
        <f>SUM(G36:G39)</f>
        <v>6.9814560000000014</v>
      </c>
      <c r="H40" s="34">
        <f t="shared" si="1"/>
        <v>0</v>
      </c>
      <c r="I40" s="35">
        <f t="shared" si="2"/>
        <v>0</v>
      </c>
      <c r="J40" s="35">
        <f t="shared" si="10"/>
        <v>3.4217537523703261E-2</v>
      </c>
      <c r="K40" s="110">
        <f t="shared" si="11"/>
        <v>3.3992420464050384E-2</v>
      </c>
    </row>
    <row r="41" spans="1:11" s="1" customFormat="1" ht="13.5" thickBot="1" x14ac:dyDescent="0.25">
      <c r="A41" s="111" t="s">
        <v>46</v>
      </c>
      <c r="B41" s="112">
        <f>B4</f>
        <v>920</v>
      </c>
      <c r="C41" s="113">
        <v>0</v>
      </c>
      <c r="D41" s="114">
        <f>B41*C41</f>
        <v>0</v>
      </c>
      <c r="E41" s="115">
        <f t="shared" si="6"/>
        <v>920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192.93572799999998</v>
      </c>
      <c r="E42" s="37"/>
      <c r="F42" s="38"/>
      <c r="G42" s="38">
        <f>SUM(G14,G25,G26,G27,G33,G40,G41)</f>
        <v>194.31572799999998</v>
      </c>
      <c r="H42" s="38">
        <f t="shared" si="1"/>
        <v>1.3799999999999955</v>
      </c>
      <c r="I42" s="39">
        <f>IF(ISERROR(H42/D42),0,(H42/D42))</f>
        <v>7.1526410079941006E-3</v>
      </c>
      <c r="J42" s="39">
        <f t="shared" si="10"/>
        <v>0.95238095238095244</v>
      </c>
      <c r="K42" s="40"/>
    </row>
    <row r="43" spans="1:11" x14ac:dyDescent="0.2">
      <c r="A43" s="143" t="s">
        <v>108</v>
      </c>
      <c r="B43" s="42"/>
      <c r="C43" s="25">
        <v>0.13</v>
      </c>
      <c r="D43" s="25">
        <f>D42*C43</f>
        <v>25.08164464</v>
      </c>
      <c r="E43" s="25"/>
      <c r="F43" s="25">
        <f>C43</f>
        <v>0.13</v>
      </c>
      <c r="G43" s="25">
        <f>G42*F43</f>
        <v>25.261044639999998</v>
      </c>
      <c r="H43" s="25">
        <f t="shared" si="1"/>
        <v>0.17939999999999756</v>
      </c>
      <c r="I43" s="43">
        <f t="shared" si="2"/>
        <v>7.152641007994026E-3</v>
      </c>
      <c r="J43" s="43">
        <f t="shared" si="10"/>
        <v>0.12380952380952383</v>
      </c>
      <c r="K43" s="44"/>
    </row>
    <row r="44" spans="1:11" s="1" customFormat="1" x14ac:dyDescent="0.2">
      <c r="A44" s="45" t="s">
        <v>109</v>
      </c>
      <c r="B44" s="23"/>
      <c r="C44" s="24"/>
      <c r="D44" s="24">
        <f>SUM(D42:D43)</f>
        <v>218.01737263999999</v>
      </c>
      <c r="E44" s="24"/>
      <c r="F44" s="24"/>
      <c r="G44" s="24">
        <f>SUM(G42:G43)</f>
        <v>219.57677263999997</v>
      </c>
      <c r="H44" s="24">
        <f t="shared" si="1"/>
        <v>1.5593999999999824</v>
      </c>
      <c r="I44" s="26">
        <f t="shared" si="2"/>
        <v>7.1526410079940424E-3</v>
      </c>
      <c r="J44" s="26">
        <f t="shared" si="10"/>
        <v>1.0761904761904761</v>
      </c>
      <c r="K44" s="46"/>
    </row>
    <row r="45" spans="1:11" x14ac:dyDescent="0.2">
      <c r="A45" s="41" t="s">
        <v>110</v>
      </c>
      <c r="B45" s="42"/>
      <c r="C45" s="25">
        <v>-0.08</v>
      </c>
      <c r="D45" s="25">
        <f>D42*C45</f>
        <v>-15.434858239999999</v>
      </c>
      <c r="E45" s="25"/>
      <c r="F45" s="25">
        <f>C45</f>
        <v>-0.08</v>
      </c>
      <c r="G45" s="25">
        <f>G42*F45</f>
        <v>-15.545258239999999</v>
      </c>
      <c r="H45" s="25">
        <f t="shared" si="1"/>
        <v>-0.11040000000000028</v>
      </c>
      <c r="I45" s="43">
        <f t="shared" si="2"/>
        <v>7.1526410079941422E-3</v>
      </c>
      <c r="J45" s="43">
        <f t="shared" si="10"/>
        <v>-7.6190476190476197E-2</v>
      </c>
      <c r="K45" s="44"/>
    </row>
    <row r="46" spans="1:11" s="1" customFormat="1" ht="13.5" thickBot="1" x14ac:dyDescent="0.25">
      <c r="A46" s="47" t="s">
        <v>111</v>
      </c>
      <c r="B46" s="48"/>
      <c r="C46" s="49"/>
      <c r="D46" s="49">
        <f>SUM(D44:D45)</f>
        <v>202.58251439999998</v>
      </c>
      <c r="E46" s="49"/>
      <c r="F46" s="49"/>
      <c r="G46" s="49">
        <f>SUM(G44:G45)</f>
        <v>204.03151439999996</v>
      </c>
      <c r="H46" s="49">
        <f t="shared" si="1"/>
        <v>1.4489999999999839</v>
      </c>
      <c r="I46" s="50">
        <f t="shared" si="2"/>
        <v>7.1526410079940442E-3</v>
      </c>
      <c r="J46" s="50">
        <f t="shared" si="10"/>
        <v>1</v>
      </c>
      <c r="K46" s="51"/>
    </row>
    <row r="47" spans="1:11" x14ac:dyDescent="0.2">
      <c r="A47" s="52" t="s">
        <v>112</v>
      </c>
      <c r="B47" s="53"/>
      <c r="C47" s="54"/>
      <c r="D47" s="54">
        <f>SUM(D18,D25,D26,D28,D33,D40,D41)</f>
        <v>194.22259679999999</v>
      </c>
      <c r="E47" s="54"/>
      <c r="F47" s="54"/>
      <c r="G47" s="54">
        <f>SUM(G18,G25,G26,G28,G33,G40,G41)</f>
        <v>195.60259679999999</v>
      </c>
      <c r="H47" s="54">
        <f>G47-D47</f>
        <v>1.3799999999999955</v>
      </c>
      <c r="I47" s="55">
        <f>IF(ISERROR(H47/D47),0,(H47/D47))</f>
        <v>7.1052494546813491E-3</v>
      </c>
      <c r="J47" s="55"/>
      <c r="K47" s="56">
        <f>G47/$G$51</f>
        <v>0.95238095238095233</v>
      </c>
    </row>
    <row r="48" spans="1:11" x14ac:dyDescent="0.2">
      <c r="A48" s="57" t="s">
        <v>108</v>
      </c>
      <c r="B48" s="58"/>
      <c r="C48" s="30">
        <v>0.13</v>
      </c>
      <c r="D48" s="30">
        <f>D47*C48</f>
        <v>25.248937584</v>
      </c>
      <c r="E48" s="30"/>
      <c r="F48" s="30">
        <f>C48</f>
        <v>0.13</v>
      </c>
      <c r="G48" s="30">
        <f>G47*F48</f>
        <v>25.428337583999998</v>
      </c>
      <c r="H48" s="30">
        <f>G48-D48</f>
        <v>0.17939999999999756</v>
      </c>
      <c r="I48" s="31">
        <f>IF(ISERROR(H48/D48),0,(H48/D48))</f>
        <v>7.1052494546812754E-3</v>
      </c>
      <c r="J48" s="31"/>
      <c r="K48" s="59">
        <f>G48/$G$51</f>
        <v>0.1238095238095238</v>
      </c>
    </row>
    <row r="49" spans="1:11" x14ac:dyDescent="0.2">
      <c r="A49" s="60" t="s">
        <v>113</v>
      </c>
      <c r="B49" s="28"/>
      <c r="C49" s="29"/>
      <c r="D49" s="29">
        <f>SUM(D47:D48)</f>
        <v>219.47153438399999</v>
      </c>
      <c r="E49" s="29"/>
      <c r="F49" s="29"/>
      <c r="G49" s="29">
        <f>SUM(G47:G48)</f>
        <v>221.03093438399998</v>
      </c>
      <c r="H49" s="29">
        <f>G49-D49</f>
        <v>1.5593999999999824</v>
      </c>
      <c r="I49" s="32">
        <f>IF(ISERROR(H49/D49),0,(H49/D49))</f>
        <v>7.1052494546812919E-3</v>
      </c>
      <c r="J49" s="32"/>
      <c r="K49" s="61">
        <f>G49/$G$51</f>
        <v>1.0761904761904761</v>
      </c>
    </row>
    <row r="50" spans="1:11" x14ac:dyDescent="0.2">
      <c r="A50" s="57" t="s">
        <v>110</v>
      </c>
      <c r="B50" s="58"/>
      <c r="C50" s="30">
        <v>-0.08</v>
      </c>
      <c r="D50" s="30">
        <f>D47*C50</f>
        <v>-15.537807744</v>
      </c>
      <c r="E50" s="30"/>
      <c r="F50" s="30">
        <f>C50</f>
        <v>-0.08</v>
      </c>
      <c r="G50" s="30">
        <f>G47*F50</f>
        <v>-15.648207743999999</v>
      </c>
      <c r="H50" s="30">
        <f>G50-D50</f>
        <v>-0.1103999999999985</v>
      </c>
      <c r="I50" s="31">
        <f>IF(ISERROR(H50/D50),0,(H50/D50))</f>
        <v>7.1052494546812754E-3</v>
      </c>
      <c r="J50" s="31"/>
      <c r="K50" s="59">
        <f>G50/$G$51</f>
        <v>-7.6190476190476183E-2</v>
      </c>
    </row>
    <row r="51" spans="1:11" ht="13.5" thickBot="1" x14ac:dyDescent="0.25">
      <c r="A51" s="62" t="s">
        <v>114</v>
      </c>
      <c r="B51" s="63"/>
      <c r="C51" s="64"/>
      <c r="D51" s="64">
        <f>SUM(D49:D50)</f>
        <v>203.93372664</v>
      </c>
      <c r="E51" s="64"/>
      <c r="F51" s="64"/>
      <c r="G51" s="64">
        <f>SUM(G49:G50)</f>
        <v>205.38272663999999</v>
      </c>
      <c r="H51" s="64">
        <f>G51-D51</f>
        <v>1.4489999999999839</v>
      </c>
      <c r="I51" s="65">
        <f>IF(ISERROR(H51/D51),0,(H51/D51))</f>
        <v>7.1052494546812927E-3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1</v>
      </c>
    </row>
    <row r="4" spans="1:11" x14ac:dyDescent="0.2">
      <c r="A4" s="14" t="s">
        <v>62</v>
      </c>
      <c r="B4" s="14">
        <v>1800</v>
      </c>
    </row>
    <row r="5" spans="1:11" x14ac:dyDescent="0.2">
      <c r="A5" s="14" t="s">
        <v>16</v>
      </c>
      <c r="B5" s="14">
        <f>VLOOKUP($B$3,'Data for Bill Impacts'!$A$3:$Y$15,5,0)</f>
        <v>0</v>
      </c>
    </row>
    <row r="6" spans="1:11" x14ac:dyDescent="0.2">
      <c r="A6" s="14" t="s">
        <v>20</v>
      </c>
      <c r="B6" s="14">
        <f>VLOOKUP($B$3,'Data for Bill Impacts'!$A$3:$Y$15,2,0)</f>
        <v>1.0760000000000001</v>
      </c>
    </row>
    <row r="7" spans="1:11" x14ac:dyDescent="0.2">
      <c r="A7" s="14" t="s">
        <v>15</v>
      </c>
      <c r="B7" s="14">
        <f>VLOOKUP($B$3,'Data for Bill Impacts'!$A$3:$Y$15,4,0)</f>
        <v>600</v>
      </c>
    </row>
    <row r="8" spans="1:11" x14ac:dyDescent="0.2">
      <c r="A8" s="14" t="s">
        <v>82</v>
      </c>
      <c r="B8" s="149">
        <f>B4*B6</f>
        <v>1936.8000000000002</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0.17636942209014342</v>
      </c>
      <c r="K12" s="105"/>
    </row>
    <row r="13" spans="1:11" x14ac:dyDescent="0.2">
      <c r="A13" s="106" t="s">
        <v>32</v>
      </c>
      <c r="B13" s="72">
        <f>IF(B4&gt;B7,(B4)-B7,0)</f>
        <v>1200</v>
      </c>
      <c r="C13" s="20">
        <v>0.121</v>
      </c>
      <c r="D13" s="21">
        <f>B13*C13</f>
        <v>145.19999999999999</v>
      </c>
      <c r="E13" s="72">
        <f t="shared" ref="E13" si="0">B13</f>
        <v>1200</v>
      </c>
      <c r="F13" s="20">
        <f>C13</f>
        <v>0.121</v>
      </c>
      <c r="G13" s="21">
        <f>E13*F13</f>
        <v>145.19999999999999</v>
      </c>
      <c r="H13" s="21">
        <f t="shared" ref="H13:H46" si="1">G13-D13</f>
        <v>0</v>
      </c>
      <c r="I13" s="22">
        <f t="shared" ref="I13:I46" si="2">IF(ISERROR(H13/D13),0,(H13/D13))</f>
        <v>0</v>
      </c>
      <c r="J13" s="22">
        <f>G13/$G$46</f>
        <v>0.41438252568752137</v>
      </c>
      <c r="K13" s="107"/>
    </row>
    <row r="14" spans="1:11" s="1" customFormat="1" x14ac:dyDescent="0.2">
      <c r="A14" s="45" t="s">
        <v>33</v>
      </c>
      <c r="B14" s="23"/>
      <c r="C14" s="24"/>
      <c r="D14" s="24">
        <f>SUM(D12:D13)</f>
        <v>207</v>
      </c>
      <c r="E14" s="75"/>
      <c r="F14" s="24"/>
      <c r="G14" s="24">
        <f>SUM(G12:G13)</f>
        <v>207</v>
      </c>
      <c r="H14" s="24">
        <f t="shared" si="1"/>
        <v>0</v>
      </c>
      <c r="I14" s="26">
        <f t="shared" si="2"/>
        <v>0</v>
      </c>
      <c r="J14" s="26">
        <f>G14/$G$46</f>
        <v>0.59075194777766482</v>
      </c>
      <c r="K14" s="107"/>
    </row>
    <row r="15" spans="1:11" s="1" customFormat="1" x14ac:dyDescent="0.2">
      <c r="A15" s="108" t="s">
        <v>34</v>
      </c>
      <c r="B15" s="74">
        <f>B4*0.65</f>
        <v>1170</v>
      </c>
      <c r="C15" s="27">
        <v>8.6999999999999994E-2</v>
      </c>
      <c r="D15" s="21">
        <f>B15*C15</f>
        <v>101.78999999999999</v>
      </c>
      <c r="E15" s="72">
        <f t="shared" ref="E15:F17" si="3">B15</f>
        <v>1170</v>
      </c>
      <c r="F15" s="27">
        <f t="shared" si="3"/>
        <v>8.6999999999999994E-2</v>
      </c>
      <c r="G15" s="21">
        <f>E15*F15</f>
        <v>101.78999999999999</v>
      </c>
      <c r="H15" s="21">
        <f t="shared" si="1"/>
        <v>0</v>
      </c>
      <c r="I15" s="22">
        <f t="shared" si="2"/>
        <v>0</v>
      </c>
      <c r="J15" s="22"/>
      <c r="K15" s="107">
        <f t="shared" ref="K15:K26" si="4">G15/$G$51</f>
        <v>0.29745971715997643</v>
      </c>
    </row>
    <row r="16" spans="1:11" s="1" customFormat="1" x14ac:dyDescent="0.2">
      <c r="A16" s="108" t="s">
        <v>35</v>
      </c>
      <c r="B16" s="74">
        <f>B4*0.17</f>
        <v>306</v>
      </c>
      <c r="C16" s="27">
        <v>0.13200000000000001</v>
      </c>
      <c r="D16" s="21">
        <f>B16*C16</f>
        <v>40.392000000000003</v>
      </c>
      <c r="E16" s="72">
        <f t="shared" si="3"/>
        <v>306</v>
      </c>
      <c r="F16" s="27">
        <f t="shared" si="3"/>
        <v>0.13200000000000001</v>
      </c>
      <c r="G16" s="21">
        <f>E16*F16</f>
        <v>40.392000000000003</v>
      </c>
      <c r="H16" s="21">
        <f t="shared" si="1"/>
        <v>0</v>
      </c>
      <c r="I16" s="22">
        <f t="shared" si="2"/>
        <v>0</v>
      </c>
      <c r="J16" s="22"/>
      <c r="K16" s="107">
        <f t="shared" si="4"/>
        <v>0.11803706548311002</v>
      </c>
    </row>
    <row r="17" spans="1:11" s="1" customFormat="1" x14ac:dyDescent="0.2">
      <c r="A17" s="108" t="s">
        <v>36</v>
      </c>
      <c r="B17" s="74">
        <f>B4*0.18</f>
        <v>324</v>
      </c>
      <c r="C17" s="27">
        <v>0.18</v>
      </c>
      <c r="D17" s="21">
        <f>B17*C17</f>
        <v>58.32</v>
      </c>
      <c r="E17" s="72">
        <f t="shared" si="3"/>
        <v>324</v>
      </c>
      <c r="F17" s="27">
        <f t="shared" si="3"/>
        <v>0.18</v>
      </c>
      <c r="G17" s="21">
        <f>E17*F17</f>
        <v>58.32</v>
      </c>
      <c r="H17" s="21">
        <f t="shared" si="1"/>
        <v>0</v>
      </c>
      <c r="I17" s="22">
        <f t="shared" si="2"/>
        <v>0</v>
      </c>
      <c r="J17" s="22"/>
      <c r="K17" s="107">
        <f t="shared" si="4"/>
        <v>0.1704278485585011</v>
      </c>
    </row>
    <row r="18" spans="1:11" s="1" customFormat="1" x14ac:dyDescent="0.2">
      <c r="A18" s="60" t="s">
        <v>37</v>
      </c>
      <c r="B18" s="28"/>
      <c r="C18" s="29"/>
      <c r="D18" s="29">
        <f>SUM(D15:D17)</f>
        <v>200.50199999999998</v>
      </c>
      <c r="E18" s="76"/>
      <c r="F18" s="29"/>
      <c r="G18" s="29">
        <f>SUM(G15:G17)</f>
        <v>200.50199999999998</v>
      </c>
      <c r="H18" s="30">
        <f t="shared" si="1"/>
        <v>0</v>
      </c>
      <c r="I18" s="31">
        <f t="shared" si="2"/>
        <v>0</v>
      </c>
      <c r="J18" s="32">
        <f t="shared" ref="J18:J23" si="5">G18/$G$46</f>
        <v>0.57220747359090507</v>
      </c>
      <c r="K18" s="61">
        <f t="shared" si="4"/>
        <v>0.58592463120158755</v>
      </c>
    </row>
    <row r="19" spans="1:11" x14ac:dyDescent="0.2">
      <c r="A19" s="106" t="s">
        <v>38</v>
      </c>
      <c r="B19" s="72">
        <v>1</v>
      </c>
      <c r="C19" s="77">
        <f>VLOOKUP($B$3,'Data for Bill Impacts'!$A$3:$Y$15,7,0)</f>
        <v>52.36</v>
      </c>
      <c r="D19" s="21">
        <f>B19*C19</f>
        <v>52.36</v>
      </c>
      <c r="E19" s="72">
        <f t="shared" ref="E19:E41" si="6">B19</f>
        <v>1</v>
      </c>
      <c r="F19" s="77">
        <f>VLOOKUP($B$3,'Data for Bill Impacts'!$A$3:$Y$15,17,0)</f>
        <v>58.34</v>
      </c>
      <c r="G19" s="21">
        <f>E19*F19</f>
        <v>58.34</v>
      </c>
      <c r="H19" s="21">
        <f t="shared" si="1"/>
        <v>5.980000000000004</v>
      </c>
      <c r="I19" s="22">
        <f t="shared" si="2"/>
        <v>0.11420932009167312</v>
      </c>
      <c r="J19" s="22">
        <f t="shared" si="5"/>
        <v>0.16649501755241047</v>
      </c>
      <c r="K19" s="107">
        <f t="shared" si="4"/>
        <v>0.170486294322753</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1800</v>
      </c>
      <c r="C23" s="77">
        <f>VLOOKUP($B$3,'Data for Bill Impacts'!$A$3:$Y$15,10,0)</f>
        <v>1.1599999999999999E-2</v>
      </c>
      <c r="D23" s="21">
        <f>B23*C23</f>
        <v>20.88</v>
      </c>
      <c r="E23" s="72">
        <f t="shared" si="6"/>
        <v>1800</v>
      </c>
      <c r="F23" s="77">
        <f>VLOOKUP($B$3,'Data for Bill Impacts'!$A$3:$Y$15,19,0)</f>
        <v>6.6E-3</v>
      </c>
      <c r="G23" s="21">
        <f>E23*F23</f>
        <v>11.88</v>
      </c>
      <c r="H23" s="21">
        <f t="shared" si="1"/>
        <v>-8.9999999999999982</v>
      </c>
      <c r="I23" s="22">
        <f t="shared" si="2"/>
        <v>-0.43103448275862061</v>
      </c>
      <c r="J23" s="22">
        <f t="shared" si="5"/>
        <v>3.3904024828979029E-2</v>
      </c>
      <c r="K23" s="107">
        <f t="shared" si="4"/>
        <v>3.4716783965620598E-2</v>
      </c>
    </row>
    <row r="24" spans="1:11" x14ac:dyDescent="0.2">
      <c r="A24" s="106" t="s">
        <v>129</v>
      </c>
      <c r="B24" s="72">
        <f>IF($B$9="kWh",$B$4,$B$5)</f>
        <v>1800</v>
      </c>
      <c r="C24" s="125">
        <f>VLOOKUP($B$3,'Data for Bill Impacts'!$A$3:$Y$15,14,0)</f>
        <v>2.0000000000000001E-4</v>
      </c>
      <c r="D24" s="21">
        <f>B24*C24</f>
        <v>0.36000000000000004</v>
      </c>
      <c r="E24" s="72">
        <f t="shared" si="6"/>
        <v>1800</v>
      </c>
      <c r="F24" s="125">
        <f>VLOOKUP($B$3,'Data for Bill Impacts'!$A$3:$Y$15,23,0)</f>
        <v>2.0000000000000001E-4</v>
      </c>
      <c r="G24" s="21">
        <f>E24*F24</f>
        <v>0.36000000000000004</v>
      </c>
      <c r="H24" s="21">
        <f t="shared" si="1"/>
        <v>0</v>
      </c>
      <c r="I24" s="22">
        <f>IF(ISERROR(H24/D24),0,(H24/D24))</f>
        <v>0</v>
      </c>
      <c r="J24" s="22">
        <f t="shared" ref="J24" si="9">G24/$G$46</f>
        <v>1.0273946917872432E-3</v>
      </c>
      <c r="K24" s="107">
        <f t="shared" si="4"/>
        <v>1.0520237565339575E-3</v>
      </c>
    </row>
    <row r="25" spans="1:11" s="1" customFormat="1" x14ac:dyDescent="0.2">
      <c r="A25" s="109" t="s">
        <v>72</v>
      </c>
      <c r="B25" s="73"/>
      <c r="C25" s="34"/>
      <c r="D25" s="34">
        <f>SUM(D19:D24)</f>
        <v>73.599999999999994</v>
      </c>
      <c r="E25" s="72"/>
      <c r="F25" s="34"/>
      <c r="G25" s="34">
        <f>SUM(G19:G24)</f>
        <v>70.58</v>
      </c>
      <c r="H25" s="34">
        <f t="shared" si="1"/>
        <v>-3.019999999999996</v>
      </c>
      <c r="I25" s="35">
        <f t="shared" si="2"/>
        <v>-4.1032608695652124E-2</v>
      </c>
      <c r="J25" s="35">
        <f>G25/$G$46</f>
        <v>0.20142643707317673</v>
      </c>
      <c r="K25" s="110">
        <f t="shared" si="4"/>
        <v>0.20625510204490752</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2.2545605736442281E-3</v>
      </c>
      <c r="K26" s="107">
        <f t="shared" si="4"/>
        <v>2.3086076879495175E-3</v>
      </c>
    </row>
    <row r="27" spans="1:11" s="1" customFormat="1" x14ac:dyDescent="0.2">
      <c r="A27" s="118" t="s">
        <v>75</v>
      </c>
      <c r="B27" s="119">
        <f>B8-B4</f>
        <v>136.80000000000018</v>
      </c>
      <c r="C27" s="120">
        <f>IF(B4&gt;B7,C13,C12)</f>
        <v>0.121</v>
      </c>
      <c r="D27" s="21">
        <f>B27*C27</f>
        <v>16.552800000000023</v>
      </c>
      <c r="E27" s="72">
        <f>B27</f>
        <v>136.80000000000018</v>
      </c>
      <c r="F27" s="120">
        <f>C27</f>
        <v>0.121</v>
      </c>
      <c r="G27" s="21">
        <f>E27*F27</f>
        <v>16.552800000000023</v>
      </c>
      <c r="H27" s="21">
        <f t="shared" si="1"/>
        <v>0</v>
      </c>
      <c r="I27" s="22">
        <f>IF(ISERROR(H27/D27),0,(H27/D27))</f>
        <v>0</v>
      </c>
      <c r="J27" s="22">
        <f t="shared" ref="J27:J46" si="10">G27/$G$46</f>
        <v>4.7239607928377503E-2</v>
      </c>
      <c r="K27" s="107">
        <f t="shared" ref="K27:K41" si="11">G27/$G$51</f>
        <v>4.8372052325431424E-2</v>
      </c>
    </row>
    <row r="28" spans="1:11" s="1" customFormat="1" x14ac:dyDescent="0.2">
      <c r="A28" s="118" t="s">
        <v>74</v>
      </c>
      <c r="B28" s="119">
        <f>B8-B4</f>
        <v>136.80000000000018</v>
      </c>
      <c r="C28" s="120">
        <f>0.65*C15+0.17*C16+0.18*C17</f>
        <v>0.11139</v>
      </c>
      <c r="D28" s="21">
        <f>B28*C28</f>
        <v>15.238152000000021</v>
      </c>
      <c r="E28" s="72">
        <f>B28</f>
        <v>136.80000000000018</v>
      </c>
      <c r="F28" s="120">
        <f>C28</f>
        <v>0.11139</v>
      </c>
      <c r="G28" s="21">
        <f>E28*F28</f>
        <v>15.238152000000021</v>
      </c>
      <c r="H28" s="21">
        <f t="shared" si="1"/>
        <v>0</v>
      </c>
      <c r="I28" s="22">
        <f>IF(ISERROR(H28/D28),0,(H28/D28))</f>
        <v>0</v>
      </c>
      <c r="J28" s="22">
        <f t="shared" si="10"/>
        <v>4.3487767992908849E-2</v>
      </c>
      <c r="K28" s="107">
        <f t="shared" si="11"/>
        <v>4.4530271971320715E-2</v>
      </c>
    </row>
    <row r="29" spans="1:11" s="1" customFormat="1" x14ac:dyDescent="0.2">
      <c r="A29" s="109" t="s">
        <v>78</v>
      </c>
      <c r="B29" s="73"/>
      <c r="C29" s="34"/>
      <c r="D29" s="34">
        <f>SUM(D25,D26:D27)</f>
        <v>90.94280000000002</v>
      </c>
      <c r="E29" s="72"/>
      <c r="F29" s="34"/>
      <c r="G29" s="34">
        <f>SUM(G25,G26:G27)</f>
        <v>87.922800000000024</v>
      </c>
      <c r="H29" s="34">
        <f t="shared" si="1"/>
        <v>-3.019999999999996</v>
      </c>
      <c r="I29" s="35">
        <f>IF(ISERROR(H29/D29),0,(H29/D29))</f>
        <v>-3.3207686589812449E-2</v>
      </c>
      <c r="J29" s="35">
        <f t="shared" si="10"/>
        <v>0.25092060557519846</v>
      </c>
      <c r="K29" s="110">
        <f t="shared" si="11"/>
        <v>0.2569357620582885</v>
      </c>
    </row>
    <row r="30" spans="1:11" s="1" customFormat="1" x14ac:dyDescent="0.2">
      <c r="A30" s="109" t="s">
        <v>77</v>
      </c>
      <c r="B30" s="73"/>
      <c r="C30" s="34"/>
      <c r="D30" s="34">
        <f>SUM(D25,D26,D28)</f>
        <v>89.628152000000028</v>
      </c>
      <c r="E30" s="72"/>
      <c r="F30" s="34"/>
      <c r="G30" s="34">
        <f>SUM(G25,G26,G28)</f>
        <v>86.608152000000018</v>
      </c>
      <c r="H30" s="34">
        <f t="shared" si="1"/>
        <v>-3.0200000000000102</v>
      </c>
      <c r="I30" s="35">
        <f>IF(ISERROR(H30/D30),0,(H30/D30))</f>
        <v>-3.3694770366346605E-2</v>
      </c>
      <c r="J30" s="35">
        <f t="shared" si="10"/>
        <v>0.24716876563972981</v>
      </c>
      <c r="K30" s="110">
        <f t="shared" si="11"/>
        <v>0.25309398170417774</v>
      </c>
    </row>
    <row r="31" spans="1:11" x14ac:dyDescent="0.2">
      <c r="A31" s="106" t="s">
        <v>40</v>
      </c>
      <c r="B31" s="72">
        <f>B8</f>
        <v>1936.8000000000002</v>
      </c>
      <c r="C31" s="125">
        <f>VLOOKUP($B$3,'Data for Bill Impacts'!$A$3:$Y$15,15,0)</f>
        <v>7.1999999999999998E-3</v>
      </c>
      <c r="D31" s="21">
        <f>B31*C31</f>
        <v>13.944960000000002</v>
      </c>
      <c r="E31" s="72">
        <f t="shared" si="6"/>
        <v>1936.8000000000002</v>
      </c>
      <c r="F31" s="77">
        <f>VLOOKUP($B$3,'Data for Bill Impacts'!$A$3:$Y$15,24,0)</f>
        <v>7.1999999999999998E-3</v>
      </c>
      <c r="G31" s="21">
        <f>E31*F31</f>
        <v>13.944960000000002</v>
      </c>
      <c r="H31" s="21">
        <f t="shared" si="1"/>
        <v>0</v>
      </c>
      <c r="I31" s="22">
        <f t="shared" si="2"/>
        <v>0</v>
      </c>
      <c r="J31" s="22">
        <f t="shared" si="10"/>
        <v>3.9797160781070658E-2</v>
      </c>
      <c r="K31" s="107">
        <f t="shared" si="11"/>
        <v>4.0751192233099379E-2</v>
      </c>
    </row>
    <row r="32" spans="1:11" x14ac:dyDescent="0.2">
      <c r="A32" s="106" t="s">
        <v>41</v>
      </c>
      <c r="B32" s="72">
        <f>B8</f>
        <v>1936.8000000000002</v>
      </c>
      <c r="C32" s="125">
        <f>VLOOKUP($B$3,'Data for Bill Impacts'!$A$3:$Y$15,16,0)</f>
        <v>5.8999999999999999E-3</v>
      </c>
      <c r="D32" s="21">
        <f>B32*C32</f>
        <v>11.42712</v>
      </c>
      <c r="E32" s="72">
        <f t="shared" si="6"/>
        <v>1936.8000000000002</v>
      </c>
      <c r="F32" s="77">
        <f>VLOOKUP($B$3,'Data for Bill Impacts'!$A$3:$Y$15,25,0)</f>
        <v>5.8999999999999999E-3</v>
      </c>
      <c r="G32" s="21">
        <f>E32*F32</f>
        <v>11.42712</v>
      </c>
      <c r="H32" s="21">
        <f t="shared" si="1"/>
        <v>0</v>
      </c>
      <c r="I32" s="22">
        <f t="shared" si="2"/>
        <v>0</v>
      </c>
      <c r="J32" s="22">
        <f t="shared" si="10"/>
        <v>3.2611562306710674E-2</v>
      </c>
      <c r="K32" s="107">
        <f t="shared" si="11"/>
        <v>3.3393338079900879E-2</v>
      </c>
    </row>
    <row r="33" spans="1:11" s="1" customFormat="1" x14ac:dyDescent="0.2">
      <c r="A33" s="109" t="s">
        <v>76</v>
      </c>
      <c r="B33" s="73"/>
      <c r="C33" s="34"/>
      <c r="D33" s="34">
        <f>SUM(D31:D32)</f>
        <v>25.372080000000004</v>
      </c>
      <c r="E33" s="72"/>
      <c r="F33" s="34"/>
      <c r="G33" s="34">
        <f>SUM(G31:G32)</f>
        <v>25.372080000000004</v>
      </c>
      <c r="H33" s="34">
        <f t="shared" si="1"/>
        <v>0</v>
      </c>
      <c r="I33" s="35">
        <f t="shared" si="2"/>
        <v>0</v>
      </c>
      <c r="J33" s="35">
        <f t="shared" si="10"/>
        <v>7.2408723087781332E-2</v>
      </c>
      <c r="K33" s="110">
        <f t="shared" si="11"/>
        <v>7.4144530313000265E-2</v>
      </c>
    </row>
    <row r="34" spans="1:11" s="1" customFormat="1" x14ac:dyDescent="0.2">
      <c r="A34" s="109" t="s">
        <v>93</v>
      </c>
      <c r="B34" s="73"/>
      <c r="C34" s="34"/>
      <c r="D34" s="34">
        <f>D29+D33</f>
        <v>116.31488000000002</v>
      </c>
      <c r="E34" s="72"/>
      <c r="F34" s="34"/>
      <c r="G34" s="34">
        <f>G29+G33</f>
        <v>113.29488000000003</v>
      </c>
      <c r="H34" s="34">
        <f t="shared" si="1"/>
        <v>-3.0199999999999818</v>
      </c>
      <c r="I34" s="35">
        <f t="shared" si="2"/>
        <v>-2.596400391764133E-2</v>
      </c>
      <c r="J34" s="35">
        <f t="shared" si="10"/>
        <v>0.32332932866297981</v>
      </c>
      <c r="K34" s="110">
        <f t="shared" si="11"/>
        <v>0.33108029237128878</v>
      </c>
    </row>
    <row r="35" spans="1:11" s="1" customFormat="1" x14ac:dyDescent="0.2">
      <c r="A35" s="109" t="s">
        <v>94</v>
      </c>
      <c r="B35" s="73"/>
      <c r="C35" s="34"/>
      <c r="D35" s="34">
        <f>D30+D33</f>
        <v>115.00023200000004</v>
      </c>
      <c r="E35" s="72"/>
      <c r="F35" s="34"/>
      <c r="G35" s="34">
        <f>G30+G33</f>
        <v>111.98023200000003</v>
      </c>
      <c r="H35" s="34">
        <f t="shared" si="1"/>
        <v>-3.0200000000000102</v>
      </c>
      <c r="I35" s="35">
        <f t="shared" si="2"/>
        <v>-2.6260816586874444E-2</v>
      </c>
      <c r="J35" s="35">
        <f t="shared" si="10"/>
        <v>0.31957748872751118</v>
      </c>
      <c r="K35" s="110">
        <f t="shared" si="11"/>
        <v>0.32723851201717802</v>
      </c>
    </row>
    <row r="36" spans="1:11" x14ac:dyDescent="0.2">
      <c r="A36" s="106" t="s">
        <v>42</v>
      </c>
      <c r="B36" s="72">
        <f>B8</f>
        <v>1936.8000000000002</v>
      </c>
      <c r="C36" s="33">
        <v>3.5999999999999999E-3</v>
      </c>
      <c r="D36" s="21">
        <f>B36*C36</f>
        <v>6.9724800000000009</v>
      </c>
      <c r="E36" s="72">
        <f t="shared" si="6"/>
        <v>1936.8000000000002</v>
      </c>
      <c r="F36" s="33">
        <v>3.5999999999999999E-3</v>
      </c>
      <c r="G36" s="21">
        <f>E36*F36</f>
        <v>6.9724800000000009</v>
      </c>
      <c r="H36" s="21">
        <f t="shared" si="1"/>
        <v>0</v>
      </c>
      <c r="I36" s="22">
        <f t="shared" si="2"/>
        <v>0</v>
      </c>
      <c r="J36" s="22">
        <f t="shared" si="10"/>
        <v>1.9898580390535329E-2</v>
      </c>
      <c r="K36" s="107">
        <f t="shared" si="11"/>
        <v>2.0375596116549689E-2</v>
      </c>
    </row>
    <row r="37" spans="1:11" x14ac:dyDescent="0.2">
      <c r="A37" s="106" t="s">
        <v>43</v>
      </c>
      <c r="B37" s="72">
        <f>B8</f>
        <v>1936.8000000000002</v>
      </c>
      <c r="C37" s="33">
        <v>2.0999999999999999E-3</v>
      </c>
      <c r="D37" s="21">
        <f>B37*C37</f>
        <v>4.0672800000000002</v>
      </c>
      <c r="E37" s="72">
        <f t="shared" si="6"/>
        <v>1936.8000000000002</v>
      </c>
      <c r="F37" s="33">
        <v>2.0999999999999999E-3</v>
      </c>
      <c r="G37" s="21">
        <f>E37*F37</f>
        <v>4.0672800000000002</v>
      </c>
      <c r="H37" s="21">
        <f>G37-D37</f>
        <v>0</v>
      </c>
      <c r="I37" s="22">
        <f t="shared" si="2"/>
        <v>0</v>
      </c>
      <c r="J37" s="22">
        <f t="shared" si="10"/>
        <v>1.1607505227812275E-2</v>
      </c>
      <c r="K37" s="107">
        <f t="shared" si="11"/>
        <v>1.188576440132065E-2</v>
      </c>
    </row>
    <row r="38" spans="1:11" x14ac:dyDescent="0.2">
      <c r="A38" s="106" t="s">
        <v>99</v>
      </c>
      <c r="B38" s="72">
        <f>B8</f>
        <v>1936.8000000000002</v>
      </c>
      <c r="C38" s="33">
        <v>1.1000000000000001E-3</v>
      </c>
      <c r="D38" s="21">
        <f>B38*C38</f>
        <v>2.1304800000000004</v>
      </c>
      <c r="E38" s="72">
        <f t="shared" si="6"/>
        <v>1936.8000000000002</v>
      </c>
      <c r="F38" s="33">
        <v>1.1000000000000001E-3</v>
      </c>
      <c r="G38" s="21">
        <f>E38*F38</f>
        <v>2.1304800000000004</v>
      </c>
      <c r="H38" s="21">
        <f>G38-D38</f>
        <v>0</v>
      </c>
      <c r="I38" s="22">
        <f t="shared" ref="I38" si="12">IF(ISERROR(H38/D38),0,(H38/D38))</f>
        <v>0</v>
      </c>
      <c r="J38" s="22">
        <f t="shared" ref="J38" si="13">G38/$G$46</f>
        <v>6.0801217859969064E-3</v>
      </c>
      <c r="K38" s="107">
        <f t="shared" ref="K38" si="14">G38/$G$51</f>
        <v>6.2258765911679609E-3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7.134685359633633E-4</v>
      </c>
      <c r="K39" s="107">
        <f t="shared" si="11"/>
        <v>7.3057205314858153E-4</v>
      </c>
    </row>
    <row r="40" spans="1:11" s="1" customFormat="1" x14ac:dyDescent="0.2">
      <c r="A40" s="109" t="s">
        <v>45</v>
      </c>
      <c r="B40" s="73"/>
      <c r="C40" s="34"/>
      <c r="D40" s="34">
        <f>SUM(D36:D39)</f>
        <v>13.420240000000002</v>
      </c>
      <c r="E40" s="72"/>
      <c r="F40" s="34"/>
      <c r="G40" s="34">
        <f>SUM(G36:G39)</f>
        <v>13.420240000000002</v>
      </c>
      <c r="H40" s="34">
        <f t="shared" si="1"/>
        <v>0</v>
      </c>
      <c r="I40" s="35">
        <f t="shared" si="2"/>
        <v>0</v>
      </c>
      <c r="J40" s="35">
        <f t="shared" si="10"/>
        <v>3.8299675940307872E-2</v>
      </c>
      <c r="K40" s="110">
        <f t="shared" si="11"/>
        <v>3.9217809162186881E-2</v>
      </c>
    </row>
    <row r="41" spans="1:11" s="1" customFormat="1" ht="13.5" thickBot="1" x14ac:dyDescent="0.25">
      <c r="A41" s="111" t="s">
        <v>46</v>
      </c>
      <c r="B41" s="112">
        <f>B4</f>
        <v>1800</v>
      </c>
      <c r="C41" s="113">
        <v>0</v>
      </c>
      <c r="D41" s="114">
        <f>B41*C41</f>
        <v>0</v>
      </c>
      <c r="E41" s="115">
        <f t="shared" si="6"/>
        <v>1800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336.73512000000005</v>
      </c>
      <c r="E42" s="37"/>
      <c r="F42" s="38"/>
      <c r="G42" s="38">
        <f>SUM(G14,G25,G26,G27,G33,G40,G41)</f>
        <v>333.71512000000001</v>
      </c>
      <c r="H42" s="38">
        <f t="shared" si="1"/>
        <v>-3.0200000000000387</v>
      </c>
      <c r="I42" s="39">
        <f>IF(ISERROR(H42/D42),0,(H42/D42))</f>
        <v>-8.9684734992894061E-3</v>
      </c>
      <c r="J42" s="39">
        <f t="shared" si="10"/>
        <v>0.95238095238095244</v>
      </c>
      <c r="K42" s="40"/>
    </row>
    <row r="43" spans="1:11" x14ac:dyDescent="0.2">
      <c r="A43" s="143" t="s">
        <v>108</v>
      </c>
      <c r="B43" s="42"/>
      <c r="C43" s="25">
        <v>0.13</v>
      </c>
      <c r="D43" s="25">
        <f>D42*C43</f>
        <v>43.775565600000007</v>
      </c>
      <c r="E43" s="25"/>
      <c r="F43" s="25">
        <f>C43</f>
        <v>0.13</v>
      </c>
      <c r="G43" s="25">
        <f>G42*F43</f>
        <v>43.382965600000006</v>
      </c>
      <c r="H43" s="25">
        <f t="shared" si="1"/>
        <v>-0.39260000000000161</v>
      </c>
      <c r="I43" s="43">
        <f t="shared" si="2"/>
        <v>-8.968473499289328E-3</v>
      </c>
      <c r="J43" s="43">
        <f t="shared" si="10"/>
        <v>0.12380952380952383</v>
      </c>
      <c r="K43" s="44"/>
    </row>
    <row r="44" spans="1:11" s="1" customFormat="1" x14ac:dyDescent="0.2">
      <c r="A44" s="45" t="s">
        <v>109</v>
      </c>
      <c r="B44" s="23"/>
      <c r="C44" s="24"/>
      <c r="D44" s="24">
        <f>SUM(D42:D43)</f>
        <v>380.51068560000004</v>
      </c>
      <c r="E44" s="24"/>
      <c r="F44" s="24"/>
      <c r="G44" s="24">
        <f>SUM(G42:G43)</f>
        <v>377.09808559999999</v>
      </c>
      <c r="H44" s="24">
        <f t="shared" si="1"/>
        <v>-3.4126000000000545</v>
      </c>
      <c r="I44" s="26">
        <f t="shared" si="2"/>
        <v>-8.9684734992894356E-3</v>
      </c>
      <c r="J44" s="26">
        <f t="shared" si="10"/>
        <v>1.0761904761904761</v>
      </c>
      <c r="K44" s="46"/>
    </row>
    <row r="45" spans="1:11" x14ac:dyDescent="0.2">
      <c r="A45" s="41" t="s">
        <v>110</v>
      </c>
      <c r="B45" s="42"/>
      <c r="C45" s="25">
        <v>-0.08</v>
      </c>
      <c r="D45" s="25">
        <f>D42*C45</f>
        <v>-26.938809600000006</v>
      </c>
      <c r="E45" s="25"/>
      <c r="F45" s="25">
        <f>C45</f>
        <v>-0.08</v>
      </c>
      <c r="G45" s="25">
        <f>G42*F45</f>
        <v>-26.697209600000001</v>
      </c>
      <c r="H45" s="25">
        <f t="shared" si="1"/>
        <v>0.24160000000000537</v>
      </c>
      <c r="I45" s="43">
        <f t="shared" si="2"/>
        <v>-8.9684734992894893E-3</v>
      </c>
      <c r="J45" s="43">
        <f t="shared" si="10"/>
        <v>-7.6190476190476197E-2</v>
      </c>
      <c r="K45" s="44"/>
    </row>
    <row r="46" spans="1:11" s="1" customFormat="1" ht="13.5" thickBot="1" x14ac:dyDescent="0.25">
      <c r="A46" s="47" t="s">
        <v>111</v>
      </c>
      <c r="B46" s="48"/>
      <c r="C46" s="49"/>
      <c r="D46" s="49">
        <f>SUM(D44:D45)</f>
        <v>353.57187600000003</v>
      </c>
      <c r="E46" s="49"/>
      <c r="F46" s="49"/>
      <c r="G46" s="49">
        <f>SUM(G44:G45)</f>
        <v>350.40087599999998</v>
      </c>
      <c r="H46" s="49">
        <f t="shared" si="1"/>
        <v>-3.1710000000000491</v>
      </c>
      <c r="I46" s="50">
        <f t="shared" si="2"/>
        <v>-8.9684734992894304E-3</v>
      </c>
      <c r="J46" s="50">
        <f t="shared" si="10"/>
        <v>1</v>
      </c>
      <c r="K46" s="51"/>
    </row>
    <row r="47" spans="1:11" x14ac:dyDescent="0.2">
      <c r="A47" s="52" t="s">
        <v>112</v>
      </c>
      <c r="B47" s="53"/>
      <c r="C47" s="54"/>
      <c r="D47" s="54">
        <f>SUM(D18,D25,D26,D28,D33,D40,D41)</f>
        <v>328.92247199999997</v>
      </c>
      <c r="E47" s="54"/>
      <c r="F47" s="54"/>
      <c r="G47" s="54">
        <f>SUM(G18,G25,G26,G28,G33,G40,G41)</f>
        <v>325.90247199999999</v>
      </c>
      <c r="H47" s="54">
        <f>G47-D47</f>
        <v>-3.0199999999999818</v>
      </c>
      <c r="I47" s="55">
        <f>IF(ISERROR(H47/D47),0,(H47/D47))</f>
        <v>-9.1814949025434238E-3</v>
      </c>
      <c r="J47" s="55"/>
      <c r="K47" s="56">
        <f>G47/$G$51</f>
        <v>0.95238095238095233</v>
      </c>
    </row>
    <row r="48" spans="1:11" x14ac:dyDescent="0.2">
      <c r="A48" s="57" t="s">
        <v>108</v>
      </c>
      <c r="B48" s="58"/>
      <c r="C48" s="30">
        <v>0.13</v>
      </c>
      <c r="D48" s="30">
        <f>D47*C48</f>
        <v>42.75992136</v>
      </c>
      <c r="E48" s="30"/>
      <c r="F48" s="30">
        <f>C48</f>
        <v>0.13</v>
      </c>
      <c r="G48" s="30">
        <f>G47*F48</f>
        <v>42.367321359999998</v>
      </c>
      <c r="H48" s="30">
        <f>G48-D48</f>
        <v>-0.39260000000000161</v>
      </c>
      <c r="I48" s="31">
        <f>IF(ISERROR(H48/D48),0,(H48/D48))</f>
        <v>-9.1814949025435157E-3</v>
      </c>
      <c r="J48" s="31"/>
      <c r="K48" s="59">
        <f>G48/$G$51</f>
        <v>0.1238095238095238</v>
      </c>
    </row>
    <row r="49" spans="1:11" x14ac:dyDescent="0.2">
      <c r="A49" s="60" t="s">
        <v>113</v>
      </c>
      <c r="B49" s="28"/>
      <c r="C49" s="29"/>
      <c r="D49" s="29">
        <f>SUM(D47:D48)</f>
        <v>371.68239335999999</v>
      </c>
      <c r="E49" s="29"/>
      <c r="F49" s="29"/>
      <c r="G49" s="29">
        <f>SUM(G47:G48)</f>
        <v>368.26979335999999</v>
      </c>
      <c r="H49" s="29">
        <f>G49-D49</f>
        <v>-3.4125999999999976</v>
      </c>
      <c r="I49" s="32">
        <f>IF(ISERROR(H49/D49),0,(H49/D49))</f>
        <v>-9.1814949025434724E-3</v>
      </c>
      <c r="J49" s="32"/>
      <c r="K49" s="61">
        <f>G49/$G$51</f>
        <v>1.0761904761904761</v>
      </c>
    </row>
    <row r="50" spans="1:11" x14ac:dyDescent="0.2">
      <c r="A50" s="57" t="s">
        <v>110</v>
      </c>
      <c r="B50" s="58"/>
      <c r="C50" s="30">
        <v>-0.08</v>
      </c>
      <c r="D50" s="30">
        <f>D47*C50</f>
        <v>-26.31379776</v>
      </c>
      <c r="E50" s="30"/>
      <c r="F50" s="30">
        <f>C50</f>
        <v>-0.08</v>
      </c>
      <c r="G50" s="30">
        <f>G47*F50</f>
        <v>-26.072197759999998</v>
      </c>
      <c r="H50" s="30">
        <f>G50-D50</f>
        <v>0.24160000000000181</v>
      </c>
      <c r="I50" s="31">
        <f>IF(ISERROR(H50/D50),0,(H50/D50))</f>
        <v>-9.181494902543547E-3</v>
      </c>
      <c r="J50" s="31"/>
      <c r="K50" s="59">
        <f>G50/$G$51</f>
        <v>-7.6190476190476183E-2</v>
      </c>
    </row>
    <row r="51" spans="1:11" ht="13.5" thickBot="1" x14ac:dyDescent="0.25">
      <c r="A51" s="62" t="s">
        <v>114</v>
      </c>
      <c r="B51" s="63"/>
      <c r="C51" s="64"/>
      <c r="D51" s="64">
        <f>SUM(D49:D50)</f>
        <v>345.36859559999999</v>
      </c>
      <c r="E51" s="64"/>
      <c r="F51" s="64"/>
      <c r="G51" s="64">
        <f>SUM(G49:G50)</f>
        <v>342.1975956</v>
      </c>
      <c r="H51" s="64">
        <f>G51-D51</f>
        <v>-3.1709999999999923</v>
      </c>
      <c r="I51" s="65">
        <f>IF(ISERROR(H51/D51),0,(H51/D51))</f>
        <v>-9.1814949025434568E-3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499984740745262"/>
    <pageSetUpPr fitToPage="1"/>
  </sheetPr>
  <dimension ref="A1:K68"/>
  <sheetViews>
    <sheetView tabSelected="1" topLeftCell="A7"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2</v>
      </c>
    </row>
    <row r="4" spans="1:11" x14ac:dyDescent="0.2">
      <c r="A4" s="14" t="s">
        <v>62</v>
      </c>
      <c r="B4" s="14">
        <v>450</v>
      </c>
    </row>
    <row r="5" spans="1:11" x14ac:dyDescent="0.2">
      <c r="A5" s="14" t="s">
        <v>16</v>
      </c>
      <c r="B5" s="14">
        <f>VLOOKUP($B$3,'Data for Bill Impacts'!$A$3:$Y$15,5,0)</f>
        <v>0</v>
      </c>
    </row>
    <row r="6" spans="1:11" x14ac:dyDescent="0.2">
      <c r="A6" s="14" t="s">
        <v>20</v>
      </c>
      <c r="B6" s="14">
        <f>VLOOKUP($B$3,'Data for Bill Impacts'!$A$3:$Y$15,2,0)</f>
        <v>1.105</v>
      </c>
    </row>
    <row r="7" spans="1:11" x14ac:dyDescent="0.2">
      <c r="A7" s="14" t="s">
        <v>15</v>
      </c>
      <c r="B7" s="14">
        <f>VLOOKUP($B$3,'Data for Bill Impacts'!$A$3:$Y$15,4,0)</f>
        <v>600</v>
      </c>
    </row>
    <row r="8" spans="1:11" x14ac:dyDescent="0.2">
      <c r="A8" s="14" t="s">
        <v>82</v>
      </c>
      <c r="B8" s="149">
        <f>B4*B6</f>
        <v>497.25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450</v>
      </c>
      <c r="C12" s="102">
        <v>0.10299999999999999</v>
      </c>
      <c r="D12" s="103">
        <f>B12*C12</f>
        <v>46.349999999999994</v>
      </c>
      <c r="E12" s="101">
        <f>B12</f>
        <v>450</v>
      </c>
      <c r="F12" s="102">
        <f>C12</f>
        <v>0.10299999999999999</v>
      </c>
      <c r="G12" s="103">
        <f>E12*F12</f>
        <v>46.349999999999994</v>
      </c>
      <c r="H12" s="103">
        <f>G12-D12</f>
        <v>0</v>
      </c>
      <c r="I12" s="104">
        <f>IF(ISERROR(H12/D12),0,(H12/D12))</f>
        <v>0</v>
      </c>
      <c r="J12" s="104">
        <f>G12/$G$46</f>
        <v>0.32630998672708783</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46.349999999999994</v>
      </c>
      <c r="E14" s="75"/>
      <c r="F14" s="24"/>
      <c r="G14" s="24">
        <f>SUM(G12:G13)</f>
        <v>46.349999999999994</v>
      </c>
      <c r="H14" s="24">
        <f t="shared" si="1"/>
        <v>0</v>
      </c>
      <c r="I14" s="26">
        <f t="shared" si="2"/>
        <v>0</v>
      </c>
      <c r="J14" s="26">
        <f>G14/$G$46</f>
        <v>0.32630998672708783</v>
      </c>
      <c r="K14" s="107"/>
    </row>
    <row r="15" spans="1:11" s="1" customFormat="1" x14ac:dyDescent="0.2">
      <c r="A15" s="108" t="s">
        <v>34</v>
      </c>
      <c r="B15" s="74">
        <f>B4*0.65</f>
        <v>292.5</v>
      </c>
      <c r="C15" s="27">
        <v>8.6999999999999994E-2</v>
      </c>
      <c r="D15" s="21">
        <f>B15*C15</f>
        <v>25.447499999999998</v>
      </c>
      <c r="E15" s="72">
        <f t="shared" ref="E15:F17" si="3">B15</f>
        <v>292.5</v>
      </c>
      <c r="F15" s="27">
        <f t="shared" si="3"/>
        <v>8.6999999999999994E-2</v>
      </c>
      <c r="G15" s="21">
        <f>E15*F15</f>
        <v>25.447499999999998</v>
      </c>
      <c r="H15" s="21">
        <f t="shared" si="1"/>
        <v>0</v>
      </c>
      <c r="I15" s="22">
        <f t="shared" si="2"/>
        <v>0</v>
      </c>
      <c r="J15" s="22"/>
      <c r="K15" s="107">
        <f t="shared" ref="K15:K26" si="4">G15/$G$51</f>
        <v>0.17379397559200938</v>
      </c>
    </row>
    <row r="16" spans="1:11" s="1" customFormat="1" x14ac:dyDescent="0.2">
      <c r="A16" s="108" t="s">
        <v>35</v>
      </c>
      <c r="B16" s="74">
        <f>B4*0.17</f>
        <v>76.5</v>
      </c>
      <c r="C16" s="27">
        <v>0.13200000000000001</v>
      </c>
      <c r="D16" s="21">
        <f>B16*C16</f>
        <v>10.098000000000001</v>
      </c>
      <c r="E16" s="72">
        <f t="shared" si="3"/>
        <v>76.5</v>
      </c>
      <c r="F16" s="27">
        <f t="shared" si="3"/>
        <v>0.13200000000000001</v>
      </c>
      <c r="G16" s="21">
        <f>E16*F16</f>
        <v>10.098000000000001</v>
      </c>
      <c r="H16" s="21">
        <f t="shared" si="1"/>
        <v>0</v>
      </c>
      <c r="I16" s="22">
        <f t="shared" si="2"/>
        <v>0</v>
      </c>
      <c r="J16" s="22"/>
      <c r="K16" s="107">
        <f t="shared" si="4"/>
        <v>6.8964399863566589E-2</v>
      </c>
    </row>
    <row r="17" spans="1:11" s="1" customFormat="1" x14ac:dyDescent="0.2">
      <c r="A17" s="108" t="s">
        <v>36</v>
      </c>
      <c r="B17" s="74">
        <f>B4*0.18</f>
        <v>81</v>
      </c>
      <c r="C17" s="27">
        <v>0.18</v>
      </c>
      <c r="D17" s="21">
        <f>B17*C17</f>
        <v>14.58</v>
      </c>
      <c r="E17" s="72">
        <f t="shared" si="3"/>
        <v>81</v>
      </c>
      <c r="F17" s="27">
        <f t="shared" si="3"/>
        <v>0.18</v>
      </c>
      <c r="G17" s="21">
        <f>E17*F17</f>
        <v>14.58</v>
      </c>
      <c r="H17" s="21">
        <f t="shared" si="1"/>
        <v>0</v>
      </c>
      <c r="I17" s="22">
        <f t="shared" si="2"/>
        <v>0</v>
      </c>
      <c r="J17" s="22"/>
      <c r="K17" s="107">
        <f t="shared" si="4"/>
        <v>9.9574267182689732E-2</v>
      </c>
    </row>
    <row r="18" spans="1:11" s="1" customFormat="1" x14ac:dyDescent="0.2">
      <c r="A18" s="60" t="s">
        <v>37</v>
      </c>
      <c r="B18" s="28"/>
      <c r="C18" s="29"/>
      <c r="D18" s="29">
        <f>SUM(D15:D17)</f>
        <v>50.125499999999995</v>
      </c>
      <c r="E18" s="76"/>
      <c r="F18" s="29"/>
      <c r="G18" s="29">
        <f>SUM(G15:G17)</f>
        <v>50.125499999999995</v>
      </c>
      <c r="H18" s="30">
        <f t="shared" si="1"/>
        <v>0</v>
      </c>
      <c r="I18" s="31">
        <f t="shared" si="2"/>
        <v>0</v>
      </c>
      <c r="J18" s="32">
        <f t="shared" ref="J18:J23" si="5">G18/$G$46</f>
        <v>0.35288999438378943</v>
      </c>
      <c r="K18" s="61">
        <f t="shared" si="4"/>
        <v>0.34233264263826568</v>
      </c>
    </row>
    <row r="19" spans="1:11" x14ac:dyDescent="0.2">
      <c r="A19" s="106" t="s">
        <v>38</v>
      </c>
      <c r="B19" s="72">
        <v>1</v>
      </c>
      <c r="C19" s="121">
        <f>VLOOKUP($B$3,'Data for Bill Impacts'!$A$3:$Y$15,7,0)</f>
        <v>55.319678307903928</v>
      </c>
      <c r="D19" s="21">
        <f>B19*C19</f>
        <v>55.319678307903928</v>
      </c>
      <c r="E19" s="72">
        <f t="shared" ref="E19:E41" si="6">B19</f>
        <v>1</v>
      </c>
      <c r="F19" s="121">
        <f>VLOOKUP($B$3,'Data for Bill Impacts'!$A$3:$Y$15,17,0)</f>
        <v>68.189678307903932</v>
      </c>
      <c r="G19" s="21">
        <f>E19*F19</f>
        <v>68.189678307903932</v>
      </c>
      <c r="H19" s="21">
        <f t="shared" si="1"/>
        <v>12.870000000000005</v>
      </c>
      <c r="I19" s="22">
        <f t="shared" si="2"/>
        <v>0.23264777369757722</v>
      </c>
      <c r="J19" s="22">
        <f t="shared" si="5"/>
        <v>0.48006414290348487</v>
      </c>
      <c r="K19" s="107">
        <f t="shared" si="4"/>
        <v>0.46570214313668645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-0.02</v>
      </c>
      <c r="D22" s="21">
        <f t="shared" si="8"/>
        <v>-0.02</v>
      </c>
      <c r="E22" s="72">
        <f t="shared" si="6"/>
        <v>1</v>
      </c>
      <c r="F22" s="121">
        <f>VLOOKUP($B$3,'Data for Bill Impacts'!$A$3:$Y$15,22,0)</f>
        <v>-0.02</v>
      </c>
      <c r="G22" s="21">
        <f t="shared" si="7"/>
        <v>-0.02</v>
      </c>
      <c r="H22" s="21">
        <f t="shared" si="1"/>
        <v>0</v>
      </c>
      <c r="I22" s="22">
        <f t="shared" si="2"/>
        <v>0</v>
      </c>
      <c r="J22" s="22">
        <f t="shared" si="5"/>
        <v>-1.4080258326950934E-4</v>
      </c>
      <c r="K22" s="107">
        <f t="shared" si="4"/>
        <v>-1.3659021561411485E-4</v>
      </c>
    </row>
    <row r="23" spans="1:11" x14ac:dyDescent="0.2">
      <c r="A23" s="106" t="s">
        <v>39</v>
      </c>
      <c r="B23" s="72">
        <f>IF($B$9="kWh",$B$4,$B$5)</f>
        <v>450</v>
      </c>
      <c r="C23" s="77">
        <f>VLOOKUP($B$3,'Data for Bill Impacts'!$A$3:$Y$15,10,0)</f>
        <v>0.02</v>
      </c>
      <c r="D23" s="21">
        <f>B23*C23</f>
        <v>9</v>
      </c>
      <c r="E23" s="72">
        <f t="shared" si="6"/>
        <v>450</v>
      </c>
      <c r="F23" s="77">
        <f>VLOOKUP($B$3,'Data for Bill Impacts'!$A$3:$Y$15,19,0)</f>
        <v>1.17E-2</v>
      </c>
      <c r="G23" s="21">
        <f>E23*F23</f>
        <v>5.2650000000000006</v>
      </c>
      <c r="H23" s="21">
        <f t="shared" si="1"/>
        <v>-3.7349999999999994</v>
      </c>
      <c r="I23" s="22">
        <f t="shared" si="2"/>
        <v>-0.41499999999999992</v>
      </c>
      <c r="J23" s="22">
        <f t="shared" si="5"/>
        <v>3.7066280045698334E-2</v>
      </c>
      <c r="K23" s="107">
        <f t="shared" si="4"/>
        <v>3.5957374260415738E-2</v>
      </c>
    </row>
    <row r="24" spans="1:11" x14ac:dyDescent="0.2">
      <c r="A24" s="106" t="s">
        <v>129</v>
      </c>
      <c r="B24" s="72">
        <f>IF($B$9="kWh",$B$4,$B$5)</f>
        <v>450</v>
      </c>
      <c r="C24" s="125">
        <f>VLOOKUP($B$3,'Data for Bill Impacts'!$A$3:$Y$15,14,0)</f>
        <v>2.0000000000000001E-4</v>
      </c>
      <c r="D24" s="21">
        <f>B24*C24</f>
        <v>9.0000000000000011E-2</v>
      </c>
      <c r="E24" s="72">
        <f t="shared" si="6"/>
        <v>450</v>
      </c>
      <c r="F24" s="125">
        <f>VLOOKUP($B$3,'Data for Bill Impacts'!$A$3:$Y$15,23,0)</f>
        <v>2.0000000000000001E-4</v>
      </c>
      <c r="G24" s="21">
        <f>E24*F24</f>
        <v>9.0000000000000011E-2</v>
      </c>
      <c r="H24" s="21">
        <f t="shared" si="1"/>
        <v>0</v>
      </c>
      <c r="I24" s="22">
        <f>IF(ISERROR(H24/D24),0,(H24/D24))</f>
        <v>0</v>
      </c>
      <c r="J24" s="22">
        <f t="shared" ref="J24" si="9">G24/$G$46</f>
        <v>6.3361162471279198E-4</v>
      </c>
      <c r="K24" s="107">
        <f t="shared" si="4"/>
        <v>6.1465597026351686E-4</v>
      </c>
    </row>
    <row r="25" spans="1:11" s="1" customFormat="1" x14ac:dyDescent="0.2">
      <c r="A25" s="109" t="s">
        <v>72</v>
      </c>
      <c r="B25" s="73"/>
      <c r="C25" s="34"/>
      <c r="D25" s="34">
        <f>SUM(D19:D24)</f>
        <v>64.389678307903921</v>
      </c>
      <c r="E25" s="72"/>
      <c r="F25" s="34"/>
      <c r="G25" s="34">
        <f>SUM(G19:G24)</f>
        <v>73.52467830790394</v>
      </c>
      <c r="H25" s="34">
        <f t="shared" si="1"/>
        <v>9.1350000000000193</v>
      </c>
      <c r="I25" s="35">
        <f t="shared" si="2"/>
        <v>0.14187056435221676</v>
      </c>
      <c r="J25" s="35">
        <f>G25/$G$46</f>
        <v>0.51762323199062654</v>
      </c>
      <c r="K25" s="110">
        <f t="shared" si="4"/>
        <v>0.50213758315175161</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5.5617020391456181E-3</v>
      </c>
      <c r="K26" s="107">
        <f t="shared" si="4"/>
        <v>5.3953135167575366E-3</v>
      </c>
    </row>
    <row r="27" spans="1:11" s="1" customFormat="1" x14ac:dyDescent="0.2">
      <c r="A27" s="118" t="s">
        <v>75</v>
      </c>
      <c r="B27" s="119">
        <f>B8-B4</f>
        <v>47.25</v>
      </c>
      <c r="C27" s="120">
        <f>IF(B4&gt;B7,C13,C12)</f>
        <v>0.10299999999999999</v>
      </c>
      <c r="D27" s="21">
        <f>B27*C27</f>
        <v>4.8667499999999997</v>
      </c>
      <c r="E27" s="72">
        <f>B27</f>
        <v>47.25</v>
      </c>
      <c r="F27" s="120">
        <f>C27</f>
        <v>0.10299999999999999</v>
      </c>
      <c r="G27" s="21">
        <f>E27*F27</f>
        <v>4.8667499999999997</v>
      </c>
      <c r="H27" s="21">
        <f t="shared" si="1"/>
        <v>0</v>
      </c>
      <c r="I27" s="22">
        <f>IF(ISERROR(H27/D27),0,(H27/D27))</f>
        <v>0</v>
      </c>
      <c r="J27" s="22">
        <f t="shared" ref="J27:J46" si="10">G27/$G$46</f>
        <v>3.4262548606344222E-2</v>
      </c>
      <c r="K27" s="107">
        <f t="shared" ref="K27:K41" si="11">G27/$G$51</f>
        <v>3.3237521591999671E-2</v>
      </c>
    </row>
    <row r="28" spans="1:11" s="1" customFormat="1" x14ac:dyDescent="0.2">
      <c r="A28" s="118" t="s">
        <v>74</v>
      </c>
      <c r="B28" s="119">
        <f>B8-B4</f>
        <v>47.25</v>
      </c>
      <c r="C28" s="120">
        <f>0.65*C15+0.17*C16+0.18*C17</f>
        <v>0.11139</v>
      </c>
      <c r="D28" s="21">
        <f>B28*C28</f>
        <v>5.2631775000000003</v>
      </c>
      <c r="E28" s="72">
        <f>B28</f>
        <v>47.25</v>
      </c>
      <c r="F28" s="120">
        <f>C28</f>
        <v>0.11139</v>
      </c>
      <c r="G28" s="21">
        <f>E28*F28</f>
        <v>5.2631775000000003</v>
      </c>
      <c r="H28" s="21">
        <f t="shared" si="1"/>
        <v>0</v>
      </c>
      <c r="I28" s="22">
        <f>IF(ISERROR(H28/D28),0,(H28/D28))</f>
        <v>0</v>
      </c>
      <c r="J28" s="22">
        <f t="shared" si="10"/>
        <v>3.7053449410297895E-2</v>
      </c>
      <c r="K28" s="107">
        <f t="shared" si="11"/>
        <v>3.5944927477017899E-2</v>
      </c>
    </row>
    <row r="29" spans="1:11" s="1" customFormat="1" x14ac:dyDescent="0.2">
      <c r="A29" s="109" t="s">
        <v>78</v>
      </c>
      <c r="B29" s="73"/>
      <c r="C29" s="34"/>
      <c r="D29" s="34">
        <f>SUM(D25,D26:D27)</f>
        <v>70.046428307903923</v>
      </c>
      <c r="E29" s="72"/>
      <c r="F29" s="34"/>
      <c r="G29" s="34">
        <f>SUM(G25,G26:G27)</f>
        <v>79.181428307903943</v>
      </c>
      <c r="H29" s="34">
        <f t="shared" si="1"/>
        <v>9.1350000000000193</v>
      </c>
      <c r="I29" s="35">
        <f>IF(ISERROR(H29/D29),0,(H29/D29))</f>
        <v>0.13041350173980593</v>
      </c>
      <c r="J29" s="35">
        <f t="shared" si="10"/>
        <v>0.55744748263611643</v>
      </c>
      <c r="K29" s="110">
        <f t="shared" si="11"/>
        <v>0.54077041826050887</v>
      </c>
    </row>
    <row r="30" spans="1:11" s="1" customFormat="1" x14ac:dyDescent="0.2">
      <c r="A30" s="109" t="s">
        <v>77</v>
      </c>
      <c r="B30" s="73"/>
      <c r="C30" s="34"/>
      <c r="D30" s="34">
        <f>SUM(D25,D26,D28)</f>
        <v>70.442855807903925</v>
      </c>
      <c r="E30" s="72"/>
      <c r="F30" s="34"/>
      <c r="G30" s="34">
        <f>SUM(G25,G26,G28)</f>
        <v>79.577855807903944</v>
      </c>
      <c r="H30" s="34">
        <f t="shared" si="1"/>
        <v>9.1350000000000193</v>
      </c>
      <c r="I30" s="35">
        <f>IF(ISERROR(H30/D30),0,(H30/D30))</f>
        <v>0.12967958063640914</v>
      </c>
      <c r="J30" s="35">
        <f t="shared" si="10"/>
        <v>0.56023838344007004</v>
      </c>
      <c r="K30" s="110">
        <f t="shared" si="11"/>
        <v>0.54347782414552703</v>
      </c>
    </row>
    <row r="31" spans="1:11" x14ac:dyDescent="0.2">
      <c r="A31" s="106" t="s">
        <v>40</v>
      </c>
      <c r="B31" s="72">
        <f>B8</f>
        <v>497.25</v>
      </c>
      <c r="C31" s="125">
        <f>VLOOKUP($B$3,'Data for Bill Impacts'!$A$3:$Y$15,15,0)</f>
        <v>6.7999999999999996E-3</v>
      </c>
      <c r="D31" s="21">
        <f>B31*C31</f>
        <v>3.3813</v>
      </c>
      <c r="E31" s="72">
        <f t="shared" si="6"/>
        <v>497.25</v>
      </c>
      <c r="F31" s="77">
        <f>VLOOKUP($B$3,'Data for Bill Impacts'!$A$3:$Y$15,24,0)</f>
        <v>6.7999999999999996E-3</v>
      </c>
      <c r="G31" s="21">
        <f>E31*F31</f>
        <v>3.3813</v>
      </c>
      <c r="H31" s="21">
        <f t="shared" si="1"/>
        <v>0</v>
      </c>
      <c r="I31" s="22">
        <f t="shared" si="2"/>
        <v>0</v>
      </c>
      <c r="J31" s="22">
        <f t="shared" si="10"/>
        <v>2.3804788740459593E-2</v>
      </c>
      <c r="K31" s="107">
        <f t="shared" si="11"/>
        <v>2.3092624802800329E-2</v>
      </c>
    </row>
    <row r="32" spans="1:11" x14ac:dyDescent="0.2">
      <c r="A32" s="106" t="s">
        <v>41</v>
      </c>
      <c r="B32" s="72">
        <f>B8</f>
        <v>497.25</v>
      </c>
      <c r="C32" s="125">
        <f>VLOOKUP($B$3,'Data for Bill Impacts'!$A$3:$Y$15,16,0)</f>
        <v>5.4999999999999997E-3</v>
      </c>
      <c r="D32" s="21">
        <f>B32*C32</f>
        <v>2.7348749999999997</v>
      </c>
      <c r="E32" s="72">
        <f t="shared" si="6"/>
        <v>497.25</v>
      </c>
      <c r="F32" s="77">
        <f>VLOOKUP($B$3,'Data for Bill Impacts'!$A$3:$Y$15,25,0)</f>
        <v>5.4999999999999997E-3</v>
      </c>
      <c r="G32" s="21">
        <f>E32*F32</f>
        <v>2.7348749999999997</v>
      </c>
      <c r="H32" s="21">
        <f t="shared" si="1"/>
        <v>0</v>
      </c>
      <c r="I32" s="22">
        <f t="shared" si="2"/>
        <v>0</v>
      </c>
      <c r="J32" s="22">
        <f t="shared" si="10"/>
        <v>1.9253873245959962E-2</v>
      </c>
      <c r="K32" s="107">
        <f t="shared" si="11"/>
        <v>1.8677858296382615E-2</v>
      </c>
    </row>
    <row r="33" spans="1:11" s="1" customFormat="1" x14ac:dyDescent="0.2">
      <c r="A33" s="109" t="s">
        <v>76</v>
      </c>
      <c r="B33" s="73"/>
      <c r="C33" s="34"/>
      <c r="D33" s="34">
        <f>SUM(D31:D32)</f>
        <v>6.1161750000000001</v>
      </c>
      <c r="E33" s="72"/>
      <c r="F33" s="34"/>
      <c r="G33" s="34">
        <f>SUM(G31:G32)</f>
        <v>6.1161750000000001</v>
      </c>
      <c r="H33" s="34">
        <f t="shared" si="1"/>
        <v>0</v>
      </c>
      <c r="I33" s="35">
        <f t="shared" si="2"/>
        <v>0</v>
      </c>
      <c r="J33" s="35">
        <f t="shared" si="10"/>
        <v>4.3058661986419562E-2</v>
      </c>
      <c r="K33" s="110">
        <f t="shared" si="11"/>
        <v>4.1770483099182944E-2</v>
      </c>
    </row>
    <row r="34" spans="1:11" s="1" customFormat="1" x14ac:dyDescent="0.2">
      <c r="A34" s="109" t="s">
        <v>93</v>
      </c>
      <c r="B34" s="73"/>
      <c r="C34" s="34"/>
      <c r="D34" s="34">
        <f>D29+D33</f>
        <v>76.162603307903922</v>
      </c>
      <c r="E34" s="72"/>
      <c r="F34" s="34"/>
      <c r="G34" s="34">
        <f>G29+G33</f>
        <v>85.297603307903941</v>
      </c>
      <c r="H34" s="34">
        <f t="shared" si="1"/>
        <v>9.1350000000000193</v>
      </c>
      <c r="I34" s="35">
        <f t="shared" si="2"/>
        <v>0.11994075311567005</v>
      </c>
      <c r="J34" s="35">
        <f t="shared" si="10"/>
        <v>0.60050614462253593</v>
      </c>
      <c r="K34" s="110">
        <f t="shared" si="11"/>
        <v>0.58254090135969172</v>
      </c>
    </row>
    <row r="35" spans="1:11" s="1" customFormat="1" x14ac:dyDescent="0.2">
      <c r="A35" s="109" t="s">
        <v>94</v>
      </c>
      <c r="B35" s="73"/>
      <c r="C35" s="34"/>
      <c r="D35" s="34">
        <f>D30+D33</f>
        <v>76.559030807903923</v>
      </c>
      <c r="E35" s="72"/>
      <c r="F35" s="34"/>
      <c r="G35" s="34">
        <f>G30+G33</f>
        <v>85.694030807903943</v>
      </c>
      <c r="H35" s="34">
        <f t="shared" si="1"/>
        <v>9.1350000000000193</v>
      </c>
      <c r="I35" s="35">
        <f t="shared" si="2"/>
        <v>0.11931969231586623</v>
      </c>
      <c r="J35" s="35">
        <f t="shared" si="10"/>
        <v>0.60329704542648965</v>
      </c>
      <c r="K35" s="110">
        <f t="shared" si="11"/>
        <v>0.58524830724471</v>
      </c>
    </row>
    <row r="36" spans="1:11" x14ac:dyDescent="0.2">
      <c r="A36" s="106" t="s">
        <v>42</v>
      </c>
      <c r="B36" s="72">
        <f>B8</f>
        <v>497.25</v>
      </c>
      <c r="C36" s="33">
        <v>3.5999999999999999E-3</v>
      </c>
      <c r="D36" s="21">
        <f>B36*C36</f>
        <v>1.7901</v>
      </c>
      <c r="E36" s="72">
        <f t="shared" si="6"/>
        <v>497.25</v>
      </c>
      <c r="F36" s="33">
        <v>3.5999999999999999E-3</v>
      </c>
      <c r="G36" s="21">
        <f>E36*F36</f>
        <v>1.7901</v>
      </c>
      <c r="H36" s="21">
        <f t="shared" si="1"/>
        <v>0</v>
      </c>
      <c r="I36" s="22">
        <f t="shared" si="2"/>
        <v>0</v>
      </c>
      <c r="J36" s="22">
        <f t="shared" si="10"/>
        <v>1.2602535215537431E-2</v>
      </c>
      <c r="K36" s="107">
        <f t="shared" si="11"/>
        <v>1.2225507248541351E-2</v>
      </c>
    </row>
    <row r="37" spans="1:11" x14ac:dyDescent="0.2">
      <c r="A37" s="106" t="s">
        <v>43</v>
      </c>
      <c r="B37" s="72">
        <f>B8</f>
        <v>497.25</v>
      </c>
      <c r="C37" s="33">
        <v>2.0999999999999999E-3</v>
      </c>
      <c r="D37" s="21">
        <f>B37*C37</f>
        <v>1.044225</v>
      </c>
      <c r="E37" s="72">
        <f t="shared" si="6"/>
        <v>497.25</v>
      </c>
      <c r="F37" s="33">
        <v>2.0999999999999999E-3</v>
      </c>
      <c r="G37" s="21">
        <f>E37*F37</f>
        <v>1.044225</v>
      </c>
      <c r="H37" s="21">
        <f>G37-D37</f>
        <v>0</v>
      </c>
      <c r="I37" s="22">
        <f t="shared" si="2"/>
        <v>0</v>
      </c>
      <c r="J37" s="22">
        <f t="shared" si="10"/>
        <v>7.3514788757301679E-3</v>
      </c>
      <c r="K37" s="107">
        <f t="shared" si="11"/>
        <v>7.131545894982454E-3</v>
      </c>
    </row>
    <row r="38" spans="1:11" x14ac:dyDescent="0.2">
      <c r="A38" s="106" t="s">
        <v>99</v>
      </c>
      <c r="B38" s="72">
        <f>B8</f>
        <v>497.25</v>
      </c>
      <c r="C38" s="33">
        <v>1.1000000000000001E-3</v>
      </c>
      <c r="D38" s="21">
        <f>B38*C38</f>
        <v>0.54697499999999999</v>
      </c>
      <c r="E38" s="72">
        <f t="shared" si="6"/>
        <v>497.25</v>
      </c>
      <c r="F38" s="33">
        <v>1.1000000000000001E-3</v>
      </c>
      <c r="G38" s="21">
        <f>E38*F38</f>
        <v>0.54697499999999999</v>
      </c>
      <c r="H38" s="21">
        <f>G38-D38</f>
        <v>0</v>
      </c>
      <c r="I38" s="22">
        <f t="shared" ref="I38" si="12">IF(ISERROR(H38/D38),0,(H38/D38))</f>
        <v>0</v>
      </c>
      <c r="J38" s="22">
        <f t="shared" ref="J38" si="13">G38/$G$46</f>
        <v>3.8507746491919931E-3</v>
      </c>
      <c r="K38" s="107">
        <f t="shared" ref="K38" si="14">G38/$G$51</f>
        <v>3.7355716592765236E-3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1.7600322908688665E-3</v>
      </c>
      <c r="K39" s="107">
        <f t="shared" si="11"/>
        <v>1.7073776951764357E-3</v>
      </c>
    </row>
    <row r="40" spans="1:11" s="1" customFormat="1" x14ac:dyDescent="0.2">
      <c r="A40" s="109" t="s">
        <v>45</v>
      </c>
      <c r="B40" s="73"/>
      <c r="C40" s="34"/>
      <c r="D40" s="34">
        <f>SUM(D36:D39)</f>
        <v>3.6312999999999995</v>
      </c>
      <c r="E40" s="72"/>
      <c r="F40" s="34"/>
      <c r="G40" s="34">
        <f>SUM(G36:G39)</f>
        <v>3.6312999999999995</v>
      </c>
      <c r="H40" s="34">
        <f t="shared" si="1"/>
        <v>0</v>
      </c>
      <c r="I40" s="35">
        <f t="shared" si="2"/>
        <v>0</v>
      </c>
      <c r="J40" s="35">
        <f t="shared" si="10"/>
        <v>2.5564821031328455E-2</v>
      </c>
      <c r="K40" s="110">
        <f t="shared" si="11"/>
        <v>2.4800002497976759E-2</v>
      </c>
    </row>
    <row r="41" spans="1:11" s="1" customFormat="1" ht="13.5" thickBot="1" x14ac:dyDescent="0.25">
      <c r="A41" s="111" t="s">
        <v>46</v>
      </c>
      <c r="B41" s="112">
        <f>B4</f>
        <v>450</v>
      </c>
      <c r="C41" s="113">
        <v>0</v>
      </c>
      <c r="D41" s="114">
        <f>B41*C41</f>
        <v>0</v>
      </c>
      <c r="E41" s="115">
        <f t="shared" si="6"/>
        <v>450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126.14390330790391</v>
      </c>
      <c r="E42" s="37"/>
      <c r="F42" s="38"/>
      <c r="G42" s="38">
        <f>SUM(G14,G25,G26,G27,G33,G40,G41)</f>
        <v>135.27890330790396</v>
      </c>
      <c r="H42" s="38">
        <f t="shared" si="1"/>
        <v>9.1350000000000477</v>
      </c>
      <c r="I42" s="39">
        <f>IF(ISERROR(H42/D42),0,(H42/D42))</f>
        <v>7.2417292952339354E-2</v>
      </c>
      <c r="J42" s="39">
        <f t="shared" si="10"/>
        <v>0.95238095238095233</v>
      </c>
      <c r="K42" s="40"/>
    </row>
    <row r="43" spans="1:11" x14ac:dyDescent="0.2">
      <c r="A43" s="143" t="s">
        <v>108</v>
      </c>
      <c r="B43" s="42"/>
      <c r="C43" s="25">
        <v>0.13</v>
      </c>
      <c r="D43" s="25">
        <f>D42*C43</f>
        <v>16.39870743002751</v>
      </c>
      <c r="E43" s="25"/>
      <c r="F43" s="25">
        <f>C43</f>
        <v>0.13</v>
      </c>
      <c r="G43" s="25">
        <f>G42*F43</f>
        <v>17.586257430027516</v>
      </c>
      <c r="H43" s="25">
        <f t="shared" si="1"/>
        <v>1.1875500000000052</v>
      </c>
      <c r="I43" s="43">
        <f t="shared" si="2"/>
        <v>7.2417292952339299E-2</v>
      </c>
      <c r="J43" s="43">
        <f t="shared" si="10"/>
        <v>0.12380952380952381</v>
      </c>
      <c r="K43" s="44"/>
    </row>
    <row r="44" spans="1:11" s="1" customFormat="1" x14ac:dyDescent="0.2">
      <c r="A44" s="45" t="s">
        <v>109</v>
      </c>
      <c r="B44" s="23"/>
      <c r="C44" s="24"/>
      <c r="D44" s="24">
        <f>SUM(D42:D43)</f>
        <v>142.54261073793143</v>
      </c>
      <c r="E44" s="24"/>
      <c r="F44" s="24"/>
      <c r="G44" s="24">
        <f>SUM(G42:G43)</f>
        <v>152.86516073793149</v>
      </c>
      <c r="H44" s="24">
        <f t="shared" si="1"/>
        <v>10.322550000000064</v>
      </c>
      <c r="I44" s="26">
        <f t="shared" si="2"/>
        <v>7.2417292952339424E-2</v>
      </c>
      <c r="J44" s="26">
        <f t="shared" si="10"/>
        <v>1.0761904761904764</v>
      </c>
      <c r="K44" s="46"/>
    </row>
    <row r="45" spans="1:11" x14ac:dyDescent="0.2">
      <c r="A45" s="41" t="s">
        <v>110</v>
      </c>
      <c r="B45" s="42"/>
      <c r="C45" s="25">
        <v>-0.08</v>
      </c>
      <c r="D45" s="25">
        <f>D42*C45</f>
        <v>-10.091512264632312</v>
      </c>
      <c r="E45" s="25"/>
      <c r="F45" s="25">
        <f>C45</f>
        <v>-0.08</v>
      </c>
      <c r="G45" s="25">
        <f>G42*F45</f>
        <v>-10.822312264632316</v>
      </c>
      <c r="H45" s="25">
        <f t="shared" si="1"/>
        <v>-0.73080000000000389</v>
      </c>
      <c r="I45" s="43">
        <f t="shared" si="2"/>
        <v>7.2417292952339368E-2</v>
      </c>
      <c r="J45" s="43">
        <f t="shared" si="10"/>
        <v>-7.6190476190476183E-2</v>
      </c>
      <c r="K45" s="44"/>
    </row>
    <row r="46" spans="1:11" s="1" customFormat="1" ht="13.5" thickBot="1" x14ac:dyDescent="0.25">
      <c r="A46" s="47" t="s">
        <v>111</v>
      </c>
      <c r="B46" s="48"/>
      <c r="C46" s="49"/>
      <c r="D46" s="49">
        <f>SUM(D44:D45)</f>
        <v>132.45109847329911</v>
      </c>
      <c r="E46" s="49"/>
      <c r="F46" s="49"/>
      <c r="G46" s="49">
        <f>SUM(G44:G45)</f>
        <v>142.04284847329916</v>
      </c>
      <c r="H46" s="49">
        <f t="shared" si="1"/>
        <v>9.5917500000000473</v>
      </c>
      <c r="I46" s="50">
        <f t="shared" si="2"/>
        <v>7.241729295233934E-2</v>
      </c>
      <c r="J46" s="50">
        <f t="shared" si="10"/>
        <v>1</v>
      </c>
      <c r="K46" s="51"/>
    </row>
    <row r="47" spans="1:11" x14ac:dyDescent="0.2">
      <c r="A47" s="52" t="s">
        <v>112</v>
      </c>
      <c r="B47" s="53"/>
      <c r="C47" s="54"/>
      <c r="D47" s="54">
        <f>SUM(D18,D25,D26,D28,D33,D40,D41)</f>
        <v>130.31583080790392</v>
      </c>
      <c r="E47" s="54"/>
      <c r="F47" s="54"/>
      <c r="G47" s="54">
        <f>SUM(G18,G25,G26,G28,G33,G40,G41)</f>
        <v>139.45083080790394</v>
      </c>
      <c r="H47" s="54">
        <f>G47-D47</f>
        <v>9.1350000000000193</v>
      </c>
      <c r="I47" s="55">
        <f>IF(ISERROR(H47/D47),0,(H47/D47))</f>
        <v>7.0098927684893078E-2</v>
      </c>
      <c r="J47" s="55"/>
      <c r="K47" s="56">
        <f>G47/$G$51</f>
        <v>0.95238095238095244</v>
      </c>
    </row>
    <row r="48" spans="1:11" x14ac:dyDescent="0.2">
      <c r="A48" s="144" t="s">
        <v>108</v>
      </c>
      <c r="B48" s="58"/>
      <c r="C48" s="30">
        <v>0.13</v>
      </c>
      <c r="D48" s="30">
        <f>D47*C48</f>
        <v>16.941058005027511</v>
      </c>
      <c r="E48" s="30"/>
      <c r="F48" s="30">
        <f>C48</f>
        <v>0.13</v>
      </c>
      <c r="G48" s="30">
        <f>G47*F48</f>
        <v>18.128608005027512</v>
      </c>
      <c r="H48" s="30">
        <f>G48-D48</f>
        <v>1.1875500000000017</v>
      </c>
      <c r="I48" s="31">
        <f>IF(ISERROR(H48/D48),0,(H48/D48))</f>
        <v>7.0098927684893036E-2</v>
      </c>
      <c r="J48" s="31"/>
      <c r="K48" s="59">
        <f>G48/$G$51</f>
        <v>0.12380952380952383</v>
      </c>
    </row>
    <row r="49" spans="1:11" x14ac:dyDescent="0.2">
      <c r="A49" s="60" t="s">
        <v>113</v>
      </c>
      <c r="B49" s="28"/>
      <c r="C49" s="29"/>
      <c r="D49" s="29">
        <f>SUM(D47:D48)</f>
        <v>147.25688881293144</v>
      </c>
      <c r="E49" s="29"/>
      <c r="F49" s="29"/>
      <c r="G49" s="29">
        <f>SUM(G47:G48)</f>
        <v>157.57943881293144</v>
      </c>
      <c r="H49" s="29">
        <f>G49-D49</f>
        <v>10.322550000000007</v>
      </c>
      <c r="I49" s="32">
        <f>IF(ISERROR(H49/D49),0,(H49/D49))</f>
        <v>7.0098927684892981E-2</v>
      </c>
      <c r="J49" s="32"/>
      <c r="K49" s="61">
        <f>G49/$G$51</f>
        <v>1.0761904761904761</v>
      </c>
    </row>
    <row r="50" spans="1:11" x14ac:dyDescent="0.2">
      <c r="A50" s="57" t="s">
        <v>110</v>
      </c>
      <c r="B50" s="58"/>
      <c r="C50" s="30">
        <v>-0.08</v>
      </c>
      <c r="D50" s="30">
        <f>D47*C50</f>
        <v>-10.425266464632314</v>
      </c>
      <c r="E50" s="30"/>
      <c r="F50" s="30">
        <f>C50</f>
        <v>-0.08</v>
      </c>
      <c r="G50" s="30">
        <f>G47*F50</f>
        <v>-11.156066464632316</v>
      </c>
      <c r="H50" s="30">
        <f>G50-D50</f>
        <v>-0.73080000000000211</v>
      </c>
      <c r="I50" s="31">
        <f>IF(ISERROR(H50/D50),0,(H50/D50))</f>
        <v>7.0098927684893134E-2</v>
      </c>
      <c r="J50" s="31"/>
      <c r="K50" s="59">
        <f>G50/$G$51</f>
        <v>-7.6190476190476197E-2</v>
      </c>
    </row>
    <row r="51" spans="1:11" ht="13.5" thickBot="1" x14ac:dyDescent="0.25">
      <c r="A51" s="62" t="s">
        <v>114</v>
      </c>
      <c r="B51" s="63"/>
      <c r="C51" s="64"/>
      <c r="D51" s="64">
        <f>SUM(D49:D50)</f>
        <v>136.83162234829913</v>
      </c>
      <c r="E51" s="64"/>
      <c r="F51" s="64"/>
      <c r="G51" s="64">
        <f>SUM(G49:G50)</f>
        <v>146.42337234829913</v>
      </c>
      <c r="H51" s="64">
        <f>G51-D51</f>
        <v>9.5917499999999905</v>
      </c>
      <c r="I51" s="65">
        <f>IF(ISERROR(H51/D51),0,(H51/D51))</f>
        <v>7.0098927684892856E-2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499984740745262"/>
    <pageSetUpPr fitToPage="1"/>
  </sheetPr>
  <dimension ref="A1:K68"/>
  <sheetViews>
    <sheetView tabSelected="1" topLeftCell="A4"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2</v>
      </c>
    </row>
    <row r="4" spans="1:11" x14ac:dyDescent="0.2">
      <c r="A4" s="14" t="s">
        <v>62</v>
      </c>
      <c r="B4" s="14">
        <v>750</v>
      </c>
    </row>
    <row r="5" spans="1:11" x14ac:dyDescent="0.2">
      <c r="A5" s="14" t="s">
        <v>16</v>
      </c>
      <c r="B5" s="14">
        <f>VLOOKUP($B$3,'Data for Bill Impacts'!$A$3:$Y$15,5,0)</f>
        <v>0</v>
      </c>
    </row>
    <row r="6" spans="1:11" x14ac:dyDescent="0.2">
      <c r="A6" s="14" t="s">
        <v>20</v>
      </c>
      <c r="B6" s="14">
        <f>VLOOKUP($B$3,'Data for Bill Impacts'!$A$3:$Y$15,2,0)</f>
        <v>1.105</v>
      </c>
    </row>
    <row r="7" spans="1:11" x14ac:dyDescent="0.2">
      <c r="A7" s="14" t="s">
        <v>15</v>
      </c>
      <c r="B7" s="14">
        <f>VLOOKUP($B$3,'Data for Bill Impacts'!$A$3:$Y$15,4,0)</f>
        <v>600</v>
      </c>
    </row>
    <row r="8" spans="1:11" x14ac:dyDescent="0.2">
      <c r="A8" s="14" t="s">
        <v>82</v>
      </c>
      <c r="B8" s="149">
        <f>B4*B6</f>
        <v>828.75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0.32084781745461499</v>
      </c>
      <c r="K12" s="105"/>
    </row>
    <row r="13" spans="1:11" x14ac:dyDescent="0.2">
      <c r="A13" s="106" t="s">
        <v>32</v>
      </c>
      <c r="B13" s="72">
        <f>IF(B4&gt;B7,(B4)-B7,0)</f>
        <v>150</v>
      </c>
      <c r="C13" s="20">
        <v>0.121</v>
      </c>
      <c r="D13" s="21">
        <f>B13*C13</f>
        <v>18.149999999999999</v>
      </c>
      <c r="E13" s="72">
        <f t="shared" ref="E13" si="0">B13</f>
        <v>150</v>
      </c>
      <c r="F13" s="20">
        <f>C13</f>
        <v>0.121</v>
      </c>
      <c r="G13" s="21">
        <f>E13*F13</f>
        <v>18.149999999999999</v>
      </c>
      <c r="H13" s="21">
        <f t="shared" ref="H13:H46" si="1">G13-D13</f>
        <v>0</v>
      </c>
      <c r="I13" s="22">
        <f t="shared" ref="I13:I46" si="2">IF(ISERROR(H13/D13),0,(H13/D13))</f>
        <v>0</v>
      </c>
      <c r="J13" s="22">
        <f>G13/$G$46</f>
        <v>9.4229577456331107E-2</v>
      </c>
      <c r="K13" s="107"/>
    </row>
    <row r="14" spans="1:11" s="1" customFormat="1" x14ac:dyDescent="0.2">
      <c r="A14" s="45" t="s">
        <v>33</v>
      </c>
      <c r="B14" s="23"/>
      <c r="C14" s="24"/>
      <c r="D14" s="24">
        <f>SUM(D12:D13)</f>
        <v>79.949999999999989</v>
      </c>
      <c r="E14" s="75"/>
      <c r="F14" s="24"/>
      <c r="G14" s="24">
        <f>SUM(G12:G13)</f>
        <v>79.949999999999989</v>
      </c>
      <c r="H14" s="24">
        <f t="shared" si="1"/>
        <v>0</v>
      </c>
      <c r="I14" s="26">
        <f t="shared" si="2"/>
        <v>0</v>
      </c>
      <c r="J14" s="26">
        <f>G14/$G$46</f>
        <v>0.41507739491094608</v>
      </c>
      <c r="K14" s="107"/>
    </row>
    <row r="15" spans="1:11" s="1" customFormat="1" x14ac:dyDescent="0.2">
      <c r="A15" s="108" t="s">
        <v>34</v>
      </c>
      <c r="B15" s="74">
        <f>B4*0.65</f>
        <v>487.5</v>
      </c>
      <c r="C15" s="27">
        <v>8.6999999999999994E-2</v>
      </c>
      <c r="D15" s="21">
        <f>B15*C15</f>
        <v>42.412499999999994</v>
      </c>
      <c r="E15" s="72">
        <f t="shared" ref="E15:F17" si="3">B15</f>
        <v>487.5</v>
      </c>
      <c r="F15" s="27">
        <f t="shared" si="3"/>
        <v>8.6999999999999994E-2</v>
      </c>
      <c r="G15" s="21">
        <f>E15*F15</f>
        <v>42.412499999999994</v>
      </c>
      <c r="H15" s="21">
        <f t="shared" si="1"/>
        <v>0</v>
      </c>
      <c r="I15" s="22">
        <f t="shared" si="2"/>
        <v>0</v>
      </c>
      <c r="J15" s="22"/>
      <c r="K15" s="107">
        <f t="shared" ref="K15:K26" si="4">G15/$G$51</f>
        <v>0.21684149231081812</v>
      </c>
    </row>
    <row r="16" spans="1:11" s="1" customFormat="1" x14ac:dyDescent="0.2">
      <c r="A16" s="108" t="s">
        <v>35</v>
      </c>
      <c r="B16" s="74">
        <f>B4*0.17</f>
        <v>127.50000000000001</v>
      </c>
      <c r="C16" s="27">
        <v>0.13200000000000001</v>
      </c>
      <c r="D16" s="21">
        <f>B16*C16</f>
        <v>16.830000000000002</v>
      </c>
      <c r="E16" s="72">
        <f t="shared" si="3"/>
        <v>127.50000000000001</v>
      </c>
      <c r="F16" s="27">
        <f t="shared" si="3"/>
        <v>0.13200000000000001</v>
      </c>
      <c r="G16" s="21">
        <f>E16*F16</f>
        <v>16.830000000000002</v>
      </c>
      <c r="H16" s="21">
        <f t="shared" si="1"/>
        <v>0</v>
      </c>
      <c r="I16" s="22">
        <f t="shared" si="2"/>
        <v>0</v>
      </c>
      <c r="J16" s="22"/>
      <c r="K16" s="107">
        <f t="shared" si="4"/>
        <v>8.604638527771459E-2</v>
      </c>
    </row>
    <row r="17" spans="1:11" s="1" customFormat="1" x14ac:dyDescent="0.2">
      <c r="A17" s="108" t="s">
        <v>36</v>
      </c>
      <c r="B17" s="74">
        <f>B4*0.18</f>
        <v>135</v>
      </c>
      <c r="C17" s="27">
        <v>0.18</v>
      </c>
      <c r="D17" s="21">
        <f>B17*C17</f>
        <v>24.3</v>
      </c>
      <c r="E17" s="72">
        <f t="shared" si="3"/>
        <v>135</v>
      </c>
      <c r="F17" s="27">
        <f t="shared" si="3"/>
        <v>0.18</v>
      </c>
      <c r="G17" s="21">
        <f>E17*F17</f>
        <v>24.3</v>
      </c>
      <c r="H17" s="21">
        <f t="shared" si="1"/>
        <v>0</v>
      </c>
      <c r="I17" s="22">
        <f t="shared" si="2"/>
        <v>0</v>
      </c>
      <c r="J17" s="22"/>
      <c r="K17" s="107">
        <f t="shared" si="4"/>
        <v>0.12423809639028308</v>
      </c>
    </row>
    <row r="18" spans="1:11" s="1" customFormat="1" x14ac:dyDescent="0.2">
      <c r="A18" s="60" t="s">
        <v>37</v>
      </c>
      <c r="B18" s="28"/>
      <c r="C18" s="29"/>
      <c r="D18" s="29">
        <f>SUM(D15:D17)</f>
        <v>83.54249999999999</v>
      </c>
      <c r="E18" s="76"/>
      <c r="F18" s="29"/>
      <c r="G18" s="29">
        <f>SUM(G15:G17)</f>
        <v>83.54249999999999</v>
      </c>
      <c r="H18" s="30">
        <f t="shared" si="1"/>
        <v>0</v>
      </c>
      <c r="I18" s="31">
        <f t="shared" si="2"/>
        <v>0</v>
      </c>
      <c r="J18" s="32">
        <f t="shared" ref="J18:J23" si="5">G18/$G$46</f>
        <v>0.43372862119259181</v>
      </c>
      <c r="K18" s="61">
        <f t="shared" si="4"/>
        <v>0.42712597397881574</v>
      </c>
    </row>
    <row r="19" spans="1:11" x14ac:dyDescent="0.2">
      <c r="A19" s="106" t="s">
        <v>38</v>
      </c>
      <c r="B19" s="72">
        <v>1</v>
      </c>
      <c r="C19" s="121">
        <f>VLOOKUP($B$3,'Data for Bill Impacts'!$A$3:$Y$15,7,0)</f>
        <v>55.319678307903928</v>
      </c>
      <c r="D19" s="21">
        <f>B19*C19</f>
        <v>55.319678307903928</v>
      </c>
      <c r="E19" s="72">
        <f t="shared" ref="E19:E41" si="6">B19</f>
        <v>1</v>
      </c>
      <c r="F19" s="121">
        <f>VLOOKUP($B$3,'Data for Bill Impacts'!$A$3:$Y$15,17,0)</f>
        <v>68.189678307903932</v>
      </c>
      <c r="G19" s="21">
        <f>E19*F19</f>
        <v>68.189678307903932</v>
      </c>
      <c r="H19" s="21">
        <f t="shared" si="1"/>
        <v>12.870000000000005</v>
      </c>
      <c r="I19" s="22">
        <f t="shared" si="2"/>
        <v>0.23264777369757722</v>
      </c>
      <c r="J19" s="22">
        <f t="shared" si="5"/>
        <v>0.35402118864115345</v>
      </c>
      <c r="K19" s="107">
        <f t="shared" si="4"/>
        <v>0.34863192701398205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-0.02</v>
      </c>
      <c r="D22" s="21">
        <f t="shared" si="8"/>
        <v>-0.02</v>
      </c>
      <c r="E22" s="72">
        <f t="shared" si="6"/>
        <v>1</v>
      </c>
      <c r="F22" s="121">
        <f>VLOOKUP($B$3,'Data for Bill Impacts'!$A$3:$Y$15,22,0)</f>
        <v>-0.02</v>
      </c>
      <c r="G22" s="21">
        <f t="shared" si="7"/>
        <v>-0.02</v>
      </c>
      <c r="H22" s="21">
        <f t="shared" si="1"/>
        <v>0</v>
      </c>
      <c r="I22" s="22">
        <f t="shared" si="2"/>
        <v>0</v>
      </c>
      <c r="J22" s="22">
        <f t="shared" si="5"/>
        <v>-1.0383424513094338E-4</v>
      </c>
      <c r="K22" s="107">
        <f t="shared" si="4"/>
        <v>-1.0225357727595315E-4</v>
      </c>
    </row>
    <row r="23" spans="1:11" x14ac:dyDescent="0.2">
      <c r="A23" s="106" t="s">
        <v>39</v>
      </c>
      <c r="B23" s="72">
        <f>IF($B$9="kWh",$B$4,$B$5)</f>
        <v>750</v>
      </c>
      <c r="C23" s="77">
        <f>VLOOKUP($B$3,'Data for Bill Impacts'!$A$3:$Y$15,10,0)</f>
        <v>0.02</v>
      </c>
      <c r="D23" s="21">
        <f>B23*C23</f>
        <v>15</v>
      </c>
      <c r="E23" s="72">
        <f t="shared" si="6"/>
        <v>750</v>
      </c>
      <c r="F23" s="77">
        <f>VLOOKUP($B$3,'Data for Bill Impacts'!$A$3:$Y$15,19,0)</f>
        <v>1.17E-2</v>
      </c>
      <c r="G23" s="21">
        <f>E23*F23</f>
        <v>8.7750000000000004</v>
      </c>
      <c r="H23" s="21">
        <f t="shared" si="1"/>
        <v>-6.2249999999999996</v>
      </c>
      <c r="I23" s="22">
        <f t="shared" si="2"/>
        <v>-0.41499999999999998</v>
      </c>
      <c r="J23" s="22">
        <f t="shared" si="5"/>
        <v>4.5557275051201405E-2</v>
      </c>
      <c r="K23" s="107">
        <f t="shared" si="4"/>
        <v>4.4863757029824446E-2</v>
      </c>
    </row>
    <row r="24" spans="1:11" x14ac:dyDescent="0.2">
      <c r="A24" s="106" t="s">
        <v>129</v>
      </c>
      <c r="B24" s="72">
        <f>IF($B$9="kWh",$B$4,$B$5)</f>
        <v>750</v>
      </c>
      <c r="C24" s="125">
        <f>VLOOKUP($B$3,'Data for Bill Impacts'!$A$3:$Y$15,14,0)</f>
        <v>2.0000000000000001E-4</v>
      </c>
      <c r="D24" s="21">
        <f>B24*C24</f>
        <v>0.15</v>
      </c>
      <c r="E24" s="72">
        <f t="shared" si="6"/>
        <v>750</v>
      </c>
      <c r="F24" s="77">
        <f>VLOOKUP($B$3,'Data for Bill Impacts'!$A$3:$Y$15,23,0)</f>
        <v>2.0000000000000001E-4</v>
      </c>
      <c r="G24" s="21">
        <f>E24*F24</f>
        <v>0.15</v>
      </c>
      <c r="H24" s="21">
        <f t="shared" si="1"/>
        <v>0</v>
      </c>
      <c r="I24" s="22">
        <f>IF(ISERROR(H24/D24),0,(H24/D24))</f>
        <v>0</v>
      </c>
      <c r="J24" s="22">
        <f t="shared" ref="J24" si="9">G24/$G$46</f>
        <v>7.7875683848207524E-4</v>
      </c>
      <c r="K24" s="107">
        <f t="shared" si="4"/>
        <v>7.6690182956964861E-4</v>
      </c>
    </row>
    <row r="25" spans="1:11" s="1" customFormat="1" x14ac:dyDescent="0.2">
      <c r="A25" s="109" t="s">
        <v>72</v>
      </c>
      <c r="B25" s="73"/>
      <c r="C25" s="34"/>
      <c r="D25" s="34">
        <f>SUM(D19:D24)</f>
        <v>70.449678307903923</v>
      </c>
      <c r="E25" s="72"/>
      <c r="F25" s="34"/>
      <c r="G25" s="34">
        <f>SUM(G19:G24)</f>
        <v>77.094678307903948</v>
      </c>
      <c r="H25" s="34">
        <f t="shared" si="1"/>
        <v>6.6450000000000244</v>
      </c>
      <c r="I25" s="35">
        <f t="shared" si="2"/>
        <v>9.4322645036897287E-2</v>
      </c>
      <c r="J25" s="35">
        <f>G25/$G$46</f>
        <v>0.40025338628570606</v>
      </c>
      <c r="K25" s="110">
        <f t="shared" si="4"/>
        <v>0.39416033229610026</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4.1014526826722636E-3</v>
      </c>
      <c r="K26" s="107">
        <f t="shared" si="4"/>
        <v>4.0390163024001495E-3</v>
      </c>
    </row>
    <row r="27" spans="1:11" s="1" customFormat="1" x14ac:dyDescent="0.2">
      <c r="A27" s="118" t="s">
        <v>75</v>
      </c>
      <c r="B27" s="119">
        <f>B8-B4</f>
        <v>78.75</v>
      </c>
      <c r="C27" s="120">
        <f>IF(B4&gt;B7,C13,C12)</f>
        <v>0.121</v>
      </c>
      <c r="D27" s="21">
        <f>B27*C27</f>
        <v>9.5287500000000005</v>
      </c>
      <c r="E27" s="72">
        <f>B27</f>
        <v>78.75</v>
      </c>
      <c r="F27" s="120">
        <f>C27</f>
        <v>0.121</v>
      </c>
      <c r="G27" s="21">
        <f>E27*F27</f>
        <v>9.5287500000000005</v>
      </c>
      <c r="H27" s="21">
        <f t="shared" si="1"/>
        <v>0</v>
      </c>
      <c r="I27" s="22">
        <f>IF(ISERROR(H27/D27),0,(H27/D27))</f>
        <v>0</v>
      </c>
      <c r="J27" s="22">
        <f t="shared" ref="J27:J46" si="10">G27/$G$46</f>
        <v>4.947052816457384E-2</v>
      </c>
      <c r="K27" s="107">
        <f t="shared" ref="K27:K41" si="11">G27/$G$51</f>
        <v>4.8717438723411929E-2</v>
      </c>
    </row>
    <row r="28" spans="1:11" s="1" customFormat="1" x14ac:dyDescent="0.2">
      <c r="A28" s="118" t="s">
        <v>74</v>
      </c>
      <c r="B28" s="119">
        <f>B8-B4</f>
        <v>78.75</v>
      </c>
      <c r="C28" s="120">
        <f>0.65*C15+0.17*C16+0.18*C17</f>
        <v>0.11139</v>
      </c>
      <c r="D28" s="21">
        <f>B28*C28</f>
        <v>8.7719625000000008</v>
      </c>
      <c r="E28" s="72">
        <f>B28</f>
        <v>78.75</v>
      </c>
      <c r="F28" s="120">
        <f>C28</f>
        <v>0.11139</v>
      </c>
      <c r="G28" s="21">
        <f>E28*F28</f>
        <v>8.7719625000000008</v>
      </c>
      <c r="H28" s="21">
        <f t="shared" si="1"/>
        <v>0</v>
      </c>
      <c r="I28" s="22">
        <f>IF(ISERROR(H28/D28),0,(H28/D28))</f>
        <v>0</v>
      </c>
      <c r="J28" s="22">
        <f t="shared" si="10"/>
        <v>4.5541505225222149E-2</v>
      </c>
      <c r="K28" s="107">
        <f t="shared" si="11"/>
        <v>4.4848227267775667E-2</v>
      </c>
    </row>
    <row r="29" spans="1:11" s="1" customFormat="1" x14ac:dyDescent="0.2">
      <c r="A29" s="109" t="s">
        <v>78</v>
      </c>
      <c r="B29" s="73"/>
      <c r="C29" s="34"/>
      <c r="D29" s="34">
        <f>SUM(D25,D26:D27)</f>
        <v>80.768428307903932</v>
      </c>
      <c r="E29" s="72"/>
      <c r="F29" s="34"/>
      <c r="G29" s="34">
        <f>SUM(G25,G26:G27)</f>
        <v>87.413428307903956</v>
      </c>
      <c r="H29" s="34">
        <f t="shared" si="1"/>
        <v>6.6450000000000244</v>
      </c>
      <c r="I29" s="35">
        <f>IF(ISERROR(H29/D29),0,(H29/D29))</f>
        <v>8.2272245965565607E-2</v>
      </c>
      <c r="J29" s="35">
        <f t="shared" si="10"/>
        <v>0.45382536713295224</v>
      </c>
      <c r="K29" s="110">
        <f t="shared" si="11"/>
        <v>0.44691678732191242</v>
      </c>
    </row>
    <row r="30" spans="1:11" s="1" customFormat="1" x14ac:dyDescent="0.2">
      <c r="A30" s="109" t="s">
        <v>77</v>
      </c>
      <c r="B30" s="73"/>
      <c r="C30" s="34"/>
      <c r="D30" s="34">
        <f>SUM(D25,D26,D28)</f>
        <v>80.01164080790393</v>
      </c>
      <c r="E30" s="72"/>
      <c r="F30" s="34"/>
      <c r="G30" s="34">
        <f>SUM(G25,G26,G28)</f>
        <v>86.656640807903955</v>
      </c>
      <c r="H30" s="34">
        <f t="shared" si="1"/>
        <v>6.6450000000000244</v>
      </c>
      <c r="I30" s="35">
        <f>IF(ISERROR(H30/D30),0,(H30/D30))</f>
        <v>8.3050415325860924E-2</v>
      </c>
      <c r="J30" s="35">
        <f t="shared" si="10"/>
        <v>0.44989634419360053</v>
      </c>
      <c r="K30" s="110">
        <f t="shared" si="11"/>
        <v>0.44304757586627613</v>
      </c>
    </row>
    <row r="31" spans="1:11" x14ac:dyDescent="0.2">
      <c r="A31" s="106" t="s">
        <v>40</v>
      </c>
      <c r="B31" s="72">
        <f>B8</f>
        <v>828.75</v>
      </c>
      <c r="C31" s="125">
        <f>VLOOKUP($B$3,'Data for Bill Impacts'!$A$3:$Y$15,15,0)</f>
        <v>6.7999999999999996E-3</v>
      </c>
      <c r="D31" s="21">
        <f>B31*C31</f>
        <v>5.6354999999999995</v>
      </c>
      <c r="E31" s="72">
        <f t="shared" si="6"/>
        <v>828.75</v>
      </c>
      <c r="F31" s="77">
        <f>VLOOKUP($B$3,'Data for Bill Impacts'!$A$3:$Y$15,24,0)</f>
        <v>6.7999999999999996E-3</v>
      </c>
      <c r="G31" s="21">
        <f>E31*F31</f>
        <v>5.6354999999999995</v>
      </c>
      <c r="H31" s="21">
        <f t="shared" si="1"/>
        <v>0</v>
      </c>
      <c r="I31" s="22">
        <f t="shared" si="2"/>
        <v>0</v>
      </c>
      <c r="J31" s="22">
        <f t="shared" si="10"/>
        <v>2.9257894421771569E-2</v>
      </c>
      <c r="K31" s="107">
        <f t="shared" si="11"/>
        <v>2.8812501736931697E-2</v>
      </c>
    </row>
    <row r="32" spans="1:11" x14ac:dyDescent="0.2">
      <c r="A32" s="106" t="s">
        <v>41</v>
      </c>
      <c r="B32" s="72">
        <f>B8</f>
        <v>828.75</v>
      </c>
      <c r="C32" s="125">
        <f>VLOOKUP($B$3,'Data for Bill Impacts'!$A$3:$Y$15,16,0)</f>
        <v>5.4999999999999997E-3</v>
      </c>
      <c r="D32" s="21">
        <f>B32*C32</f>
        <v>4.5581249999999995</v>
      </c>
      <c r="E32" s="72">
        <f t="shared" si="6"/>
        <v>828.75</v>
      </c>
      <c r="F32" s="77">
        <f>VLOOKUP($B$3,'Data for Bill Impacts'!$A$3:$Y$15,25,0)</f>
        <v>5.4999999999999997E-3</v>
      </c>
      <c r="G32" s="21">
        <f>E32*F32</f>
        <v>4.5581249999999995</v>
      </c>
      <c r="H32" s="21">
        <f t="shared" si="1"/>
        <v>0</v>
      </c>
      <c r="I32" s="22">
        <f t="shared" si="2"/>
        <v>0</v>
      </c>
      <c r="J32" s="22">
        <f t="shared" si="10"/>
        <v>2.3664473429374062E-2</v>
      </c>
      <c r="K32" s="107">
        <f t="shared" si="11"/>
        <v>2.3304229346047697E-2</v>
      </c>
    </row>
    <row r="33" spans="1:11" s="1" customFormat="1" x14ac:dyDescent="0.2">
      <c r="A33" s="109" t="s">
        <v>76</v>
      </c>
      <c r="B33" s="73"/>
      <c r="C33" s="34"/>
      <c r="D33" s="34">
        <f>SUM(D31:D32)</f>
        <v>10.193624999999999</v>
      </c>
      <c r="E33" s="72"/>
      <c r="F33" s="34"/>
      <c r="G33" s="34">
        <f>SUM(G31:G32)</f>
        <v>10.193624999999999</v>
      </c>
      <c r="H33" s="34">
        <f t="shared" si="1"/>
        <v>0</v>
      </c>
      <c r="I33" s="35">
        <f t="shared" si="2"/>
        <v>0</v>
      </c>
      <c r="J33" s="35">
        <f t="shared" si="10"/>
        <v>5.2922367851145631E-2</v>
      </c>
      <c r="K33" s="110">
        <f t="shared" si="11"/>
        <v>5.2116731082979394E-2</v>
      </c>
    </row>
    <row r="34" spans="1:11" s="1" customFormat="1" x14ac:dyDescent="0.2">
      <c r="A34" s="109" t="s">
        <v>93</v>
      </c>
      <c r="B34" s="73"/>
      <c r="C34" s="34"/>
      <c r="D34" s="34">
        <f>D29+D33</f>
        <v>90.962053307903929</v>
      </c>
      <c r="E34" s="72"/>
      <c r="F34" s="34"/>
      <c r="G34" s="34">
        <f>G29+G33</f>
        <v>97.607053307903954</v>
      </c>
      <c r="H34" s="34">
        <f t="shared" si="1"/>
        <v>6.6450000000000244</v>
      </c>
      <c r="I34" s="35">
        <f t="shared" si="2"/>
        <v>7.3052440642548941E-2</v>
      </c>
      <c r="J34" s="35">
        <f t="shared" si="10"/>
        <v>0.50674773498409786</v>
      </c>
      <c r="K34" s="110">
        <f t="shared" si="11"/>
        <v>0.4990335184048918</v>
      </c>
    </row>
    <row r="35" spans="1:11" s="1" customFormat="1" x14ac:dyDescent="0.2">
      <c r="A35" s="109" t="s">
        <v>94</v>
      </c>
      <c r="B35" s="73"/>
      <c r="C35" s="34"/>
      <c r="D35" s="34">
        <f>D30+D33</f>
        <v>90.205265807903928</v>
      </c>
      <c r="E35" s="72"/>
      <c r="F35" s="34"/>
      <c r="G35" s="34">
        <f>G30+G33</f>
        <v>96.850265807903952</v>
      </c>
      <c r="H35" s="34">
        <f t="shared" si="1"/>
        <v>6.6450000000000244</v>
      </c>
      <c r="I35" s="35">
        <f t="shared" si="2"/>
        <v>7.3665322533951E-2</v>
      </c>
      <c r="J35" s="35">
        <f t="shared" si="10"/>
        <v>0.50281871204474615</v>
      </c>
      <c r="K35" s="110">
        <f t="shared" si="11"/>
        <v>0.49516430694925551</v>
      </c>
    </row>
    <row r="36" spans="1:11" x14ac:dyDescent="0.2">
      <c r="A36" s="106" t="s">
        <v>42</v>
      </c>
      <c r="B36" s="72">
        <f>B8</f>
        <v>828.75</v>
      </c>
      <c r="C36" s="33">
        <v>3.5999999999999999E-3</v>
      </c>
      <c r="D36" s="21">
        <f>B36*C36</f>
        <v>2.9834999999999998</v>
      </c>
      <c r="E36" s="72">
        <f t="shared" si="6"/>
        <v>828.75</v>
      </c>
      <c r="F36" s="33">
        <v>3.5999999999999999E-3</v>
      </c>
      <c r="G36" s="21">
        <f>E36*F36</f>
        <v>2.9834999999999998</v>
      </c>
      <c r="H36" s="21">
        <f t="shared" si="1"/>
        <v>0</v>
      </c>
      <c r="I36" s="22">
        <f t="shared" si="2"/>
        <v>0</v>
      </c>
      <c r="J36" s="22">
        <f t="shared" si="10"/>
        <v>1.5489473517408477E-2</v>
      </c>
      <c r="K36" s="107">
        <f t="shared" si="11"/>
        <v>1.5253677390140311E-2</v>
      </c>
    </row>
    <row r="37" spans="1:11" x14ac:dyDescent="0.2">
      <c r="A37" s="106" t="s">
        <v>43</v>
      </c>
      <c r="B37" s="72">
        <f>B8</f>
        <v>828.75</v>
      </c>
      <c r="C37" s="33">
        <v>2.0999999999999999E-3</v>
      </c>
      <c r="D37" s="21">
        <f>B37*C37</f>
        <v>1.7403749999999998</v>
      </c>
      <c r="E37" s="72">
        <f t="shared" si="6"/>
        <v>828.75</v>
      </c>
      <c r="F37" s="33">
        <v>2.0999999999999999E-3</v>
      </c>
      <c r="G37" s="21">
        <f>E37*F37</f>
        <v>1.7403749999999998</v>
      </c>
      <c r="H37" s="21">
        <f>G37-D37</f>
        <v>0</v>
      </c>
      <c r="I37" s="22">
        <f t="shared" si="2"/>
        <v>0</v>
      </c>
      <c r="J37" s="22">
        <f t="shared" si="10"/>
        <v>9.0355262184882781E-3</v>
      </c>
      <c r="K37" s="107">
        <f t="shared" si="11"/>
        <v>8.8979784775818464E-3</v>
      </c>
    </row>
    <row r="38" spans="1:11" x14ac:dyDescent="0.2">
      <c r="A38" s="106" t="s">
        <v>99</v>
      </c>
      <c r="B38" s="72">
        <f>B8</f>
        <v>828.75</v>
      </c>
      <c r="C38" s="33">
        <v>1.1000000000000001E-3</v>
      </c>
      <c r="D38" s="21">
        <f>B38*C38</f>
        <v>0.91162500000000002</v>
      </c>
      <c r="E38" s="72">
        <f t="shared" si="6"/>
        <v>828.75</v>
      </c>
      <c r="F38" s="33">
        <v>1.1000000000000001E-3</v>
      </c>
      <c r="G38" s="21">
        <f>E38*F38</f>
        <v>0.91162500000000002</v>
      </c>
      <c r="H38" s="21">
        <f>G38-D38</f>
        <v>0</v>
      </c>
      <c r="I38" s="22">
        <f t="shared" ref="I38" si="12">IF(ISERROR(H38/D38),0,(H38/D38))</f>
        <v>0</v>
      </c>
      <c r="J38" s="22">
        <f t="shared" ref="J38" si="13">G38/$G$46</f>
        <v>4.7328946858748132E-3</v>
      </c>
      <c r="K38" s="107">
        <f t="shared" ref="K38" si="14">G38/$G$51</f>
        <v>4.6608458692095397E-3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1.2979280641367923E-3</v>
      </c>
      <c r="K39" s="107">
        <f t="shared" si="11"/>
        <v>1.2781697159494143E-3</v>
      </c>
    </row>
    <row r="40" spans="1:11" s="1" customFormat="1" x14ac:dyDescent="0.2">
      <c r="A40" s="109" t="s">
        <v>45</v>
      </c>
      <c r="B40" s="73"/>
      <c r="C40" s="34"/>
      <c r="D40" s="34">
        <f>SUM(D36:D39)</f>
        <v>5.8854999999999995</v>
      </c>
      <c r="E40" s="72"/>
      <c r="F40" s="34"/>
      <c r="G40" s="34">
        <f>SUM(G36:G39)</f>
        <v>5.8854999999999995</v>
      </c>
      <c r="H40" s="34">
        <f t="shared" si="1"/>
        <v>0</v>
      </c>
      <c r="I40" s="35">
        <f t="shared" si="2"/>
        <v>0</v>
      </c>
      <c r="J40" s="35">
        <f t="shared" si="10"/>
        <v>3.0555822485908359E-2</v>
      </c>
      <c r="K40" s="110">
        <f t="shared" si="11"/>
        <v>3.009067145288111E-2</v>
      </c>
    </row>
    <row r="41" spans="1:11" s="1" customFormat="1" ht="13.5" thickBot="1" x14ac:dyDescent="0.25">
      <c r="A41" s="111" t="s">
        <v>46</v>
      </c>
      <c r="B41" s="112">
        <f>B4</f>
        <v>750</v>
      </c>
      <c r="C41" s="113">
        <v>0</v>
      </c>
      <c r="D41" s="114">
        <f>B41*C41</f>
        <v>0</v>
      </c>
      <c r="E41" s="115">
        <f t="shared" si="6"/>
        <v>750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176.79755330790391</v>
      </c>
      <c r="E42" s="37"/>
      <c r="F42" s="38"/>
      <c r="G42" s="38">
        <f>SUM(G14,G25,G26,G27,G33,G40,G41)</f>
        <v>183.44255330790395</v>
      </c>
      <c r="H42" s="38">
        <f t="shared" si="1"/>
        <v>6.6450000000000387</v>
      </c>
      <c r="I42" s="39">
        <f>IF(ISERROR(H42/D42),0,(H42/D42))</f>
        <v>3.7585361763617618E-2</v>
      </c>
      <c r="J42" s="39">
        <f t="shared" si="10"/>
        <v>0.95238095238095233</v>
      </c>
      <c r="K42" s="40"/>
    </row>
    <row r="43" spans="1:11" x14ac:dyDescent="0.2">
      <c r="A43" s="143" t="s">
        <v>108</v>
      </c>
      <c r="B43" s="42"/>
      <c r="C43" s="25">
        <v>0.13</v>
      </c>
      <c r="D43" s="25">
        <f>D42*C43</f>
        <v>22.983681930027508</v>
      </c>
      <c r="E43" s="25"/>
      <c r="F43" s="25">
        <f>C43</f>
        <v>0.13</v>
      </c>
      <c r="G43" s="25">
        <f>G42*F43</f>
        <v>23.847531930027515</v>
      </c>
      <c r="H43" s="25">
        <f t="shared" si="1"/>
        <v>0.86385000000000645</v>
      </c>
      <c r="I43" s="43">
        <f t="shared" si="2"/>
        <v>3.7585361763617681E-2</v>
      </c>
      <c r="J43" s="43">
        <f t="shared" si="10"/>
        <v>0.12380952380952381</v>
      </c>
      <c r="K43" s="44"/>
    </row>
    <row r="44" spans="1:11" s="1" customFormat="1" x14ac:dyDescent="0.2">
      <c r="A44" s="45" t="s">
        <v>109</v>
      </c>
      <c r="B44" s="23"/>
      <c r="C44" s="24"/>
      <c r="D44" s="24">
        <f>SUM(D42:D43)</f>
        <v>199.78123523793141</v>
      </c>
      <c r="E44" s="24"/>
      <c r="F44" s="24"/>
      <c r="G44" s="24">
        <f>SUM(G42:G43)</f>
        <v>207.29008523793146</v>
      </c>
      <c r="H44" s="24">
        <f t="shared" si="1"/>
        <v>7.5088500000000522</v>
      </c>
      <c r="I44" s="26">
        <f t="shared" si="2"/>
        <v>3.758536176361766E-2</v>
      </c>
      <c r="J44" s="26">
        <f t="shared" si="10"/>
        <v>1.0761904761904761</v>
      </c>
      <c r="K44" s="46"/>
    </row>
    <row r="45" spans="1:11" x14ac:dyDescent="0.2">
      <c r="A45" s="41" t="s">
        <v>110</v>
      </c>
      <c r="B45" s="42"/>
      <c r="C45" s="25">
        <v>-0.08</v>
      </c>
      <c r="D45" s="25">
        <f>D42*C45</f>
        <v>-14.143804264632314</v>
      </c>
      <c r="E45" s="25"/>
      <c r="F45" s="25">
        <f>C45</f>
        <v>-0.08</v>
      </c>
      <c r="G45" s="25">
        <f>G42*F45</f>
        <v>-14.675404264632316</v>
      </c>
      <c r="H45" s="25">
        <f t="shared" si="1"/>
        <v>-0.53160000000000274</v>
      </c>
      <c r="I45" s="43">
        <f t="shared" si="2"/>
        <v>3.758536176361759E-2</v>
      </c>
      <c r="J45" s="43">
        <f t="shared" si="10"/>
        <v>-7.6190476190476183E-2</v>
      </c>
      <c r="K45" s="44"/>
    </row>
    <row r="46" spans="1:11" s="1" customFormat="1" ht="13.5" thickBot="1" x14ac:dyDescent="0.25">
      <c r="A46" s="47" t="s">
        <v>111</v>
      </c>
      <c r="B46" s="48"/>
      <c r="C46" s="49"/>
      <c r="D46" s="49">
        <f>SUM(D44:D45)</f>
        <v>185.6374309732991</v>
      </c>
      <c r="E46" s="49"/>
      <c r="F46" s="49"/>
      <c r="G46" s="49">
        <f>SUM(G44:G45)</f>
        <v>192.61468097329916</v>
      </c>
      <c r="H46" s="49">
        <f t="shared" si="1"/>
        <v>6.9772500000000548</v>
      </c>
      <c r="I46" s="50">
        <f t="shared" si="2"/>
        <v>3.7585361763617695E-2</v>
      </c>
      <c r="J46" s="50">
        <f t="shared" si="10"/>
        <v>1</v>
      </c>
      <c r="K46" s="51"/>
    </row>
    <row r="47" spans="1:11" x14ac:dyDescent="0.2">
      <c r="A47" s="52" t="s">
        <v>112</v>
      </c>
      <c r="B47" s="53"/>
      <c r="C47" s="54"/>
      <c r="D47" s="54">
        <f>SUM(D18,D25,D26,D28,D33,D40,D41)</f>
        <v>179.63326580790391</v>
      </c>
      <c r="E47" s="54"/>
      <c r="F47" s="54"/>
      <c r="G47" s="54">
        <f>SUM(G18,G25,G26,G28,G33,G40,G41)</f>
        <v>186.27826580790392</v>
      </c>
      <c r="H47" s="54">
        <f>G47-D47</f>
        <v>6.6450000000000102</v>
      </c>
      <c r="I47" s="55">
        <f>IF(ISERROR(H47/D47),0,(H47/D47))</f>
        <v>3.6992034688641887E-2</v>
      </c>
      <c r="J47" s="55"/>
      <c r="K47" s="56">
        <f>G47/$G$51</f>
        <v>0.95238095238095222</v>
      </c>
    </row>
    <row r="48" spans="1:11" x14ac:dyDescent="0.2">
      <c r="A48" s="57" t="s">
        <v>108</v>
      </c>
      <c r="B48" s="58"/>
      <c r="C48" s="30">
        <v>0.13</v>
      </c>
      <c r="D48" s="30">
        <f>D47*C48</f>
        <v>23.352324555027508</v>
      </c>
      <c r="E48" s="30"/>
      <c r="F48" s="30">
        <f>C48</f>
        <v>0.13</v>
      </c>
      <c r="G48" s="30">
        <f>G47*F48</f>
        <v>24.216174555027511</v>
      </c>
      <c r="H48" s="30">
        <f>G48-D48</f>
        <v>0.86385000000000289</v>
      </c>
      <c r="I48" s="31">
        <f>IF(ISERROR(H48/D48),0,(H48/D48))</f>
        <v>3.6992034688641956E-2</v>
      </c>
      <c r="J48" s="31"/>
      <c r="K48" s="59">
        <f>G48/$G$51</f>
        <v>0.1238095238095238</v>
      </c>
    </row>
    <row r="49" spans="1:11" x14ac:dyDescent="0.2">
      <c r="A49" s="60" t="s">
        <v>113</v>
      </c>
      <c r="B49" s="28"/>
      <c r="C49" s="29"/>
      <c r="D49" s="29">
        <f>SUM(D47:D48)</f>
        <v>202.98559036293142</v>
      </c>
      <c r="E49" s="29"/>
      <c r="F49" s="29"/>
      <c r="G49" s="29">
        <f>SUM(G47:G48)</f>
        <v>210.49444036293144</v>
      </c>
      <c r="H49" s="29">
        <f>G49-D49</f>
        <v>7.5088500000000238</v>
      </c>
      <c r="I49" s="32">
        <f>IF(ISERROR(H49/D49),0,(H49/D49))</f>
        <v>3.6992034688641949E-2</v>
      </c>
      <c r="J49" s="32"/>
      <c r="K49" s="61">
        <f>G49/$G$51</f>
        <v>1.0761904761904761</v>
      </c>
    </row>
    <row r="50" spans="1:11" x14ac:dyDescent="0.2">
      <c r="A50" s="57" t="s">
        <v>110</v>
      </c>
      <c r="B50" s="58"/>
      <c r="C50" s="30">
        <v>-0.08</v>
      </c>
      <c r="D50" s="30">
        <f>D47*C50</f>
        <v>-14.370661264632313</v>
      </c>
      <c r="E50" s="30"/>
      <c r="F50" s="30">
        <f>C50</f>
        <v>-0.08</v>
      </c>
      <c r="G50" s="30">
        <f>G47*F50</f>
        <v>-14.902261264632314</v>
      </c>
      <c r="H50" s="30">
        <f>G50-D50</f>
        <v>-0.53160000000000096</v>
      </c>
      <c r="I50" s="31">
        <f>IF(ISERROR(H50/D50),0,(H50/D50))</f>
        <v>3.69920346886419E-2</v>
      </c>
      <c r="J50" s="31"/>
      <c r="K50" s="59">
        <f>G50/$G$51</f>
        <v>-7.6190476190476183E-2</v>
      </c>
    </row>
    <row r="51" spans="1:11" ht="13.5" thickBot="1" x14ac:dyDescent="0.25">
      <c r="A51" s="62" t="s">
        <v>114</v>
      </c>
      <c r="B51" s="63"/>
      <c r="C51" s="64"/>
      <c r="D51" s="64">
        <f>SUM(D49:D50)</f>
        <v>188.61492909829911</v>
      </c>
      <c r="E51" s="64"/>
      <c r="F51" s="64"/>
      <c r="G51" s="64">
        <f>SUM(G49:G50)</f>
        <v>195.59217909829914</v>
      </c>
      <c r="H51" s="64">
        <f>G51-D51</f>
        <v>6.9772500000000264</v>
      </c>
      <c r="I51" s="65">
        <f>IF(ISERROR(H51/D51),0,(H51/D51))</f>
        <v>3.699203468864197E-2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theme="1" tint="0.499984740745262"/>
    <pageSetUpPr fitToPage="1"/>
  </sheetPr>
  <dimension ref="A1:K68"/>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2</v>
      </c>
    </row>
    <row r="4" spans="1:11" x14ac:dyDescent="0.2">
      <c r="A4" s="14" t="s">
        <v>62</v>
      </c>
      <c r="B4" s="78">
        <f>'Data for Bill Impacts_HONI Avg '!C5</f>
        <v>1152</v>
      </c>
    </row>
    <row r="5" spans="1:11" x14ac:dyDescent="0.2">
      <c r="A5" s="14" t="s">
        <v>16</v>
      </c>
      <c r="B5" s="14">
        <f>VLOOKUP($B$3,'Data for Bill Impacts'!$A$3:$Y$15,5,0)</f>
        <v>0</v>
      </c>
    </row>
    <row r="6" spans="1:11" x14ac:dyDescent="0.2">
      <c r="A6" s="14" t="s">
        <v>20</v>
      </c>
      <c r="B6" s="14">
        <f>VLOOKUP($B$3,'Data for Bill Impacts'!$A$3:$Y$15,2,0)</f>
        <v>1.105</v>
      </c>
    </row>
    <row r="7" spans="1:11" x14ac:dyDescent="0.2">
      <c r="A7" s="14" t="s">
        <v>15</v>
      </c>
      <c r="B7" s="14">
        <f>VLOOKUP($B$3,'Data for Bill Impacts'!$A$3:$Y$15,4,0)</f>
        <v>600</v>
      </c>
    </row>
    <row r="8" spans="1:11" x14ac:dyDescent="0.2">
      <c r="A8" s="14" t="s">
        <v>82</v>
      </c>
      <c r="B8" s="149">
        <f>B4*B6</f>
        <v>1272.96</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0.23499601491447758</v>
      </c>
      <c r="K12" s="105"/>
    </row>
    <row r="13" spans="1:11" x14ac:dyDescent="0.2">
      <c r="A13" s="106" t="s">
        <v>32</v>
      </c>
      <c r="B13" s="72">
        <f>IF(B4&gt;B7,(B4)-B7,0)</f>
        <v>552</v>
      </c>
      <c r="C13" s="20">
        <v>0.121</v>
      </c>
      <c r="D13" s="21">
        <f>B13*C13</f>
        <v>66.792000000000002</v>
      </c>
      <c r="E13" s="72">
        <f t="shared" ref="E13" si="0">B13</f>
        <v>552</v>
      </c>
      <c r="F13" s="20">
        <f>C13</f>
        <v>0.121</v>
      </c>
      <c r="G13" s="21">
        <f>E13*F13</f>
        <v>66.792000000000002</v>
      </c>
      <c r="H13" s="21">
        <f t="shared" ref="H13:H46" si="1">G13-D13</f>
        <v>0</v>
      </c>
      <c r="I13" s="22">
        <f t="shared" ref="I13:I46" si="2">IF(ISERROR(H13/D13),0,(H13/D13))</f>
        <v>0</v>
      </c>
      <c r="J13" s="22">
        <f>G13/$G$46</f>
        <v>0.25397821728426845</v>
      </c>
      <c r="K13" s="107"/>
    </row>
    <row r="14" spans="1:11" s="1" customFormat="1" x14ac:dyDescent="0.2">
      <c r="A14" s="45" t="s">
        <v>33</v>
      </c>
      <c r="B14" s="23"/>
      <c r="C14" s="24"/>
      <c r="D14" s="24">
        <f>SUM(D12:D13)</f>
        <v>128.59199999999998</v>
      </c>
      <c r="E14" s="75"/>
      <c r="F14" s="24"/>
      <c r="G14" s="24">
        <f>SUM(G12:G13)</f>
        <v>128.59199999999998</v>
      </c>
      <c r="H14" s="24">
        <f t="shared" si="1"/>
        <v>0</v>
      </c>
      <c r="I14" s="26">
        <f t="shared" si="2"/>
        <v>0</v>
      </c>
      <c r="J14" s="26">
        <f>G14/$G$46</f>
        <v>0.48897423219874597</v>
      </c>
      <c r="K14" s="107"/>
    </row>
    <row r="15" spans="1:11" s="1" customFormat="1" x14ac:dyDescent="0.2">
      <c r="A15" s="108" t="s">
        <v>34</v>
      </c>
      <c r="B15" s="74">
        <f>B4*0.65</f>
        <v>748.80000000000007</v>
      </c>
      <c r="C15" s="27">
        <v>8.6999999999999994E-2</v>
      </c>
      <c r="D15" s="21">
        <f>B15*C15</f>
        <v>65.145600000000002</v>
      </c>
      <c r="E15" s="72">
        <f t="shared" ref="E15:F17" si="3">B15</f>
        <v>748.80000000000007</v>
      </c>
      <c r="F15" s="27">
        <f t="shared" si="3"/>
        <v>8.6999999999999994E-2</v>
      </c>
      <c r="G15" s="21">
        <f>E15*F15</f>
        <v>65.145600000000002</v>
      </c>
      <c r="H15" s="21">
        <f t="shared" si="1"/>
        <v>0</v>
      </c>
      <c r="I15" s="22">
        <f t="shared" si="2"/>
        <v>0</v>
      </c>
      <c r="J15" s="22"/>
      <c r="K15" s="107">
        <f t="shared" ref="K15:K26" si="4">G15/$G$51</f>
        <v>0.24914335160061024</v>
      </c>
    </row>
    <row r="16" spans="1:11" s="1" customFormat="1" x14ac:dyDescent="0.2">
      <c r="A16" s="108" t="s">
        <v>35</v>
      </c>
      <c r="B16" s="74">
        <f>B4*0.17</f>
        <v>195.84</v>
      </c>
      <c r="C16" s="27">
        <v>0.13200000000000001</v>
      </c>
      <c r="D16" s="21">
        <f>B16*C16</f>
        <v>25.85088</v>
      </c>
      <c r="E16" s="72">
        <f t="shared" si="3"/>
        <v>195.84</v>
      </c>
      <c r="F16" s="27">
        <f t="shared" si="3"/>
        <v>0.13200000000000001</v>
      </c>
      <c r="G16" s="21">
        <f>E16*F16</f>
        <v>25.85088</v>
      </c>
      <c r="H16" s="21">
        <f t="shared" si="1"/>
        <v>0</v>
      </c>
      <c r="I16" s="22">
        <f t="shared" si="2"/>
        <v>0</v>
      </c>
      <c r="J16" s="22"/>
      <c r="K16" s="107">
        <f t="shared" si="4"/>
        <v>9.8864311404380081E-2</v>
      </c>
    </row>
    <row r="17" spans="1:11" s="1" customFormat="1" x14ac:dyDescent="0.2">
      <c r="A17" s="108" t="s">
        <v>36</v>
      </c>
      <c r="B17" s="74">
        <f>B4*0.18</f>
        <v>207.35999999999999</v>
      </c>
      <c r="C17" s="27">
        <v>0.18</v>
      </c>
      <c r="D17" s="21">
        <f>B17*C17</f>
        <v>37.324799999999996</v>
      </c>
      <c r="E17" s="72">
        <f t="shared" si="3"/>
        <v>207.35999999999999</v>
      </c>
      <c r="F17" s="27">
        <f t="shared" si="3"/>
        <v>0.18</v>
      </c>
      <c r="G17" s="21">
        <f>E17*F17</f>
        <v>37.324799999999996</v>
      </c>
      <c r="H17" s="21">
        <f t="shared" si="1"/>
        <v>0</v>
      </c>
      <c r="I17" s="22">
        <f t="shared" si="2"/>
        <v>0</v>
      </c>
      <c r="J17" s="22"/>
      <c r="K17" s="107">
        <f t="shared" si="4"/>
        <v>0.14274526245552202</v>
      </c>
    </row>
    <row r="18" spans="1:11" s="1" customFormat="1" x14ac:dyDescent="0.2">
      <c r="A18" s="60" t="s">
        <v>37</v>
      </c>
      <c r="B18" s="28"/>
      <c r="C18" s="29"/>
      <c r="D18" s="29">
        <f>SUM(D15:D17)</f>
        <v>128.32128</v>
      </c>
      <c r="E18" s="76"/>
      <c r="F18" s="29"/>
      <c r="G18" s="29">
        <f>SUM(G15:G17)</f>
        <v>128.32128</v>
      </c>
      <c r="H18" s="30">
        <f t="shared" si="1"/>
        <v>0</v>
      </c>
      <c r="I18" s="31">
        <f t="shared" si="2"/>
        <v>0</v>
      </c>
      <c r="J18" s="32">
        <f t="shared" ref="J18:J23" si="5">G18/$G$46</f>
        <v>0.48794481276253815</v>
      </c>
      <c r="K18" s="61">
        <f t="shared" si="4"/>
        <v>0.49075292546051236</v>
      </c>
    </row>
    <row r="19" spans="1:11" x14ac:dyDescent="0.2">
      <c r="A19" s="106" t="s">
        <v>38</v>
      </c>
      <c r="B19" s="72">
        <v>1</v>
      </c>
      <c r="C19" s="121">
        <f>VLOOKUP($B$3,'Data for Bill Impacts'!$A$3:$Y$15,7,0)</f>
        <v>55.319678307903928</v>
      </c>
      <c r="D19" s="21">
        <f>B19*C19</f>
        <v>55.319678307903928</v>
      </c>
      <c r="E19" s="72">
        <f t="shared" ref="E19:E41" si="6">B19</f>
        <v>1</v>
      </c>
      <c r="F19" s="121">
        <f>VLOOKUP($B$3,'Data for Bill Impacts'!$A$3:$Y$15,17,0)</f>
        <v>68.189678307903932</v>
      </c>
      <c r="G19" s="21">
        <f>E19*F19</f>
        <v>68.189678307903932</v>
      </c>
      <c r="H19" s="21">
        <f t="shared" si="1"/>
        <v>12.870000000000005</v>
      </c>
      <c r="I19" s="22">
        <f t="shared" si="2"/>
        <v>0.23264777369757722</v>
      </c>
      <c r="J19" s="22">
        <f t="shared" si="5"/>
        <v>0.25929292331161202</v>
      </c>
      <c r="K19" s="107">
        <f t="shared" si="4"/>
        <v>0.26078514893098864</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-0.02</v>
      </c>
      <c r="D22" s="21">
        <f t="shared" si="8"/>
        <v>-0.02</v>
      </c>
      <c r="E22" s="72">
        <f t="shared" si="6"/>
        <v>1</v>
      </c>
      <c r="F22" s="121">
        <f>VLOOKUP($B$3,'Data for Bill Impacts'!$A$3:$Y$15,22,0)</f>
        <v>-0.02</v>
      </c>
      <c r="G22" s="21">
        <f t="shared" si="7"/>
        <v>-0.02</v>
      </c>
      <c r="H22" s="21">
        <f t="shared" si="1"/>
        <v>0</v>
      </c>
      <c r="I22" s="22">
        <f t="shared" si="2"/>
        <v>0</v>
      </c>
      <c r="J22" s="22">
        <f t="shared" si="5"/>
        <v>-7.6050490263584983E-5</v>
      </c>
      <c r="K22" s="107">
        <f t="shared" si="4"/>
        <v>-7.6488159323303564E-5</v>
      </c>
    </row>
    <row r="23" spans="1:11" x14ac:dyDescent="0.2">
      <c r="A23" s="106" t="s">
        <v>39</v>
      </c>
      <c r="B23" s="72">
        <f>IF($B$9="kWh",$B$4,$B$5)</f>
        <v>1152</v>
      </c>
      <c r="C23" s="77">
        <f>VLOOKUP($B$3,'Data for Bill Impacts'!$A$3:$Y$15,10,0)</f>
        <v>0.02</v>
      </c>
      <c r="D23" s="21">
        <f>B23*C23</f>
        <v>23.04</v>
      </c>
      <c r="E23" s="72">
        <f t="shared" si="6"/>
        <v>1152</v>
      </c>
      <c r="F23" s="77">
        <f>VLOOKUP($B$3,'Data for Bill Impacts'!$A$3:$Y$15,19,0)</f>
        <v>1.17E-2</v>
      </c>
      <c r="G23" s="21">
        <f>E23*F23</f>
        <v>13.478400000000001</v>
      </c>
      <c r="H23" s="21">
        <f t="shared" si="1"/>
        <v>-9.5615999999999985</v>
      </c>
      <c r="I23" s="22">
        <f t="shared" si="2"/>
        <v>-0.41499999999999992</v>
      </c>
      <c r="J23" s="22">
        <f t="shared" si="5"/>
        <v>5.1251946398435194E-2</v>
      </c>
      <c r="K23" s="107">
        <f t="shared" si="4"/>
        <v>5.1546900331160737E-2</v>
      </c>
    </row>
    <row r="24" spans="1:11" x14ac:dyDescent="0.2">
      <c r="A24" s="106" t="s">
        <v>129</v>
      </c>
      <c r="B24" s="72">
        <f>IF($B$9="kWh",$B$4,$B$5)</f>
        <v>1152</v>
      </c>
      <c r="C24" s="125">
        <f>VLOOKUP($B$3,'Data for Bill Impacts'!$A$3:$Y$15,14,0)</f>
        <v>2.0000000000000001E-4</v>
      </c>
      <c r="D24" s="21">
        <f>B24*C24</f>
        <v>0.23040000000000002</v>
      </c>
      <c r="E24" s="72">
        <f t="shared" si="6"/>
        <v>1152</v>
      </c>
      <c r="F24" s="77">
        <f>VLOOKUP($B$3,'Data for Bill Impacts'!$A$3:$Y$15,23,0)</f>
        <v>2.0000000000000001E-4</v>
      </c>
      <c r="G24" s="21">
        <f>E24*F24</f>
        <v>0.23040000000000002</v>
      </c>
      <c r="H24" s="21">
        <f t="shared" si="1"/>
        <v>0</v>
      </c>
      <c r="I24" s="22">
        <f>IF(ISERROR(H24/D24),0,(H24/D24))</f>
        <v>0</v>
      </c>
      <c r="J24" s="22">
        <f t="shared" ref="J24" si="9">G24/$G$46</f>
        <v>8.7610164783649908E-4</v>
      </c>
      <c r="K24" s="107">
        <f t="shared" si="4"/>
        <v>8.811435954044571E-4</v>
      </c>
    </row>
    <row r="25" spans="1:11" s="1" customFormat="1" x14ac:dyDescent="0.2">
      <c r="A25" s="109" t="s">
        <v>72</v>
      </c>
      <c r="B25" s="73"/>
      <c r="C25" s="34"/>
      <c r="D25" s="34">
        <f>SUM(D19:D24)</f>
        <v>78.570078307903927</v>
      </c>
      <c r="E25" s="72"/>
      <c r="F25" s="34"/>
      <c r="G25" s="34">
        <f>SUM(G19:G24)</f>
        <v>81.878478307903947</v>
      </c>
      <c r="H25" s="34">
        <f t="shared" si="1"/>
        <v>3.3084000000000202</v>
      </c>
      <c r="I25" s="35">
        <f t="shared" si="2"/>
        <v>4.2107632717825666E-2</v>
      </c>
      <c r="J25" s="35">
        <f>G25/$G$46</f>
        <v>0.31134492086762017</v>
      </c>
      <c r="K25" s="110">
        <f t="shared" si="4"/>
        <v>0.31313670469823057</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3.0039943654116071E-3</v>
      </c>
      <c r="K26" s="107">
        <f t="shared" si="4"/>
        <v>3.0212822932704909E-3</v>
      </c>
    </row>
    <row r="27" spans="1:11" s="1" customFormat="1" x14ac:dyDescent="0.2">
      <c r="A27" s="118" t="s">
        <v>75</v>
      </c>
      <c r="B27" s="119">
        <f>B8-B4</f>
        <v>120.96000000000004</v>
      </c>
      <c r="C27" s="120">
        <f>IF(B4&gt;B7,C13,C12)</f>
        <v>0.121</v>
      </c>
      <c r="D27" s="21">
        <f>B27*C27</f>
        <v>14.636160000000004</v>
      </c>
      <c r="E27" s="72">
        <f>B27</f>
        <v>120.96000000000004</v>
      </c>
      <c r="F27" s="120">
        <f>C27</f>
        <v>0.121</v>
      </c>
      <c r="G27" s="21">
        <f>E27*F27</f>
        <v>14.636160000000004</v>
      </c>
      <c r="H27" s="21">
        <f t="shared" si="1"/>
        <v>0</v>
      </c>
      <c r="I27" s="22">
        <f>IF(ISERROR(H27/D27),0,(H27/D27))</f>
        <v>0</v>
      </c>
      <c r="J27" s="22">
        <f t="shared" ref="J27:J46" si="10">G27/$G$46</f>
        <v>5.5654357178813618E-2</v>
      </c>
      <c r="K27" s="107">
        <f t="shared" ref="K27:K41" si="11">G27/$G$51</f>
        <v>5.5974646898068151E-2</v>
      </c>
    </row>
    <row r="28" spans="1:11" s="1" customFormat="1" x14ac:dyDescent="0.2">
      <c r="A28" s="118" t="s">
        <v>74</v>
      </c>
      <c r="B28" s="119">
        <f>B8-B4</f>
        <v>120.96000000000004</v>
      </c>
      <c r="C28" s="120">
        <f>0.65*C15+0.17*C16+0.18*C17</f>
        <v>0.11139</v>
      </c>
      <c r="D28" s="21">
        <f>B28*C28</f>
        <v>13.473734400000005</v>
      </c>
      <c r="E28" s="72">
        <f>B28</f>
        <v>120.96000000000004</v>
      </c>
      <c r="F28" s="120">
        <f>C28</f>
        <v>0.11139</v>
      </c>
      <c r="G28" s="21">
        <f>E28*F28</f>
        <v>13.473734400000005</v>
      </c>
      <c r="H28" s="21">
        <f t="shared" si="1"/>
        <v>0</v>
      </c>
      <c r="I28" s="22">
        <f>IF(ISERROR(H28/D28),0,(H28/D28))</f>
        <v>0</v>
      </c>
      <c r="J28" s="22">
        <f t="shared" si="10"/>
        <v>5.1234205340066521E-2</v>
      </c>
      <c r="K28" s="107">
        <f t="shared" si="11"/>
        <v>5.1529057173353814E-2</v>
      </c>
    </row>
    <row r="29" spans="1:11" s="1" customFormat="1" x14ac:dyDescent="0.2">
      <c r="A29" s="109" t="s">
        <v>78</v>
      </c>
      <c r="B29" s="73"/>
      <c r="C29" s="34"/>
      <c r="D29" s="34">
        <f>SUM(D25,D26:D27)</f>
        <v>93.996238307903937</v>
      </c>
      <c r="E29" s="72"/>
      <c r="F29" s="34"/>
      <c r="G29" s="34">
        <f>SUM(G25,G26:G27)</f>
        <v>97.304638307903957</v>
      </c>
      <c r="H29" s="34">
        <f t="shared" si="1"/>
        <v>3.3084000000000202</v>
      </c>
      <c r="I29" s="35">
        <f>IF(ISERROR(H29/D29),0,(H29/D29))</f>
        <v>3.5197153200564026E-2</v>
      </c>
      <c r="J29" s="35">
        <f t="shared" si="10"/>
        <v>0.37000327241184544</v>
      </c>
      <c r="K29" s="110">
        <f t="shared" si="11"/>
        <v>0.37213263388956924</v>
      </c>
    </row>
    <row r="30" spans="1:11" s="1" customFormat="1" x14ac:dyDescent="0.2">
      <c r="A30" s="109" t="s">
        <v>77</v>
      </c>
      <c r="B30" s="73"/>
      <c r="C30" s="34"/>
      <c r="D30" s="34">
        <f>SUM(D25,D26,D28)</f>
        <v>92.833812707903945</v>
      </c>
      <c r="E30" s="72"/>
      <c r="F30" s="34"/>
      <c r="G30" s="34">
        <f>SUM(G25,G26,G28)</f>
        <v>96.142212707903951</v>
      </c>
      <c r="H30" s="34">
        <f t="shared" si="1"/>
        <v>3.308400000000006</v>
      </c>
      <c r="I30" s="35">
        <f>IF(ISERROR(H30/D30),0,(H30/D30))</f>
        <v>3.5637877013730862E-2</v>
      </c>
      <c r="J30" s="35">
        <f t="shared" si="10"/>
        <v>0.36558312057309833</v>
      </c>
      <c r="K30" s="110">
        <f t="shared" si="11"/>
        <v>0.36768704416485487</v>
      </c>
    </row>
    <row r="31" spans="1:11" x14ac:dyDescent="0.2">
      <c r="A31" s="106" t="s">
        <v>40</v>
      </c>
      <c r="B31" s="72">
        <f>B8</f>
        <v>1272.96</v>
      </c>
      <c r="C31" s="125">
        <f>VLOOKUP($B$3,'Data for Bill Impacts'!$A$3:$Y$15,15,0)</f>
        <v>6.7999999999999996E-3</v>
      </c>
      <c r="D31" s="21">
        <f>B31*C31</f>
        <v>8.6561279999999989</v>
      </c>
      <c r="E31" s="72">
        <f t="shared" si="6"/>
        <v>1272.96</v>
      </c>
      <c r="F31" s="77">
        <f>VLOOKUP($B$3,'Data for Bill Impacts'!$A$3:$Y$15,24,0)</f>
        <v>6.7999999999999996E-3</v>
      </c>
      <c r="G31" s="21">
        <f>E31*F31</f>
        <v>8.6561279999999989</v>
      </c>
      <c r="H31" s="21">
        <f t="shared" si="1"/>
        <v>0</v>
      </c>
      <c r="I31" s="22">
        <f t="shared" si="2"/>
        <v>0</v>
      </c>
      <c r="J31" s="22">
        <f t="shared" si="10"/>
        <v>3.2915138909217267E-2</v>
      </c>
      <c r="K31" s="107">
        <f t="shared" si="11"/>
        <v>3.3104564879345447E-2</v>
      </c>
    </row>
    <row r="32" spans="1:11" x14ac:dyDescent="0.2">
      <c r="A32" s="106" t="s">
        <v>41</v>
      </c>
      <c r="B32" s="72">
        <f>B8</f>
        <v>1272.96</v>
      </c>
      <c r="C32" s="125">
        <f>VLOOKUP($B$3,'Data for Bill Impacts'!$A$3:$Y$15,16,0)</f>
        <v>5.4999999999999997E-3</v>
      </c>
      <c r="D32" s="21">
        <f>B32*C32</f>
        <v>7.0012799999999995</v>
      </c>
      <c r="E32" s="72">
        <f t="shared" si="6"/>
        <v>1272.96</v>
      </c>
      <c r="F32" s="77">
        <f>VLOOKUP($B$3,'Data for Bill Impacts'!$A$3:$Y$15,25,0)</f>
        <v>5.4999999999999997E-3</v>
      </c>
      <c r="G32" s="21">
        <f>E32*F32</f>
        <v>7.0012799999999995</v>
      </c>
      <c r="H32" s="21">
        <f t="shared" si="1"/>
        <v>0</v>
      </c>
      <c r="I32" s="22">
        <f t="shared" si="2"/>
        <v>0</v>
      </c>
      <c r="J32" s="22">
        <f t="shared" si="10"/>
        <v>2.6622538823631612E-2</v>
      </c>
      <c r="K32" s="107">
        <f t="shared" si="11"/>
        <v>2.6775751005352937E-2</v>
      </c>
    </row>
    <row r="33" spans="1:11" s="1" customFormat="1" x14ac:dyDescent="0.2">
      <c r="A33" s="109" t="s">
        <v>76</v>
      </c>
      <c r="B33" s="73"/>
      <c r="C33" s="34"/>
      <c r="D33" s="34">
        <f>SUM(D31:D32)</f>
        <v>15.657407999999998</v>
      </c>
      <c r="E33" s="72"/>
      <c r="F33" s="34"/>
      <c r="G33" s="34">
        <f>SUM(G31:G32)</f>
        <v>15.657407999999998</v>
      </c>
      <c r="H33" s="34">
        <f t="shared" si="1"/>
        <v>0</v>
      </c>
      <c r="I33" s="35">
        <f t="shared" si="2"/>
        <v>0</v>
      </c>
      <c r="J33" s="35">
        <f t="shared" si="10"/>
        <v>5.9537677732848876E-2</v>
      </c>
      <c r="K33" s="110">
        <f t="shared" si="11"/>
        <v>5.988031588469838E-2</v>
      </c>
    </row>
    <row r="34" spans="1:11" s="1" customFormat="1" x14ac:dyDescent="0.2">
      <c r="A34" s="109" t="s">
        <v>93</v>
      </c>
      <c r="B34" s="73"/>
      <c r="C34" s="34"/>
      <c r="D34" s="34">
        <f>D29+D33</f>
        <v>109.65364630790394</v>
      </c>
      <c r="E34" s="72"/>
      <c r="F34" s="34"/>
      <c r="G34" s="34">
        <f>G29+G33</f>
        <v>112.96204630790396</v>
      </c>
      <c r="H34" s="34">
        <f t="shared" si="1"/>
        <v>3.3084000000000202</v>
      </c>
      <c r="I34" s="35">
        <f t="shared" si="2"/>
        <v>3.0171363300679838E-2</v>
      </c>
      <c r="J34" s="35">
        <f t="shared" si="10"/>
        <v>0.42954095014469434</v>
      </c>
      <c r="K34" s="110">
        <f t="shared" si="11"/>
        <v>0.43201294977426768</v>
      </c>
    </row>
    <row r="35" spans="1:11" s="1" customFormat="1" x14ac:dyDescent="0.2">
      <c r="A35" s="109" t="s">
        <v>94</v>
      </c>
      <c r="B35" s="73"/>
      <c r="C35" s="34"/>
      <c r="D35" s="34">
        <f>D30+D33</f>
        <v>108.49122070790395</v>
      </c>
      <c r="E35" s="72"/>
      <c r="F35" s="34"/>
      <c r="G35" s="34">
        <f>G30+G33</f>
        <v>111.79962070790396</v>
      </c>
      <c r="H35" s="34">
        <f t="shared" si="1"/>
        <v>3.308400000000006</v>
      </c>
      <c r="I35" s="35">
        <f t="shared" si="2"/>
        <v>3.0494633375979501E-2</v>
      </c>
      <c r="J35" s="35">
        <f t="shared" si="10"/>
        <v>0.42512079830594718</v>
      </c>
      <c r="K35" s="110">
        <f t="shared" si="11"/>
        <v>0.42756736004955331</v>
      </c>
    </row>
    <row r="36" spans="1:11" x14ac:dyDescent="0.2">
      <c r="A36" s="106" t="s">
        <v>42</v>
      </c>
      <c r="B36" s="72">
        <f>B8</f>
        <v>1272.96</v>
      </c>
      <c r="C36" s="33">
        <v>3.5999999999999999E-3</v>
      </c>
      <c r="D36" s="21">
        <f>B36*C36</f>
        <v>4.5826560000000001</v>
      </c>
      <c r="E36" s="72">
        <f t="shared" si="6"/>
        <v>1272.96</v>
      </c>
      <c r="F36" s="33">
        <v>3.5999999999999999E-3</v>
      </c>
      <c r="G36" s="21">
        <f>E36*F36</f>
        <v>4.5826560000000001</v>
      </c>
      <c r="H36" s="21">
        <f t="shared" si="1"/>
        <v>0</v>
      </c>
      <c r="I36" s="22">
        <f t="shared" si="2"/>
        <v>0</v>
      </c>
      <c r="J36" s="22">
        <f t="shared" si="10"/>
        <v>1.7425661775467966E-2</v>
      </c>
      <c r="K36" s="107">
        <f t="shared" si="11"/>
        <v>1.7525946112594649E-2</v>
      </c>
    </row>
    <row r="37" spans="1:11" x14ac:dyDescent="0.2">
      <c r="A37" s="106" t="s">
        <v>43</v>
      </c>
      <c r="B37" s="72">
        <f>B8</f>
        <v>1272.96</v>
      </c>
      <c r="C37" s="33">
        <v>2.0999999999999999E-3</v>
      </c>
      <c r="D37" s="21">
        <f>B37*C37</f>
        <v>2.673216</v>
      </c>
      <c r="E37" s="72">
        <f t="shared" si="6"/>
        <v>1272.96</v>
      </c>
      <c r="F37" s="33">
        <v>2.0999999999999999E-3</v>
      </c>
      <c r="G37" s="21">
        <f>E37*F37</f>
        <v>2.673216</v>
      </c>
      <c r="H37" s="21">
        <f>G37-D37</f>
        <v>0</v>
      </c>
      <c r="I37" s="22">
        <f t="shared" si="2"/>
        <v>0</v>
      </c>
      <c r="J37" s="22">
        <f t="shared" si="10"/>
        <v>1.016496936902298E-2</v>
      </c>
      <c r="K37" s="107">
        <f t="shared" si="11"/>
        <v>1.0223468565680212E-2</v>
      </c>
    </row>
    <row r="38" spans="1:11" x14ac:dyDescent="0.2">
      <c r="A38" s="106" t="s">
        <v>99</v>
      </c>
      <c r="B38" s="72">
        <f>B8</f>
        <v>1272.96</v>
      </c>
      <c r="C38" s="33">
        <v>1.1000000000000001E-3</v>
      </c>
      <c r="D38" s="21">
        <f>B38*C38</f>
        <v>1.4002560000000002</v>
      </c>
      <c r="E38" s="72">
        <f t="shared" si="6"/>
        <v>1272.96</v>
      </c>
      <c r="F38" s="33">
        <v>1.1000000000000001E-3</v>
      </c>
      <c r="G38" s="21">
        <f>E38*F38</f>
        <v>1.4002560000000002</v>
      </c>
      <c r="H38" s="21">
        <f>G38-D38</f>
        <v>0</v>
      </c>
      <c r="I38" s="22">
        <f t="shared" si="2"/>
        <v>0</v>
      </c>
      <c r="J38" s="22">
        <f t="shared" si="10"/>
        <v>5.3245077647263231E-3</v>
      </c>
      <c r="K38" s="107">
        <f t="shared" si="11"/>
        <v>5.3551502010705885E-3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9.5063112829481234E-4</v>
      </c>
      <c r="K39" s="107">
        <f t="shared" si="11"/>
        <v>9.5610199154129449E-4</v>
      </c>
    </row>
    <row r="40" spans="1:11" s="1" customFormat="1" x14ac:dyDescent="0.2">
      <c r="A40" s="109" t="s">
        <v>45</v>
      </c>
      <c r="B40" s="73"/>
      <c r="C40" s="34"/>
      <c r="D40" s="34">
        <f>SUM(D36:D39)</f>
        <v>8.9061280000000007</v>
      </c>
      <c r="E40" s="72"/>
      <c r="F40" s="34"/>
      <c r="G40" s="34">
        <f>SUM(G36:G39)</f>
        <v>8.9061280000000007</v>
      </c>
      <c r="H40" s="34">
        <f t="shared" si="1"/>
        <v>0</v>
      </c>
      <c r="I40" s="35">
        <f t="shared" si="2"/>
        <v>0</v>
      </c>
      <c r="J40" s="35">
        <f t="shared" si="10"/>
        <v>3.386577003751208E-2</v>
      </c>
      <c r="K40" s="110">
        <f t="shared" si="11"/>
        <v>3.4060666870886748E-2</v>
      </c>
    </row>
    <row r="41" spans="1:11" s="1" customFormat="1" ht="13.5" thickBot="1" x14ac:dyDescent="0.25">
      <c r="A41" s="111" t="s">
        <v>46</v>
      </c>
      <c r="B41" s="112">
        <f>B4</f>
        <v>1152</v>
      </c>
      <c r="C41" s="113">
        <v>0</v>
      </c>
      <c r="D41" s="114">
        <f>B41*C41</f>
        <v>0</v>
      </c>
      <c r="E41" s="115">
        <f t="shared" si="6"/>
        <v>1152</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247.15177430790391</v>
      </c>
      <c r="E42" s="37"/>
      <c r="F42" s="38"/>
      <c r="G42" s="38">
        <f>SUM(G14,G25,G26,G27,G33,G40,G41)</f>
        <v>250.46017430790391</v>
      </c>
      <c r="H42" s="38">
        <f t="shared" si="1"/>
        <v>3.308400000000006</v>
      </c>
      <c r="I42" s="39">
        <f>IF(ISERROR(H42/D42),0,(H42/D42))</f>
        <v>1.338610661106714E-2</v>
      </c>
      <c r="J42" s="39">
        <f t="shared" si="10"/>
        <v>0.95238095238095222</v>
      </c>
      <c r="K42" s="40"/>
    </row>
    <row r="43" spans="1:11" x14ac:dyDescent="0.2">
      <c r="A43" s="143" t="s">
        <v>108</v>
      </c>
      <c r="B43" s="42"/>
      <c r="C43" s="25">
        <v>0.13</v>
      </c>
      <c r="D43" s="25">
        <f>D42*C43</f>
        <v>32.129730660027512</v>
      </c>
      <c r="E43" s="25"/>
      <c r="F43" s="25">
        <f>C43</f>
        <v>0.13</v>
      </c>
      <c r="G43" s="25">
        <f>G42*F43</f>
        <v>32.559822660027507</v>
      </c>
      <c r="H43" s="25">
        <f t="shared" si="1"/>
        <v>0.43009199999999481</v>
      </c>
      <c r="I43" s="43">
        <f t="shared" si="2"/>
        <v>1.3386106611066952E-2</v>
      </c>
      <c r="J43" s="43">
        <f t="shared" si="10"/>
        <v>0.12380952380952379</v>
      </c>
      <c r="K43" s="44"/>
    </row>
    <row r="44" spans="1:11" s="1" customFormat="1" x14ac:dyDescent="0.2">
      <c r="A44" s="45" t="s">
        <v>109</v>
      </c>
      <c r="B44" s="23"/>
      <c r="C44" s="24"/>
      <c r="D44" s="24">
        <f>SUM(D42:D43)</f>
        <v>279.28150496793143</v>
      </c>
      <c r="E44" s="24"/>
      <c r="F44" s="24"/>
      <c r="G44" s="24">
        <f>SUM(G42:G43)</f>
        <v>283.01999696793143</v>
      </c>
      <c r="H44" s="24">
        <f t="shared" si="1"/>
        <v>3.7384920000000079</v>
      </c>
      <c r="I44" s="26">
        <f t="shared" si="2"/>
        <v>1.3386106611067143E-2</v>
      </c>
      <c r="J44" s="26">
        <f t="shared" si="10"/>
        <v>1.0761904761904761</v>
      </c>
      <c r="K44" s="46"/>
    </row>
    <row r="45" spans="1:11" x14ac:dyDescent="0.2">
      <c r="A45" s="41" t="s">
        <v>110</v>
      </c>
      <c r="B45" s="42"/>
      <c r="C45" s="25">
        <v>-0.08</v>
      </c>
      <c r="D45" s="25">
        <f>D42*C45</f>
        <v>-19.772141944632313</v>
      </c>
      <c r="E45" s="25"/>
      <c r="F45" s="25">
        <f>C45</f>
        <v>-0.08</v>
      </c>
      <c r="G45" s="25">
        <f>G42*F45</f>
        <v>-20.036813944632314</v>
      </c>
      <c r="H45" s="25">
        <f t="shared" si="1"/>
        <v>-0.26467200000000091</v>
      </c>
      <c r="I45" s="43">
        <f t="shared" si="2"/>
        <v>1.338610661106716E-2</v>
      </c>
      <c r="J45" s="43">
        <f t="shared" si="10"/>
        <v>-7.6190476190476183E-2</v>
      </c>
      <c r="K45" s="44"/>
    </row>
    <row r="46" spans="1:11" s="1" customFormat="1" ht="13.5" thickBot="1" x14ac:dyDescent="0.25">
      <c r="A46" s="47" t="s">
        <v>111</v>
      </c>
      <c r="B46" s="48"/>
      <c r="C46" s="49"/>
      <c r="D46" s="49">
        <f>SUM(D44:D45)</f>
        <v>259.5093630232991</v>
      </c>
      <c r="E46" s="49"/>
      <c r="F46" s="49"/>
      <c r="G46" s="49">
        <f>SUM(G44:G45)</f>
        <v>262.98318302329915</v>
      </c>
      <c r="H46" s="49">
        <f t="shared" si="1"/>
        <v>3.4738200000000461</v>
      </c>
      <c r="I46" s="50">
        <f t="shared" si="2"/>
        <v>1.3386106611067292E-2</v>
      </c>
      <c r="J46" s="50">
        <f t="shared" si="10"/>
        <v>1</v>
      </c>
      <c r="K46" s="51"/>
    </row>
    <row r="47" spans="1:11" x14ac:dyDescent="0.2">
      <c r="A47" s="52" t="s">
        <v>112</v>
      </c>
      <c r="B47" s="53"/>
      <c r="C47" s="54"/>
      <c r="D47" s="54">
        <f>SUM(D18,D25,D26,D28,D33,D40,D41)</f>
        <v>245.71862870790395</v>
      </c>
      <c r="E47" s="54"/>
      <c r="F47" s="54"/>
      <c r="G47" s="54">
        <f>SUM(G18,G25,G26,G28,G33,G40,G41)</f>
        <v>249.02702870790395</v>
      </c>
      <c r="H47" s="54">
        <f>G47-D47</f>
        <v>3.308400000000006</v>
      </c>
      <c r="I47" s="55">
        <f>IF(ISERROR(H47/D47),0,(H47/D47))</f>
        <v>1.3464180625608325E-2</v>
      </c>
      <c r="J47" s="55"/>
      <c r="K47" s="56">
        <f>G47/$G$51</f>
        <v>0.95238095238095244</v>
      </c>
    </row>
    <row r="48" spans="1:11" x14ac:dyDescent="0.2">
      <c r="A48" s="57" t="s">
        <v>108</v>
      </c>
      <c r="B48" s="58"/>
      <c r="C48" s="30">
        <v>0.13</v>
      </c>
      <c r="D48" s="30">
        <f>D47*C48</f>
        <v>31.943421732027513</v>
      </c>
      <c r="E48" s="30"/>
      <c r="F48" s="30">
        <f>C48</f>
        <v>0.13</v>
      </c>
      <c r="G48" s="30">
        <f>G47*F48</f>
        <v>32.373513732027511</v>
      </c>
      <c r="H48" s="30">
        <f>G48-D48</f>
        <v>0.43009199999999836</v>
      </c>
      <c r="I48" s="31">
        <f>IF(ISERROR(H48/D48),0,(H48/D48))</f>
        <v>1.346418062560825E-2</v>
      </c>
      <c r="J48" s="31"/>
      <c r="K48" s="59">
        <f>G48/$G$51</f>
        <v>0.1238095238095238</v>
      </c>
    </row>
    <row r="49" spans="1:11" x14ac:dyDescent="0.2">
      <c r="A49" s="60" t="s">
        <v>113</v>
      </c>
      <c r="B49" s="28"/>
      <c r="C49" s="29"/>
      <c r="D49" s="29">
        <f>SUM(D47:D48)</f>
        <v>277.66205043993148</v>
      </c>
      <c r="E49" s="29"/>
      <c r="F49" s="29"/>
      <c r="G49" s="29">
        <f>SUM(G47:G48)</f>
        <v>281.40054243993148</v>
      </c>
      <c r="H49" s="29">
        <f>G49-D49</f>
        <v>3.7384920000000079</v>
      </c>
      <c r="I49" s="32">
        <f>IF(ISERROR(H49/D49),0,(H49/D49))</f>
        <v>1.3464180625608328E-2</v>
      </c>
      <c r="J49" s="32"/>
      <c r="K49" s="61">
        <f>G49/$G$51</f>
        <v>1.0761904761904764</v>
      </c>
    </row>
    <row r="50" spans="1:11" x14ac:dyDescent="0.2">
      <c r="A50" s="57" t="s">
        <v>110</v>
      </c>
      <c r="B50" s="58"/>
      <c r="C50" s="30">
        <v>-0.08</v>
      </c>
      <c r="D50" s="30">
        <f>D47*C50</f>
        <v>-19.657490296632314</v>
      </c>
      <c r="E50" s="30"/>
      <c r="F50" s="30">
        <f>C50</f>
        <v>-0.08</v>
      </c>
      <c r="G50" s="30">
        <f>G47*F50</f>
        <v>-19.922162296632315</v>
      </c>
      <c r="H50" s="30">
        <f>G50-D50</f>
        <v>-0.26467200000000091</v>
      </c>
      <c r="I50" s="31">
        <f>IF(ISERROR(H50/D50),0,(H50/D50))</f>
        <v>1.3464180625608347E-2</v>
      </c>
      <c r="J50" s="31"/>
      <c r="K50" s="59">
        <f>G50/$G$51</f>
        <v>-7.6190476190476183E-2</v>
      </c>
    </row>
    <row r="51" spans="1:11" ht="13.5" thickBot="1" x14ac:dyDescent="0.25">
      <c r="A51" s="62" t="s">
        <v>114</v>
      </c>
      <c r="B51" s="63"/>
      <c r="C51" s="64"/>
      <c r="D51" s="64">
        <f>SUM(D49:D50)</f>
        <v>258.00456014329916</v>
      </c>
      <c r="E51" s="64"/>
      <c r="F51" s="64"/>
      <c r="G51" s="64">
        <f>SUM(G49:G50)</f>
        <v>261.47838014329915</v>
      </c>
      <c r="H51" s="64">
        <f>G51-D51</f>
        <v>3.4738199999999892</v>
      </c>
      <c r="I51" s="65">
        <f>IF(ISERROR(H51/D51),0,(H51/D51))</f>
        <v>1.3464180625608259E-2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tint="0.499984740745262"/>
    <pageSetUpPr fitToPage="1"/>
  </sheetPr>
  <dimension ref="A1:K68"/>
  <sheetViews>
    <sheetView tabSelected="1" topLeftCell="A13"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2</v>
      </c>
    </row>
    <row r="4" spans="1:11" x14ac:dyDescent="0.2">
      <c r="A4" s="14" t="s">
        <v>62</v>
      </c>
      <c r="B4" s="14">
        <v>2300</v>
      </c>
    </row>
    <row r="5" spans="1:11" x14ac:dyDescent="0.2">
      <c r="A5" s="14" t="s">
        <v>16</v>
      </c>
      <c r="B5" s="14">
        <f>VLOOKUP($B$3,'Data for Bill Impacts'!$A$3:$Y$15,5,0)</f>
        <v>0</v>
      </c>
    </row>
    <row r="6" spans="1:11" x14ac:dyDescent="0.2">
      <c r="A6" s="14" t="s">
        <v>20</v>
      </c>
      <c r="B6" s="14">
        <f>VLOOKUP($B$3,'Data for Bill Impacts'!$A$3:$Y$15,2,0)</f>
        <v>1.105</v>
      </c>
    </row>
    <row r="7" spans="1:11" x14ac:dyDescent="0.2">
      <c r="A7" s="14" t="s">
        <v>15</v>
      </c>
      <c r="B7" s="14">
        <f>VLOOKUP($B$3,'Data for Bill Impacts'!$A$3:$Y$15,4,0)</f>
        <v>600</v>
      </c>
    </row>
    <row r="8" spans="1:11" x14ac:dyDescent="0.2">
      <c r="A8" s="14" t="s">
        <v>82</v>
      </c>
      <c r="B8" s="149">
        <f>B4*B6</f>
        <v>2541.5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0.13320802303054369</v>
      </c>
      <c r="K12" s="105"/>
    </row>
    <row r="13" spans="1:11" x14ac:dyDescent="0.2">
      <c r="A13" s="106" t="s">
        <v>32</v>
      </c>
      <c r="B13" s="72">
        <f>IF(B4&gt;B7,(B4)-B7,0)</f>
        <v>1700</v>
      </c>
      <c r="C13" s="20">
        <v>0.121</v>
      </c>
      <c r="D13" s="21">
        <f>B13*C13</f>
        <v>205.7</v>
      </c>
      <c r="E13" s="72">
        <f t="shared" ref="E13" si="0">B13</f>
        <v>1700</v>
      </c>
      <c r="F13" s="20">
        <f>C13</f>
        <v>0.121</v>
      </c>
      <c r="G13" s="21">
        <f>E13*F13</f>
        <v>205.7</v>
      </c>
      <c r="H13" s="21">
        <f t="shared" ref="H13:H46" si="1">G13-D13</f>
        <v>0</v>
      </c>
      <c r="I13" s="22">
        <f t="shared" ref="I13:I46" si="2">IF(ISERROR(H13/D13),0,(H13/D13))</f>
        <v>0</v>
      </c>
      <c r="J13" s="22">
        <f>G13/$G$46</f>
        <v>0.44338010254664784</v>
      </c>
      <c r="K13" s="107"/>
    </row>
    <row r="14" spans="1:11" s="1" customFormat="1" x14ac:dyDescent="0.2">
      <c r="A14" s="45" t="s">
        <v>33</v>
      </c>
      <c r="B14" s="23"/>
      <c r="C14" s="24"/>
      <c r="D14" s="24">
        <f>SUM(D12:D13)</f>
        <v>267.5</v>
      </c>
      <c r="E14" s="75"/>
      <c r="F14" s="24"/>
      <c r="G14" s="24">
        <f>SUM(G12:G13)</f>
        <v>267.5</v>
      </c>
      <c r="H14" s="24">
        <f t="shared" si="1"/>
        <v>0</v>
      </c>
      <c r="I14" s="26">
        <f t="shared" si="2"/>
        <v>0</v>
      </c>
      <c r="J14" s="26">
        <f>G14/$G$46</f>
        <v>0.57658812557719152</v>
      </c>
      <c r="K14" s="107"/>
    </row>
    <row r="15" spans="1:11" s="1" customFormat="1" x14ac:dyDescent="0.2">
      <c r="A15" s="108" t="s">
        <v>34</v>
      </c>
      <c r="B15" s="74">
        <f>B4*0.65</f>
        <v>1495</v>
      </c>
      <c r="C15" s="27">
        <v>8.6999999999999994E-2</v>
      </c>
      <c r="D15" s="21">
        <f>B15*C15</f>
        <v>130.065</v>
      </c>
      <c r="E15" s="72">
        <f t="shared" ref="E15:F17" si="3">B15</f>
        <v>1495</v>
      </c>
      <c r="F15" s="27">
        <f t="shared" si="3"/>
        <v>8.6999999999999994E-2</v>
      </c>
      <c r="G15" s="21">
        <f>E15*F15</f>
        <v>130.065</v>
      </c>
      <c r="H15" s="21">
        <f t="shared" si="1"/>
        <v>0</v>
      </c>
      <c r="I15" s="22">
        <f t="shared" si="2"/>
        <v>0</v>
      </c>
      <c r="J15" s="22"/>
      <c r="K15" s="107">
        <f t="shared" ref="K15:K26" si="4">G15/$G$51</f>
        <v>0.28927052618243937</v>
      </c>
    </row>
    <row r="16" spans="1:11" s="1" customFormat="1" x14ac:dyDescent="0.2">
      <c r="A16" s="108" t="s">
        <v>35</v>
      </c>
      <c r="B16" s="74">
        <f>B4*0.17</f>
        <v>391</v>
      </c>
      <c r="C16" s="27">
        <v>0.13200000000000001</v>
      </c>
      <c r="D16" s="21">
        <f>B16*C16</f>
        <v>51.612000000000002</v>
      </c>
      <c r="E16" s="72">
        <f t="shared" si="3"/>
        <v>391</v>
      </c>
      <c r="F16" s="27">
        <f t="shared" si="3"/>
        <v>0.13200000000000001</v>
      </c>
      <c r="G16" s="21">
        <f>E16*F16</f>
        <v>51.612000000000002</v>
      </c>
      <c r="H16" s="21">
        <f t="shared" si="1"/>
        <v>0</v>
      </c>
      <c r="I16" s="22">
        <f t="shared" si="2"/>
        <v>0</v>
      </c>
      <c r="J16" s="22"/>
      <c r="K16" s="107">
        <f t="shared" si="4"/>
        <v>0.11478745548247463</v>
      </c>
    </row>
    <row r="17" spans="1:11" s="1" customFormat="1" x14ac:dyDescent="0.2">
      <c r="A17" s="108" t="s">
        <v>36</v>
      </c>
      <c r="B17" s="74">
        <f>B4*0.18</f>
        <v>414</v>
      </c>
      <c r="C17" s="27">
        <v>0.18</v>
      </c>
      <c r="D17" s="21">
        <f>B17*C17</f>
        <v>74.52</v>
      </c>
      <c r="E17" s="72">
        <f t="shared" si="3"/>
        <v>414</v>
      </c>
      <c r="F17" s="27">
        <f t="shared" si="3"/>
        <v>0.18</v>
      </c>
      <c r="G17" s="21">
        <f>E17*F17</f>
        <v>74.52</v>
      </c>
      <c r="H17" s="21">
        <f t="shared" si="1"/>
        <v>0</v>
      </c>
      <c r="I17" s="22">
        <f t="shared" si="2"/>
        <v>0</v>
      </c>
      <c r="J17" s="22"/>
      <c r="K17" s="107">
        <f t="shared" si="4"/>
        <v>0.16573589829020399</v>
      </c>
    </row>
    <row r="18" spans="1:11" s="1" customFormat="1" x14ac:dyDescent="0.2">
      <c r="A18" s="60" t="s">
        <v>37</v>
      </c>
      <c r="B18" s="28"/>
      <c r="C18" s="29"/>
      <c r="D18" s="29">
        <f>SUM(D15:D17)</f>
        <v>256.197</v>
      </c>
      <c r="E18" s="76"/>
      <c r="F18" s="29"/>
      <c r="G18" s="29">
        <f>SUM(G15:G17)</f>
        <v>256.197</v>
      </c>
      <c r="H18" s="30">
        <f t="shared" si="1"/>
        <v>0</v>
      </c>
      <c r="I18" s="31">
        <f t="shared" si="2"/>
        <v>0</v>
      </c>
      <c r="J18" s="32">
        <f t="shared" ref="J18:J23" si="5">G18/$G$46</f>
        <v>0.55222485236822327</v>
      </c>
      <c r="K18" s="61">
        <f t="shared" si="4"/>
        <v>0.56979387995511799</v>
      </c>
    </row>
    <row r="19" spans="1:11" x14ac:dyDescent="0.2">
      <c r="A19" s="106" t="s">
        <v>38</v>
      </c>
      <c r="B19" s="72">
        <v>1</v>
      </c>
      <c r="C19" s="121">
        <f>VLOOKUP($B$3,'Data for Bill Impacts'!$A$3:$Y$15,7,0)</f>
        <v>55.319678307903928</v>
      </c>
      <c r="D19" s="21">
        <f>B19*C19</f>
        <v>55.319678307903928</v>
      </c>
      <c r="E19" s="72">
        <f t="shared" ref="E19:E41" si="6">B19</f>
        <v>1</v>
      </c>
      <c r="F19" s="121">
        <f>VLOOKUP($B$3,'Data for Bill Impacts'!$A$3:$Y$15,17,0)</f>
        <v>68.189678307903932</v>
      </c>
      <c r="G19" s="21">
        <f>E19*F19</f>
        <v>68.189678307903932</v>
      </c>
      <c r="H19" s="21">
        <f t="shared" si="1"/>
        <v>12.870000000000005</v>
      </c>
      <c r="I19" s="22">
        <f t="shared" si="2"/>
        <v>0.23264777369757722</v>
      </c>
      <c r="J19" s="22">
        <f t="shared" si="5"/>
        <v>0.14698078055800376</v>
      </c>
      <c r="K19" s="107">
        <f t="shared" si="4"/>
        <v>0.15165697247021598</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-0.02</v>
      </c>
      <c r="D22" s="21">
        <f t="shared" si="8"/>
        <v>-0.02</v>
      </c>
      <c r="E22" s="72">
        <f t="shared" si="6"/>
        <v>1</v>
      </c>
      <c r="F22" s="121">
        <f>VLOOKUP($B$3,'Data for Bill Impacts'!$A$3:$Y$15,22,0)</f>
        <v>-0.02</v>
      </c>
      <c r="G22" s="21">
        <f t="shared" si="7"/>
        <v>-0.02</v>
      </c>
      <c r="H22" s="21">
        <f t="shared" si="1"/>
        <v>0</v>
      </c>
      <c r="I22" s="22">
        <f t="shared" si="2"/>
        <v>0</v>
      </c>
      <c r="J22" s="22">
        <f t="shared" si="5"/>
        <v>-4.3109392566518995E-5</v>
      </c>
      <c r="K22" s="107">
        <f t="shared" si="4"/>
        <v>-4.4480917415513689E-5</v>
      </c>
    </row>
    <row r="23" spans="1:11" x14ac:dyDescent="0.2">
      <c r="A23" s="106" t="s">
        <v>39</v>
      </c>
      <c r="B23" s="72">
        <f>IF($B$9="kWh",$B$4,$B$5)</f>
        <v>2300</v>
      </c>
      <c r="C23" s="77">
        <f>VLOOKUP($B$3,'Data for Bill Impacts'!$A$3:$Y$15,10,0)</f>
        <v>0.02</v>
      </c>
      <c r="D23" s="21">
        <f>B23*C23</f>
        <v>46</v>
      </c>
      <c r="E23" s="72">
        <f t="shared" si="6"/>
        <v>2300</v>
      </c>
      <c r="F23" s="77">
        <f>VLOOKUP($B$3,'Data for Bill Impacts'!$A$3:$Y$15,19,0)</f>
        <v>1.17E-2</v>
      </c>
      <c r="G23" s="21">
        <f>E23*F23</f>
        <v>26.91</v>
      </c>
      <c r="H23" s="21">
        <f t="shared" si="1"/>
        <v>-19.09</v>
      </c>
      <c r="I23" s="22">
        <f t="shared" si="2"/>
        <v>-0.41499999999999998</v>
      </c>
      <c r="J23" s="22">
        <f t="shared" si="5"/>
        <v>5.8003687698251302E-2</v>
      </c>
      <c r="K23" s="107">
        <f t="shared" si="4"/>
        <v>5.9849074382573662E-2</v>
      </c>
    </row>
    <row r="24" spans="1:11" x14ac:dyDescent="0.2">
      <c r="A24" s="106" t="s">
        <v>129</v>
      </c>
      <c r="B24" s="72">
        <f>IF($B$9="kWh",$B$4,$B$5)</f>
        <v>2300</v>
      </c>
      <c r="C24" s="125">
        <f>VLOOKUP($B$3,'Data for Bill Impacts'!$A$3:$Y$15,14,0)</f>
        <v>2.0000000000000001E-4</v>
      </c>
      <c r="D24" s="21">
        <f>B24*C24</f>
        <v>0.46</v>
      </c>
      <c r="E24" s="72">
        <f t="shared" si="6"/>
        <v>2300</v>
      </c>
      <c r="F24" s="77">
        <f>VLOOKUP($B$3,'Data for Bill Impacts'!$A$3:$Y$15,23,0)</f>
        <v>2.0000000000000001E-4</v>
      </c>
      <c r="G24" s="21">
        <f>E24*F24</f>
        <v>0.46</v>
      </c>
      <c r="H24" s="21">
        <f t="shared" si="1"/>
        <v>0</v>
      </c>
      <c r="I24" s="22">
        <f>IF(ISERROR(H24/D24),0,(H24/D24))</f>
        <v>0</v>
      </c>
      <c r="J24" s="22">
        <f t="shared" ref="J24" si="9">G24/$G$46</f>
        <v>9.9151602902993689E-4</v>
      </c>
      <c r="K24" s="107">
        <f t="shared" si="4"/>
        <v>1.0230611005568149E-3</v>
      </c>
    </row>
    <row r="25" spans="1:11" s="1" customFormat="1" x14ac:dyDescent="0.2">
      <c r="A25" s="109" t="s">
        <v>72</v>
      </c>
      <c r="B25" s="73"/>
      <c r="C25" s="34"/>
      <c r="D25" s="34">
        <f>SUM(D19:D24)</f>
        <v>101.75967830790391</v>
      </c>
      <c r="E25" s="72"/>
      <c r="F25" s="34"/>
      <c r="G25" s="34">
        <f>SUM(G19:G24)</f>
        <v>95.539678307903927</v>
      </c>
      <c r="H25" s="34">
        <f t="shared" si="1"/>
        <v>-6.2199999999999847</v>
      </c>
      <c r="I25" s="35">
        <f t="shared" si="2"/>
        <v>-6.112440706798955E-2</v>
      </c>
      <c r="J25" s="35">
        <f>G25/$G$46</f>
        <v>0.20593287489271847</v>
      </c>
      <c r="K25" s="110">
        <f t="shared" si="4"/>
        <v>0.21248462703593093</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1.7028210063775003E-3</v>
      </c>
      <c r="K26" s="107">
        <f t="shared" si="4"/>
        <v>1.7569962379127906E-3</v>
      </c>
    </row>
    <row r="27" spans="1:11" s="1" customFormat="1" x14ac:dyDescent="0.2">
      <c r="A27" s="118" t="s">
        <v>75</v>
      </c>
      <c r="B27" s="119">
        <f>B8-B4</f>
        <v>241.5</v>
      </c>
      <c r="C27" s="120">
        <f>IF(B4&gt;B7,C13,C12)</f>
        <v>0.121</v>
      </c>
      <c r="D27" s="21">
        <f>B27*C27</f>
        <v>29.221499999999999</v>
      </c>
      <c r="E27" s="72">
        <f>B27</f>
        <v>241.5</v>
      </c>
      <c r="F27" s="120">
        <f>C27</f>
        <v>0.121</v>
      </c>
      <c r="G27" s="21">
        <f>E27*F27</f>
        <v>29.221499999999999</v>
      </c>
      <c r="H27" s="21">
        <f t="shared" si="1"/>
        <v>0</v>
      </c>
      <c r="I27" s="22">
        <f>IF(ISERROR(H27/D27),0,(H27/D27))</f>
        <v>0</v>
      </c>
      <c r="J27" s="22">
        <f t="shared" ref="J27:J46" si="10">G27/$G$46</f>
        <v>6.2986055744126732E-2</v>
      </c>
      <c r="K27" s="107">
        <f t="shared" ref="K27:K41" si="11">G27/$G$51</f>
        <v>6.4989956412871655E-2</v>
      </c>
    </row>
    <row r="28" spans="1:11" s="1" customFormat="1" x14ac:dyDescent="0.2">
      <c r="A28" s="118" t="s">
        <v>74</v>
      </c>
      <c r="B28" s="119">
        <f>B8-B4</f>
        <v>241.5</v>
      </c>
      <c r="C28" s="120">
        <f>0.65*C15+0.17*C16+0.18*C17</f>
        <v>0.11139</v>
      </c>
      <c r="D28" s="21">
        <f>B28*C28</f>
        <v>26.900684999999999</v>
      </c>
      <c r="E28" s="72">
        <f>B28</f>
        <v>241.5</v>
      </c>
      <c r="F28" s="120">
        <f>C28</f>
        <v>0.11139</v>
      </c>
      <c r="G28" s="21">
        <f>E28*F28</f>
        <v>26.900684999999999</v>
      </c>
      <c r="H28" s="21">
        <f t="shared" si="1"/>
        <v>0</v>
      </c>
      <c r="I28" s="22">
        <f>IF(ISERROR(H28/D28),0,(H28/D28))</f>
        <v>0</v>
      </c>
      <c r="J28" s="22">
        <f t="shared" si="10"/>
        <v>5.7983609498663449E-2</v>
      </c>
      <c r="K28" s="107">
        <f t="shared" si="11"/>
        <v>5.9828357395287385E-2</v>
      </c>
    </row>
    <row r="29" spans="1:11" s="1" customFormat="1" x14ac:dyDescent="0.2">
      <c r="A29" s="109" t="s">
        <v>78</v>
      </c>
      <c r="B29" s="73"/>
      <c r="C29" s="34"/>
      <c r="D29" s="34">
        <f>SUM(D25,D26:D27)</f>
        <v>131.77117830790391</v>
      </c>
      <c r="E29" s="72"/>
      <c r="F29" s="34"/>
      <c r="G29" s="34">
        <f>SUM(G25,G26:G27)</f>
        <v>125.55117830790394</v>
      </c>
      <c r="H29" s="34">
        <f t="shared" si="1"/>
        <v>-6.2199999999999704</v>
      </c>
      <c r="I29" s="35">
        <f>IF(ISERROR(H29/D29),0,(H29/D29))</f>
        <v>-4.7203038478307986E-2</v>
      </c>
      <c r="J29" s="35">
        <f t="shared" si="10"/>
        <v>0.27062175164322272</v>
      </c>
      <c r="K29" s="110">
        <f t="shared" si="11"/>
        <v>0.27923157968671541</v>
      </c>
    </row>
    <row r="30" spans="1:11" s="1" customFormat="1" x14ac:dyDescent="0.2">
      <c r="A30" s="109" t="s">
        <v>77</v>
      </c>
      <c r="B30" s="73"/>
      <c r="C30" s="34"/>
      <c r="D30" s="34">
        <f>SUM(D25,D26,D28)</f>
        <v>129.45036330790393</v>
      </c>
      <c r="E30" s="72"/>
      <c r="F30" s="34"/>
      <c r="G30" s="34">
        <f>SUM(G25,G26,G28)</f>
        <v>123.23036330790393</v>
      </c>
      <c r="H30" s="34">
        <f t="shared" si="1"/>
        <v>-6.2199999999999989</v>
      </c>
      <c r="I30" s="35">
        <f>IF(ISERROR(H30/D30),0,(H30/D30))</f>
        <v>-4.8049305085420498E-2</v>
      </c>
      <c r="J30" s="35">
        <f t="shared" si="10"/>
        <v>0.26561930539775941</v>
      </c>
      <c r="K30" s="110">
        <f t="shared" si="11"/>
        <v>0.27406998066913113</v>
      </c>
    </row>
    <row r="31" spans="1:11" x14ac:dyDescent="0.2">
      <c r="A31" s="106" t="s">
        <v>40</v>
      </c>
      <c r="B31" s="72">
        <f>B8</f>
        <v>2541.5</v>
      </c>
      <c r="C31" s="125">
        <f>VLOOKUP($B$3,'Data for Bill Impacts'!$A$3:$Y$15,15,0)</f>
        <v>6.7999999999999996E-3</v>
      </c>
      <c r="D31" s="21">
        <f>B31*C31</f>
        <v>17.2822</v>
      </c>
      <c r="E31" s="72">
        <f t="shared" si="6"/>
        <v>2541.5</v>
      </c>
      <c r="F31" s="77">
        <f>VLOOKUP($B$3,'Data for Bill Impacts'!$A$3:$Y$15,24,0)</f>
        <v>6.7999999999999996E-3</v>
      </c>
      <c r="G31" s="21">
        <f>E31*F31</f>
        <v>17.2822</v>
      </c>
      <c r="H31" s="21">
        <f t="shared" si="1"/>
        <v>0</v>
      </c>
      <c r="I31" s="22">
        <f t="shared" si="2"/>
        <v>0</v>
      </c>
      <c r="J31" s="22">
        <f t="shared" si="10"/>
        <v>3.7251257210654726E-2</v>
      </c>
      <c r="K31" s="107">
        <f t="shared" si="11"/>
        <v>3.8436405547919529E-2</v>
      </c>
    </row>
    <row r="32" spans="1:11" x14ac:dyDescent="0.2">
      <c r="A32" s="106" t="s">
        <v>41</v>
      </c>
      <c r="B32" s="72">
        <f>B8</f>
        <v>2541.5</v>
      </c>
      <c r="C32" s="125">
        <f>VLOOKUP($B$3,'Data for Bill Impacts'!$A$3:$Y$15,16,0)</f>
        <v>5.4999999999999997E-3</v>
      </c>
      <c r="D32" s="21">
        <f>B32*C32</f>
        <v>13.978249999999999</v>
      </c>
      <c r="E32" s="72">
        <f t="shared" si="6"/>
        <v>2541.5</v>
      </c>
      <c r="F32" s="77">
        <f>VLOOKUP($B$3,'Data for Bill Impacts'!$A$3:$Y$15,25,0)</f>
        <v>5.4999999999999997E-3</v>
      </c>
      <c r="G32" s="21">
        <f>E32*F32</f>
        <v>13.978249999999999</v>
      </c>
      <c r="H32" s="21">
        <f t="shared" si="1"/>
        <v>0</v>
      </c>
      <c r="I32" s="22">
        <f t="shared" si="2"/>
        <v>0</v>
      </c>
      <c r="J32" s="22">
        <f t="shared" si="10"/>
        <v>3.0129693332147205E-2</v>
      </c>
      <c r="K32" s="107">
        <f t="shared" si="11"/>
        <v>3.1088269193170207E-2</v>
      </c>
    </row>
    <row r="33" spans="1:11" s="1" customFormat="1" x14ac:dyDescent="0.2">
      <c r="A33" s="109" t="s">
        <v>76</v>
      </c>
      <c r="B33" s="73"/>
      <c r="C33" s="34"/>
      <c r="D33" s="34">
        <f>SUM(D31:D32)</f>
        <v>31.260449999999999</v>
      </c>
      <c r="E33" s="72"/>
      <c r="F33" s="34"/>
      <c r="G33" s="34">
        <f>SUM(G31:G32)</f>
        <v>31.260449999999999</v>
      </c>
      <c r="H33" s="34">
        <f t="shared" si="1"/>
        <v>0</v>
      </c>
      <c r="I33" s="35">
        <f t="shared" si="2"/>
        <v>0</v>
      </c>
      <c r="J33" s="35">
        <f t="shared" si="10"/>
        <v>6.7380950542801923E-2</v>
      </c>
      <c r="K33" s="110">
        <f t="shared" si="11"/>
        <v>6.952467474108974E-2</v>
      </c>
    </row>
    <row r="34" spans="1:11" s="1" customFormat="1" x14ac:dyDescent="0.2">
      <c r="A34" s="109" t="s">
        <v>93</v>
      </c>
      <c r="B34" s="73"/>
      <c r="C34" s="34"/>
      <c r="D34" s="34">
        <f>D29+D33</f>
        <v>163.0316283079039</v>
      </c>
      <c r="E34" s="72"/>
      <c r="F34" s="34"/>
      <c r="G34" s="34">
        <f>G29+G33</f>
        <v>156.81162830790393</v>
      </c>
      <c r="H34" s="34">
        <f t="shared" si="1"/>
        <v>-6.2199999999999704</v>
      </c>
      <c r="I34" s="35">
        <f t="shared" si="2"/>
        <v>-3.8152106217407021E-2</v>
      </c>
      <c r="J34" s="35">
        <f t="shared" si="10"/>
        <v>0.33800270218602463</v>
      </c>
      <c r="K34" s="110">
        <f t="shared" si="11"/>
        <v>0.34875625442780517</v>
      </c>
    </row>
    <row r="35" spans="1:11" s="1" customFormat="1" x14ac:dyDescent="0.2">
      <c r="A35" s="109" t="s">
        <v>94</v>
      </c>
      <c r="B35" s="73"/>
      <c r="C35" s="34"/>
      <c r="D35" s="34">
        <f>D30+D33</f>
        <v>160.71081330790392</v>
      </c>
      <c r="E35" s="72"/>
      <c r="F35" s="34"/>
      <c r="G35" s="34">
        <f>G30+G33</f>
        <v>154.49081330790392</v>
      </c>
      <c r="H35" s="34">
        <f t="shared" si="1"/>
        <v>-6.2199999999999989</v>
      </c>
      <c r="I35" s="35">
        <f t="shared" si="2"/>
        <v>-3.8703058443759944E-2</v>
      </c>
      <c r="J35" s="35">
        <f t="shared" si="10"/>
        <v>0.33300025594056132</v>
      </c>
      <c r="K35" s="110">
        <f t="shared" si="11"/>
        <v>0.34359465541022083</v>
      </c>
    </row>
    <row r="36" spans="1:11" x14ac:dyDescent="0.2">
      <c r="A36" s="106" t="s">
        <v>42</v>
      </c>
      <c r="B36" s="72">
        <f>B8</f>
        <v>2541.5</v>
      </c>
      <c r="C36" s="33">
        <v>3.5999999999999999E-3</v>
      </c>
      <c r="D36" s="21">
        <f>B36*C36</f>
        <v>9.1494</v>
      </c>
      <c r="E36" s="72">
        <f t="shared" si="6"/>
        <v>2541.5</v>
      </c>
      <c r="F36" s="33">
        <v>3.5999999999999999E-3</v>
      </c>
      <c r="G36" s="21">
        <f>E36*F36</f>
        <v>9.1494</v>
      </c>
      <c r="H36" s="21">
        <f t="shared" si="1"/>
        <v>0</v>
      </c>
      <c r="I36" s="22">
        <f t="shared" si="2"/>
        <v>0</v>
      </c>
      <c r="J36" s="22">
        <f t="shared" si="10"/>
        <v>1.9721253817405443E-2</v>
      </c>
      <c r="K36" s="107">
        <f t="shared" si="11"/>
        <v>2.0348685290075046E-2</v>
      </c>
    </row>
    <row r="37" spans="1:11" x14ac:dyDescent="0.2">
      <c r="A37" s="106" t="s">
        <v>43</v>
      </c>
      <c r="B37" s="72">
        <f>B8</f>
        <v>2541.5</v>
      </c>
      <c r="C37" s="33">
        <v>2.0999999999999999E-3</v>
      </c>
      <c r="D37" s="21">
        <f>B37*C37</f>
        <v>5.3371499999999994</v>
      </c>
      <c r="E37" s="72">
        <f t="shared" si="6"/>
        <v>2541.5</v>
      </c>
      <c r="F37" s="33">
        <v>2.0999999999999999E-3</v>
      </c>
      <c r="G37" s="21">
        <f>E37*F37</f>
        <v>5.3371499999999994</v>
      </c>
      <c r="H37" s="21">
        <f>G37-D37</f>
        <v>0</v>
      </c>
      <c r="I37" s="22">
        <f t="shared" si="2"/>
        <v>0</v>
      </c>
      <c r="J37" s="22">
        <f t="shared" si="10"/>
        <v>1.150406472681984E-2</v>
      </c>
      <c r="K37" s="107">
        <f t="shared" si="11"/>
        <v>1.1870066419210443E-2</v>
      </c>
    </row>
    <row r="38" spans="1:11" x14ac:dyDescent="0.2">
      <c r="A38" s="106" t="s">
        <v>99</v>
      </c>
      <c r="B38" s="72">
        <f>B8</f>
        <v>2541.5</v>
      </c>
      <c r="C38" s="33">
        <v>1.1000000000000001E-3</v>
      </c>
      <c r="D38" s="21">
        <f>B38*C38</f>
        <v>2.7956500000000002</v>
      </c>
      <c r="E38" s="72">
        <f t="shared" si="6"/>
        <v>2541.5</v>
      </c>
      <c r="F38" s="33">
        <v>1.1000000000000001E-3</v>
      </c>
      <c r="G38" s="21">
        <f>E38*F38</f>
        <v>2.7956500000000002</v>
      </c>
      <c r="H38" s="21">
        <f>G38-D38</f>
        <v>0</v>
      </c>
      <c r="I38" s="22">
        <f t="shared" ref="I38" si="12">IF(ISERROR(H38/D38),0,(H38/D38))</f>
        <v>0</v>
      </c>
      <c r="J38" s="22">
        <f t="shared" ref="J38" si="13">G38/$G$46</f>
        <v>6.0259386664294418E-3</v>
      </c>
      <c r="K38" s="107">
        <f t="shared" ref="K38" si="14">G38/$G$51</f>
        <v>6.2176538386340425E-3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5.3886740708148739E-4</v>
      </c>
      <c r="K39" s="107">
        <f t="shared" si="11"/>
        <v>5.5601146769392105E-4</v>
      </c>
    </row>
    <row r="40" spans="1:11" s="1" customFormat="1" x14ac:dyDescent="0.2">
      <c r="A40" s="109" t="s">
        <v>45</v>
      </c>
      <c r="B40" s="73"/>
      <c r="C40" s="34"/>
      <c r="D40" s="34">
        <f>SUM(D36:D39)</f>
        <v>17.5322</v>
      </c>
      <c r="E40" s="72"/>
      <c r="F40" s="34"/>
      <c r="G40" s="34">
        <f>SUM(G36:G39)</f>
        <v>17.5322</v>
      </c>
      <c r="H40" s="34">
        <f t="shared" si="1"/>
        <v>0</v>
      </c>
      <c r="I40" s="35">
        <f t="shared" si="2"/>
        <v>0</v>
      </c>
      <c r="J40" s="35">
        <f t="shared" si="10"/>
        <v>3.7790124617736211E-2</v>
      </c>
      <c r="K40" s="110">
        <f t="shared" si="11"/>
        <v>3.8992417015613449E-2</v>
      </c>
    </row>
    <row r="41" spans="1:11" s="1" customFormat="1" ht="13.5" thickBot="1" x14ac:dyDescent="0.25">
      <c r="A41" s="111" t="s">
        <v>46</v>
      </c>
      <c r="B41" s="112">
        <f>B4</f>
        <v>2300</v>
      </c>
      <c r="C41" s="113">
        <v>0</v>
      </c>
      <c r="D41" s="114">
        <f>B41*C41</f>
        <v>0</v>
      </c>
      <c r="E41" s="115">
        <f t="shared" si="6"/>
        <v>2300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448.06382830790392</v>
      </c>
      <c r="E42" s="37"/>
      <c r="F42" s="38"/>
      <c r="G42" s="38">
        <f>SUM(G14,G25,G26,G27,G33,G40,G41)</f>
        <v>441.84382830790395</v>
      </c>
      <c r="H42" s="38">
        <f t="shared" si="1"/>
        <v>-6.2199999999999704</v>
      </c>
      <c r="I42" s="39">
        <f>IF(ISERROR(H42/D42),0,(H42/D42))</f>
        <v>-1.3881950755742915E-2</v>
      </c>
      <c r="J42" s="39">
        <f t="shared" si="10"/>
        <v>0.95238095238095244</v>
      </c>
      <c r="K42" s="40"/>
    </row>
    <row r="43" spans="1:11" x14ac:dyDescent="0.2">
      <c r="A43" s="143" t="s">
        <v>108</v>
      </c>
      <c r="B43" s="42"/>
      <c r="C43" s="25">
        <v>0.13</v>
      </c>
      <c r="D43" s="25">
        <f>D42*C43</f>
        <v>58.248297680027513</v>
      </c>
      <c r="E43" s="25"/>
      <c r="F43" s="25">
        <f>C43</f>
        <v>0.13</v>
      </c>
      <c r="G43" s="25">
        <f>G42*F43</f>
        <v>57.439697680027514</v>
      </c>
      <c r="H43" s="25">
        <f t="shared" si="1"/>
        <v>-0.80859999999999843</v>
      </c>
      <c r="I43" s="43">
        <f t="shared" si="2"/>
        <v>-1.3881950755742953E-2</v>
      </c>
      <c r="J43" s="43">
        <f t="shared" si="10"/>
        <v>0.12380952380952381</v>
      </c>
      <c r="K43" s="44"/>
    </row>
    <row r="44" spans="1:11" s="1" customFormat="1" x14ac:dyDescent="0.2">
      <c r="A44" s="45" t="s">
        <v>109</v>
      </c>
      <c r="B44" s="23"/>
      <c r="C44" s="24"/>
      <c r="D44" s="24">
        <f>SUM(D42:D43)</f>
        <v>506.31212598793144</v>
      </c>
      <c r="E44" s="24"/>
      <c r="F44" s="24"/>
      <c r="G44" s="24">
        <f>SUM(G42:G43)</f>
        <v>499.28352598793145</v>
      </c>
      <c r="H44" s="24">
        <f t="shared" si="1"/>
        <v>-7.0285999999999831</v>
      </c>
      <c r="I44" s="26">
        <f t="shared" si="2"/>
        <v>-1.3881950755742948E-2</v>
      </c>
      <c r="J44" s="26">
        <f t="shared" si="10"/>
        <v>1.0761904761904761</v>
      </c>
      <c r="K44" s="46"/>
    </row>
    <row r="45" spans="1:11" x14ac:dyDescent="0.2">
      <c r="A45" s="41" t="s">
        <v>110</v>
      </c>
      <c r="B45" s="42"/>
      <c r="C45" s="25">
        <v>-0.08</v>
      </c>
      <c r="D45" s="25">
        <f>D42*C45</f>
        <v>-35.845106264632314</v>
      </c>
      <c r="E45" s="25"/>
      <c r="F45" s="25">
        <f>C45</f>
        <v>-0.08</v>
      </c>
      <c r="G45" s="25">
        <f>G42*F45</f>
        <v>-35.347506264632315</v>
      </c>
      <c r="H45" s="25">
        <f t="shared" si="1"/>
        <v>0.49759999999999849</v>
      </c>
      <c r="I45" s="43">
        <f t="shared" si="2"/>
        <v>-1.3881950755742939E-2</v>
      </c>
      <c r="J45" s="43">
        <f t="shared" si="10"/>
        <v>-7.6190476190476197E-2</v>
      </c>
      <c r="K45" s="44"/>
    </row>
    <row r="46" spans="1:11" s="1" customFormat="1" ht="13.5" thickBot="1" x14ac:dyDescent="0.25">
      <c r="A46" s="47" t="s">
        <v>111</v>
      </c>
      <c r="B46" s="48"/>
      <c r="C46" s="49"/>
      <c r="D46" s="49">
        <f>SUM(D44:D45)</f>
        <v>470.46701972329913</v>
      </c>
      <c r="E46" s="49"/>
      <c r="F46" s="49"/>
      <c r="G46" s="49">
        <f>SUM(G44:G45)</f>
        <v>463.93601972329913</v>
      </c>
      <c r="H46" s="49">
        <f t="shared" si="1"/>
        <v>-6.5310000000000059</v>
      </c>
      <c r="I46" s="50">
        <f t="shared" si="2"/>
        <v>-1.3881950755742993E-2</v>
      </c>
      <c r="J46" s="50">
        <f t="shared" si="10"/>
        <v>1</v>
      </c>
      <c r="K46" s="51"/>
    </row>
    <row r="47" spans="1:11" x14ac:dyDescent="0.2">
      <c r="A47" s="52" t="s">
        <v>112</v>
      </c>
      <c r="B47" s="53"/>
      <c r="C47" s="54"/>
      <c r="D47" s="54">
        <f>SUM(D18,D25,D26,D28,D33,D40,D41)</f>
        <v>434.44001330790394</v>
      </c>
      <c r="E47" s="54"/>
      <c r="F47" s="54"/>
      <c r="G47" s="54">
        <f>SUM(G18,G25,G26,G28,G33,G40,G41)</f>
        <v>428.22001330790397</v>
      </c>
      <c r="H47" s="54">
        <f>G47-D47</f>
        <v>-6.2199999999999704</v>
      </c>
      <c r="I47" s="55">
        <f>IF(ISERROR(H47/D47),0,(H47/D47))</f>
        <v>-1.4317281579658786E-2</v>
      </c>
      <c r="J47" s="55"/>
      <c r="K47" s="56">
        <f>G47/$G$51</f>
        <v>0.95238095238095244</v>
      </c>
    </row>
    <row r="48" spans="1:11" x14ac:dyDescent="0.2">
      <c r="A48" s="57" t="s">
        <v>108</v>
      </c>
      <c r="B48" s="58"/>
      <c r="C48" s="30">
        <v>0.13</v>
      </c>
      <c r="D48" s="30">
        <f>D47*C48</f>
        <v>56.477201730027517</v>
      </c>
      <c r="E48" s="30"/>
      <c r="F48" s="30">
        <f>C48</f>
        <v>0.13</v>
      </c>
      <c r="G48" s="30">
        <f>G47*F48</f>
        <v>55.668601730027518</v>
      </c>
      <c r="H48" s="30">
        <f>G48-D48</f>
        <v>-0.80859999999999843</v>
      </c>
      <c r="I48" s="31">
        <f>IF(ISERROR(H48/D48),0,(H48/D48))</f>
        <v>-1.4317281579658824E-2</v>
      </c>
      <c r="J48" s="31"/>
      <c r="K48" s="59">
        <f>G48/$G$51</f>
        <v>0.12380952380952381</v>
      </c>
    </row>
    <row r="49" spans="1:11" x14ac:dyDescent="0.2">
      <c r="A49" s="60" t="s">
        <v>113</v>
      </c>
      <c r="B49" s="28"/>
      <c r="C49" s="29"/>
      <c r="D49" s="29">
        <f>SUM(D47:D48)</f>
        <v>490.91721503793144</v>
      </c>
      <c r="E49" s="29"/>
      <c r="F49" s="29"/>
      <c r="G49" s="29">
        <f>SUM(G47:G48)</f>
        <v>483.88861503793146</v>
      </c>
      <c r="H49" s="29">
        <f>G49-D49</f>
        <v>-7.0285999999999831</v>
      </c>
      <c r="I49" s="32">
        <f>IF(ISERROR(H49/D49),0,(H49/D49))</f>
        <v>-1.4317281579658819E-2</v>
      </c>
      <c r="J49" s="32"/>
      <c r="K49" s="61">
        <f>G49/$G$51</f>
        <v>1.0761904761904761</v>
      </c>
    </row>
    <row r="50" spans="1:11" x14ac:dyDescent="0.2">
      <c r="A50" s="57" t="s">
        <v>110</v>
      </c>
      <c r="B50" s="58"/>
      <c r="C50" s="30">
        <v>-0.08</v>
      </c>
      <c r="D50" s="30">
        <f>D47*C50</f>
        <v>-34.755201064632317</v>
      </c>
      <c r="E50" s="30"/>
      <c r="F50" s="30">
        <f>C50</f>
        <v>-0.08</v>
      </c>
      <c r="G50" s="30">
        <f>G47*F50</f>
        <v>-34.257601064632318</v>
      </c>
      <c r="H50" s="30">
        <f>G50-D50</f>
        <v>0.49759999999999849</v>
      </c>
      <c r="I50" s="31">
        <f>IF(ISERROR(H50/D50),0,(H50/D50))</f>
        <v>-1.4317281579658808E-2</v>
      </c>
      <c r="J50" s="31"/>
      <c r="K50" s="59">
        <f>G50/$G$51</f>
        <v>-7.6190476190476197E-2</v>
      </c>
    </row>
    <row r="51" spans="1:11" ht="13.5" thickBot="1" x14ac:dyDescent="0.25">
      <c r="A51" s="62" t="s">
        <v>114</v>
      </c>
      <c r="B51" s="63"/>
      <c r="C51" s="64"/>
      <c r="D51" s="64">
        <f>SUM(D49:D50)</f>
        <v>456.16201397329911</v>
      </c>
      <c r="E51" s="64"/>
      <c r="F51" s="64"/>
      <c r="G51" s="64">
        <f>SUM(G49:G50)</f>
        <v>449.63101397329916</v>
      </c>
      <c r="H51" s="64">
        <f>G51-D51</f>
        <v>-6.5309999999999491</v>
      </c>
      <c r="I51" s="65">
        <f>IF(ISERROR(H51/D51),0,(H51/D51))</f>
        <v>-1.4317281579658742E-2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tint="0.499984740745262"/>
    <pageSetUpPr fitToPage="1"/>
  </sheetPr>
  <dimension ref="A1:K68"/>
  <sheetViews>
    <sheetView tabSelected="1" topLeftCell="A28"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3</v>
      </c>
    </row>
    <row r="4" spans="1:11" x14ac:dyDescent="0.2">
      <c r="A4" s="14" t="s">
        <v>62</v>
      </c>
      <c r="B4" s="14">
        <v>50</v>
      </c>
    </row>
    <row r="5" spans="1:11" x14ac:dyDescent="0.2">
      <c r="A5" s="14" t="s">
        <v>16</v>
      </c>
      <c r="B5" s="14">
        <f>VLOOKUP($B$3,'Data for Bill Impacts'!$A$3:$Y$15,5,0)</f>
        <v>0</v>
      </c>
    </row>
    <row r="6" spans="1:11" x14ac:dyDescent="0.2">
      <c r="A6" s="14" t="s">
        <v>20</v>
      </c>
      <c r="B6" s="14">
        <f>VLOOKUP($B$3,'Data for Bill Impacts'!$A$3:$Y$15,2,0)</f>
        <v>1.1040000000000001</v>
      </c>
    </row>
    <row r="7" spans="1:11" x14ac:dyDescent="0.2">
      <c r="A7" s="14" t="s">
        <v>15</v>
      </c>
      <c r="B7" s="14">
        <f>VLOOKUP($B$3,'Data for Bill Impacts'!$A$3:$Y$15,4,0)</f>
        <v>600</v>
      </c>
    </row>
    <row r="8" spans="1:11" x14ac:dyDescent="0.2">
      <c r="A8" s="14" t="s">
        <v>82</v>
      </c>
      <c r="B8" s="149">
        <f>B4*B6</f>
        <v>55.2</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50</v>
      </c>
      <c r="C12" s="102">
        <v>0.10299999999999999</v>
      </c>
      <c r="D12" s="103">
        <f>B12*C12</f>
        <v>5.1499999999999995</v>
      </c>
      <c r="E12" s="101">
        <f>B12</f>
        <v>50</v>
      </c>
      <c r="F12" s="102">
        <f>C12</f>
        <v>0.10299999999999999</v>
      </c>
      <c r="G12" s="103">
        <f>E12*F12</f>
        <v>5.1499999999999995</v>
      </c>
      <c r="H12" s="103">
        <f>G12-D12</f>
        <v>0</v>
      </c>
      <c r="I12" s="104">
        <f>IF(ISERROR(H12/D12),0,(H12/D12))</f>
        <v>0</v>
      </c>
      <c r="J12" s="104">
        <f>G12/$G$46</f>
        <v>6.9957534282451939E-2</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5.1499999999999995</v>
      </c>
      <c r="E14" s="75"/>
      <c r="F14" s="24"/>
      <c r="G14" s="24">
        <f>SUM(G12:G13)</f>
        <v>5.1499999999999995</v>
      </c>
      <c r="H14" s="24">
        <f t="shared" si="1"/>
        <v>0</v>
      </c>
      <c r="I14" s="26">
        <f t="shared" si="2"/>
        <v>0</v>
      </c>
      <c r="J14" s="26">
        <f>G14/$G$46</f>
        <v>6.9957534282451939E-2</v>
      </c>
      <c r="K14" s="107"/>
    </row>
    <row r="15" spans="1:11" s="1" customFormat="1" x14ac:dyDescent="0.2">
      <c r="A15" s="108" t="s">
        <v>34</v>
      </c>
      <c r="B15" s="74">
        <f>B4*0.65</f>
        <v>32.5</v>
      </c>
      <c r="C15" s="27">
        <v>8.6999999999999994E-2</v>
      </c>
      <c r="D15" s="21">
        <f>B15*C15</f>
        <v>2.8274999999999997</v>
      </c>
      <c r="E15" s="72">
        <f t="shared" ref="E15:F17" si="3">B15</f>
        <v>32.5</v>
      </c>
      <c r="F15" s="27">
        <f t="shared" si="3"/>
        <v>8.6999999999999994E-2</v>
      </c>
      <c r="G15" s="21">
        <f>E15*F15</f>
        <v>2.8274999999999997</v>
      </c>
      <c r="H15" s="21">
        <f t="shared" si="1"/>
        <v>0</v>
      </c>
      <c r="I15" s="22">
        <f t="shared" si="2"/>
        <v>0</v>
      </c>
      <c r="J15" s="22"/>
      <c r="K15" s="107">
        <f t="shared" ref="K15:K26" si="4">G15/$G$51</f>
        <v>3.8156673105380894E-2</v>
      </c>
    </row>
    <row r="16" spans="1:11" s="1" customFormat="1" x14ac:dyDescent="0.2">
      <c r="A16" s="108" t="s">
        <v>35</v>
      </c>
      <c r="B16" s="74">
        <f>B4*0.17</f>
        <v>8.5</v>
      </c>
      <c r="C16" s="27">
        <v>0.13200000000000001</v>
      </c>
      <c r="D16" s="21">
        <f>B16*C16</f>
        <v>1.1220000000000001</v>
      </c>
      <c r="E16" s="72">
        <f t="shared" si="3"/>
        <v>8.5</v>
      </c>
      <c r="F16" s="27">
        <f t="shared" si="3"/>
        <v>0.13200000000000001</v>
      </c>
      <c r="G16" s="21">
        <f>E16*F16</f>
        <v>1.1220000000000001</v>
      </c>
      <c r="H16" s="21">
        <f t="shared" si="1"/>
        <v>0</v>
      </c>
      <c r="I16" s="22">
        <f t="shared" si="2"/>
        <v>0</v>
      </c>
      <c r="J16" s="22"/>
      <c r="K16" s="107">
        <f t="shared" si="4"/>
        <v>1.5141215640755922E-2</v>
      </c>
    </row>
    <row r="17" spans="1:11" s="1" customFormat="1" x14ac:dyDescent="0.2">
      <c r="A17" s="108" t="s">
        <v>36</v>
      </c>
      <c r="B17" s="74">
        <f>B4*0.18</f>
        <v>9</v>
      </c>
      <c r="C17" s="27">
        <v>0.18</v>
      </c>
      <c r="D17" s="21">
        <f>B17*C17</f>
        <v>1.6199999999999999</v>
      </c>
      <c r="E17" s="72">
        <f t="shared" si="3"/>
        <v>9</v>
      </c>
      <c r="F17" s="27">
        <f t="shared" si="3"/>
        <v>0.18</v>
      </c>
      <c r="G17" s="21">
        <f>E17*F17</f>
        <v>1.6199999999999999</v>
      </c>
      <c r="H17" s="21">
        <f t="shared" si="1"/>
        <v>0</v>
      </c>
      <c r="I17" s="22">
        <f t="shared" si="2"/>
        <v>0</v>
      </c>
      <c r="J17" s="22"/>
      <c r="K17" s="107">
        <f t="shared" si="4"/>
        <v>2.1861648251358817E-2</v>
      </c>
    </row>
    <row r="18" spans="1:11" s="1" customFormat="1" x14ac:dyDescent="0.2">
      <c r="A18" s="60" t="s">
        <v>37</v>
      </c>
      <c r="B18" s="28"/>
      <c r="C18" s="29"/>
      <c r="D18" s="29">
        <f>SUM(D15:D17)</f>
        <v>5.5694999999999997</v>
      </c>
      <c r="E18" s="76"/>
      <c r="F18" s="29"/>
      <c r="G18" s="29">
        <f>SUM(G15:G17)</f>
        <v>5.5694999999999997</v>
      </c>
      <c r="H18" s="30">
        <f t="shared" si="1"/>
        <v>0</v>
      </c>
      <c r="I18" s="31">
        <f t="shared" si="2"/>
        <v>0</v>
      </c>
      <c r="J18" s="32">
        <f t="shared" ref="J18:J23" si="5">G18/$G$46</f>
        <v>7.5656016929342929E-2</v>
      </c>
      <c r="K18" s="61">
        <f t="shared" si="4"/>
        <v>7.5159536997495627E-2</v>
      </c>
    </row>
    <row r="19" spans="1:11" x14ac:dyDescent="0.2">
      <c r="A19" s="106" t="s">
        <v>38</v>
      </c>
      <c r="B19" s="72">
        <v>1</v>
      </c>
      <c r="C19" s="77">
        <f>VLOOKUP($B$3,'Data for Bill Impacts'!$A$3:$Y$15,7,0)</f>
        <v>55.4</v>
      </c>
      <c r="D19" s="21">
        <f>B19*C19</f>
        <v>55.4</v>
      </c>
      <c r="E19" s="72">
        <f t="shared" ref="E19:E41" si="6">B19</f>
        <v>1</v>
      </c>
      <c r="F19" s="77">
        <f>VLOOKUP($B$3,'Data for Bill Impacts'!$A$3:$Y$15,17,0)</f>
        <v>61.5</v>
      </c>
      <c r="G19" s="21">
        <f>E19*F19</f>
        <v>61.5</v>
      </c>
      <c r="H19" s="21">
        <f t="shared" si="1"/>
        <v>6.1000000000000014</v>
      </c>
      <c r="I19" s="22">
        <f t="shared" si="2"/>
        <v>0.1101083032490975</v>
      </c>
      <c r="J19" s="22">
        <f t="shared" si="5"/>
        <v>0.83541521521763007</v>
      </c>
      <c r="K19" s="107">
        <f t="shared" si="4"/>
        <v>0.82993294287565877</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50</v>
      </c>
      <c r="C23" s="77">
        <f>VLOOKUP($B$3,'Data for Bill Impacts'!$A$3:$Y$15,10,0)</f>
        <v>3.15E-2</v>
      </c>
      <c r="D23" s="21">
        <f>B23*C23</f>
        <v>1.575</v>
      </c>
      <c r="E23" s="72">
        <f t="shared" si="6"/>
        <v>50</v>
      </c>
      <c r="F23" s="77">
        <f>VLOOKUP($B$3,'Data for Bill Impacts'!$A$3:$Y$15,19,0)</f>
        <v>1.84E-2</v>
      </c>
      <c r="G23" s="21">
        <f>E23*F23</f>
        <v>0.91999999999999993</v>
      </c>
      <c r="H23" s="21">
        <f t="shared" si="1"/>
        <v>-0.65500000000000003</v>
      </c>
      <c r="I23" s="22">
        <f t="shared" si="2"/>
        <v>-0.41587301587301589</v>
      </c>
      <c r="J23" s="22">
        <f t="shared" si="5"/>
        <v>1.2497268260166172E-2</v>
      </c>
      <c r="K23" s="107">
        <f t="shared" si="4"/>
        <v>1.241525703163587E-2</v>
      </c>
    </row>
    <row r="24" spans="1:11" x14ac:dyDescent="0.2">
      <c r="A24" s="106" t="s">
        <v>129</v>
      </c>
      <c r="B24" s="72">
        <f>IF($B$9="kWh",$B$4,$B$5)</f>
        <v>50</v>
      </c>
      <c r="C24" s="77">
        <f>VLOOKUP($B$3,'Data for Bill Impacts'!$A$3:$Y$15,14,0)</f>
        <v>2.0000000000000001E-4</v>
      </c>
      <c r="D24" s="21">
        <f>B24*C24</f>
        <v>0.01</v>
      </c>
      <c r="E24" s="72">
        <f t="shared" si="6"/>
        <v>50</v>
      </c>
      <c r="F24" s="77">
        <f>VLOOKUP($B$3,'Data for Bill Impacts'!$A$3:$Y$15,23,0)</f>
        <v>2.0000000000000001E-4</v>
      </c>
      <c r="G24" s="21">
        <f>E24*F24</f>
        <v>0.01</v>
      </c>
      <c r="H24" s="21">
        <f t="shared" si="1"/>
        <v>0</v>
      </c>
      <c r="I24" s="22">
        <f>IF(ISERROR(H24/D24),0,(H24/D24))</f>
        <v>0</v>
      </c>
      <c r="J24" s="22">
        <f t="shared" ref="J24" si="9">G24/$G$46</f>
        <v>1.3583987239311059E-4</v>
      </c>
      <c r="K24" s="107">
        <f t="shared" si="4"/>
        <v>1.3494844599604207E-4</v>
      </c>
    </row>
    <row r="25" spans="1:11" s="1" customFormat="1" x14ac:dyDescent="0.2">
      <c r="A25" s="109" t="s">
        <v>72</v>
      </c>
      <c r="B25" s="73"/>
      <c r="C25" s="34"/>
      <c r="D25" s="34">
        <f>SUM(D19:D24)</f>
        <v>56.984999999999999</v>
      </c>
      <c r="E25" s="72"/>
      <c r="F25" s="34"/>
      <c r="G25" s="34">
        <f>SUM(G19:G24)</f>
        <v>62.43</v>
      </c>
      <c r="H25" s="34">
        <f t="shared" si="1"/>
        <v>5.4450000000000003</v>
      </c>
      <c r="I25" s="35">
        <f t="shared" si="2"/>
        <v>9.5551460910765995E-2</v>
      </c>
      <c r="J25" s="35">
        <f>G25/$G$46</f>
        <v>0.84804832335018943</v>
      </c>
      <c r="K25" s="110">
        <f t="shared" si="4"/>
        <v>0.84248314835329075</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1.0731349919055737E-2</v>
      </c>
      <c r="K26" s="107">
        <f t="shared" si="4"/>
        <v>1.0660927233687325E-2</v>
      </c>
    </row>
    <row r="27" spans="1:11" s="1" customFormat="1" x14ac:dyDescent="0.2">
      <c r="A27" s="118" t="s">
        <v>75</v>
      </c>
      <c r="B27" s="119">
        <f>B8-B4</f>
        <v>5.2000000000000028</v>
      </c>
      <c r="C27" s="120">
        <f>IF(B4&gt;B7,C13,C12)</f>
        <v>0.10299999999999999</v>
      </c>
      <c r="D27" s="21">
        <f>B27*C27</f>
        <v>0.5356000000000003</v>
      </c>
      <c r="E27" s="72">
        <f>B27</f>
        <v>5.2000000000000028</v>
      </c>
      <c r="F27" s="120">
        <f>C27</f>
        <v>0.10299999999999999</v>
      </c>
      <c r="G27" s="21">
        <f>E27*F27</f>
        <v>0.5356000000000003</v>
      </c>
      <c r="H27" s="21">
        <f t="shared" si="1"/>
        <v>0</v>
      </c>
      <c r="I27" s="22">
        <f>IF(ISERROR(H27/D27),0,(H27/D27))</f>
        <v>0</v>
      </c>
      <c r="J27" s="22">
        <f t="shared" ref="J27:J46" si="10">G27/$G$46</f>
        <v>7.2755835653750068E-3</v>
      </c>
      <c r="K27" s="107">
        <f t="shared" ref="K27:K41" si="11">G27/$G$51</f>
        <v>7.2278387675480176E-3</v>
      </c>
    </row>
    <row r="28" spans="1:11" s="1" customFormat="1" x14ac:dyDescent="0.2">
      <c r="A28" s="118" t="s">
        <v>74</v>
      </c>
      <c r="B28" s="119">
        <f>B8-B4</f>
        <v>5.2000000000000028</v>
      </c>
      <c r="C28" s="120">
        <f>0.65*C15+0.17*C16+0.18*C17</f>
        <v>0.11139</v>
      </c>
      <c r="D28" s="21">
        <f>B28*C28</f>
        <v>0.5792280000000003</v>
      </c>
      <c r="E28" s="72">
        <f>B28</f>
        <v>5.2000000000000028</v>
      </c>
      <c r="F28" s="120">
        <f>C28</f>
        <v>0.11139</v>
      </c>
      <c r="G28" s="21">
        <f>E28*F28</f>
        <v>0.5792280000000003</v>
      </c>
      <c r="H28" s="21">
        <f t="shared" si="1"/>
        <v>0</v>
      </c>
      <c r="I28" s="22">
        <f>IF(ISERROR(H28/D28),0,(H28/D28))</f>
        <v>0</v>
      </c>
      <c r="J28" s="22">
        <f t="shared" si="10"/>
        <v>7.8682257606516696E-3</v>
      </c>
      <c r="K28" s="107">
        <f t="shared" si="11"/>
        <v>7.8165918477395499E-3</v>
      </c>
    </row>
    <row r="29" spans="1:11" s="1" customFormat="1" x14ac:dyDescent="0.2">
      <c r="A29" s="109" t="s">
        <v>78</v>
      </c>
      <c r="B29" s="73"/>
      <c r="C29" s="34"/>
      <c r="D29" s="34">
        <f>SUM(D25,D26:D27)</f>
        <v>58.310600000000001</v>
      </c>
      <c r="E29" s="72"/>
      <c r="F29" s="34"/>
      <c r="G29" s="34">
        <f>SUM(G25,G26:G27)</f>
        <v>63.755600000000001</v>
      </c>
      <c r="H29" s="34">
        <f t="shared" si="1"/>
        <v>5.4450000000000003</v>
      </c>
      <c r="I29" s="35">
        <f>IF(ISERROR(H29/D29),0,(H29/D29))</f>
        <v>9.3379248369936177E-2</v>
      </c>
      <c r="J29" s="35">
        <f t="shared" si="10"/>
        <v>0.86605525683462015</v>
      </c>
      <c r="K29" s="110">
        <f t="shared" si="11"/>
        <v>0.86037191435452609</v>
      </c>
    </row>
    <row r="30" spans="1:11" s="1" customFormat="1" x14ac:dyDescent="0.2">
      <c r="A30" s="109" t="s">
        <v>77</v>
      </c>
      <c r="B30" s="73"/>
      <c r="C30" s="34"/>
      <c r="D30" s="34">
        <f>SUM(D25,D26,D28)</f>
        <v>58.354227999999999</v>
      </c>
      <c r="E30" s="72"/>
      <c r="F30" s="34"/>
      <c r="G30" s="34">
        <f>SUM(G25,G26,G28)</f>
        <v>63.799227999999999</v>
      </c>
      <c r="H30" s="34">
        <f t="shared" si="1"/>
        <v>5.4450000000000003</v>
      </c>
      <c r="I30" s="35">
        <f>IF(ISERROR(H30/D30),0,(H30/D30))</f>
        <v>9.3309434236710329E-2</v>
      </c>
      <c r="J30" s="35">
        <f t="shared" si="10"/>
        <v>0.86664789902989681</v>
      </c>
      <c r="K30" s="110">
        <f t="shared" si="11"/>
        <v>0.86096066743471755</v>
      </c>
    </row>
    <row r="31" spans="1:11" x14ac:dyDescent="0.2">
      <c r="A31" s="106" t="s">
        <v>40</v>
      </c>
      <c r="B31" s="72">
        <f>B8</f>
        <v>55.2</v>
      </c>
      <c r="C31" s="125">
        <f>VLOOKUP($B$3,'Data for Bill Impacts'!$A$3:$Y$15,15,0)</f>
        <v>5.7999999999999996E-3</v>
      </c>
      <c r="D31" s="21">
        <f>B31*C31</f>
        <v>0.32016</v>
      </c>
      <c r="E31" s="72">
        <f t="shared" si="6"/>
        <v>55.2</v>
      </c>
      <c r="F31" s="77">
        <f>VLOOKUP($B$3,'Data for Bill Impacts'!$A$3:$Y$15,24,0)</f>
        <v>5.7999999999999996E-3</v>
      </c>
      <c r="G31" s="21">
        <f>E31*F31</f>
        <v>0.32016</v>
      </c>
      <c r="H31" s="21">
        <f t="shared" si="1"/>
        <v>0</v>
      </c>
      <c r="I31" s="22">
        <f t="shared" si="2"/>
        <v>0</v>
      </c>
      <c r="J31" s="22">
        <f t="shared" si="10"/>
        <v>4.3490493545378286E-3</v>
      </c>
      <c r="K31" s="107">
        <f t="shared" si="11"/>
        <v>4.320509447009283E-3</v>
      </c>
    </row>
    <row r="32" spans="1:11" x14ac:dyDescent="0.2">
      <c r="A32" s="106" t="s">
        <v>41</v>
      </c>
      <c r="B32" s="72">
        <f>B8</f>
        <v>55.2</v>
      </c>
      <c r="C32" s="125">
        <f>VLOOKUP($B$3,'Data for Bill Impacts'!$A$3:$Y$15,16,0)</f>
        <v>4.7000000000000002E-3</v>
      </c>
      <c r="D32" s="21">
        <f>B32*C32</f>
        <v>0.25944</v>
      </c>
      <c r="E32" s="72">
        <f t="shared" si="6"/>
        <v>55.2</v>
      </c>
      <c r="F32" s="77">
        <f>VLOOKUP($B$3,'Data for Bill Impacts'!$A$3:$Y$15,25,0)</f>
        <v>4.7000000000000002E-3</v>
      </c>
      <c r="G32" s="21">
        <f>E32*F32</f>
        <v>0.25944</v>
      </c>
      <c r="H32" s="21">
        <f t="shared" si="1"/>
        <v>0</v>
      </c>
      <c r="I32" s="22">
        <f t="shared" si="2"/>
        <v>0</v>
      </c>
      <c r="J32" s="22">
        <f t="shared" si="10"/>
        <v>3.5242296493668609E-3</v>
      </c>
      <c r="K32" s="107">
        <f t="shared" si="11"/>
        <v>3.5011024829213156E-3</v>
      </c>
    </row>
    <row r="33" spans="1:11" s="1" customFormat="1" x14ac:dyDescent="0.2">
      <c r="A33" s="109" t="s">
        <v>76</v>
      </c>
      <c r="B33" s="73"/>
      <c r="C33" s="34"/>
      <c r="D33" s="34">
        <f>SUM(D31:D32)</f>
        <v>0.5796</v>
      </c>
      <c r="E33" s="72"/>
      <c r="F33" s="34"/>
      <c r="G33" s="34">
        <f>SUM(G31:G32)</f>
        <v>0.5796</v>
      </c>
      <c r="H33" s="34">
        <f t="shared" si="1"/>
        <v>0</v>
      </c>
      <c r="I33" s="35">
        <f t="shared" si="2"/>
        <v>0</v>
      </c>
      <c r="J33" s="35">
        <f t="shared" si="10"/>
        <v>7.8732790039046895E-3</v>
      </c>
      <c r="K33" s="110">
        <f t="shared" si="11"/>
        <v>7.8216119299305987E-3</v>
      </c>
    </row>
    <row r="34" spans="1:11" s="1" customFormat="1" x14ac:dyDescent="0.2">
      <c r="A34" s="109" t="s">
        <v>93</v>
      </c>
      <c r="B34" s="73"/>
      <c r="C34" s="34"/>
      <c r="D34" s="34">
        <f>D29+D33</f>
        <v>58.8902</v>
      </c>
      <c r="E34" s="72"/>
      <c r="F34" s="34"/>
      <c r="G34" s="34">
        <f>G29+G33</f>
        <v>64.3352</v>
      </c>
      <c r="H34" s="34">
        <f t="shared" si="1"/>
        <v>5.4450000000000003</v>
      </c>
      <c r="I34" s="35">
        <f t="shared" si="2"/>
        <v>9.2460205602969595E-2</v>
      </c>
      <c r="J34" s="35">
        <f t="shared" si="10"/>
        <v>0.87392853583852481</v>
      </c>
      <c r="K34" s="110">
        <f t="shared" si="11"/>
        <v>0.86819352628445667</v>
      </c>
    </row>
    <row r="35" spans="1:11" s="1" customFormat="1" x14ac:dyDescent="0.2">
      <c r="A35" s="109" t="s">
        <v>94</v>
      </c>
      <c r="B35" s="73"/>
      <c r="C35" s="34"/>
      <c r="D35" s="34">
        <f>D30+D33</f>
        <v>58.933827999999998</v>
      </c>
      <c r="E35" s="72"/>
      <c r="F35" s="34"/>
      <c r="G35" s="34">
        <f>G30+G33</f>
        <v>64.378827999999999</v>
      </c>
      <c r="H35" s="34">
        <f t="shared" si="1"/>
        <v>5.4450000000000003</v>
      </c>
      <c r="I35" s="35">
        <f t="shared" si="2"/>
        <v>9.2391758431167925E-2</v>
      </c>
      <c r="J35" s="35">
        <f t="shared" si="10"/>
        <v>0.87452117803380147</v>
      </c>
      <c r="K35" s="110">
        <f t="shared" si="11"/>
        <v>0.86878227936464814</v>
      </c>
    </row>
    <row r="36" spans="1:11" x14ac:dyDescent="0.2">
      <c r="A36" s="106" t="s">
        <v>42</v>
      </c>
      <c r="B36" s="72">
        <f>B8</f>
        <v>55.2</v>
      </c>
      <c r="C36" s="33">
        <v>3.5999999999999999E-3</v>
      </c>
      <c r="D36" s="21">
        <f>B36*C36</f>
        <v>0.19872000000000001</v>
      </c>
      <c r="E36" s="72">
        <f t="shared" si="6"/>
        <v>55.2</v>
      </c>
      <c r="F36" s="33">
        <v>3.5999999999999999E-3</v>
      </c>
      <c r="G36" s="21">
        <f>E36*F36</f>
        <v>0.19872000000000001</v>
      </c>
      <c r="H36" s="21">
        <f t="shared" si="1"/>
        <v>0</v>
      </c>
      <c r="I36" s="22">
        <f t="shared" si="2"/>
        <v>0</v>
      </c>
      <c r="J36" s="22">
        <f t="shared" si="10"/>
        <v>2.6994099441958936E-3</v>
      </c>
      <c r="K36" s="107">
        <f t="shared" si="11"/>
        <v>2.6816955188333482E-3</v>
      </c>
    </row>
    <row r="37" spans="1:11" x14ac:dyDescent="0.2">
      <c r="A37" s="106" t="s">
        <v>43</v>
      </c>
      <c r="B37" s="72">
        <f>B8</f>
        <v>55.2</v>
      </c>
      <c r="C37" s="33">
        <v>2.0999999999999999E-3</v>
      </c>
      <c r="D37" s="21">
        <f>B37*C37</f>
        <v>0.11592</v>
      </c>
      <c r="E37" s="72">
        <f t="shared" si="6"/>
        <v>55.2</v>
      </c>
      <c r="F37" s="33">
        <v>2.0999999999999999E-3</v>
      </c>
      <c r="G37" s="21">
        <f>E37*F37</f>
        <v>0.11592</v>
      </c>
      <c r="H37" s="21">
        <f>G37-D37</f>
        <v>0</v>
      </c>
      <c r="I37" s="22">
        <f t="shared" si="2"/>
        <v>0</v>
      </c>
      <c r="J37" s="22">
        <f t="shared" si="10"/>
        <v>1.5746558007809378E-3</v>
      </c>
      <c r="K37" s="107">
        <f t="shared" si="11"/>
        <v>1.5643223859861197E-3</v>
      </c>
    </row>
    <row r="38" spans="1:11" x14ac:dyDescent="0.2">
      <c r="A38" s="106" t="s">
        <v>99</v>
      </c>
      <c r="B38" s="72">
        <f>B8</f>
        <v>55.2</v>
      </c>
      <c r="C38" s="33">
        <v>1.1000000000000001E-3</v>
      </c>
      <c r="D38" s="21">
        <f>B38*C38</f>
        <v>6.072000000000001E-2</v>
      </c>
      <c r="E38" s="72">
        <f t="shared" si="6"/>
        <v>55.2</v>
      </c>
      <c r="F38" s="33">
        <v>1.1000000000000001E-3</v>
      </c>
      <c r="G38" s="21">
        <f>E38*F38</f>
        <v>6.072000000000001E-2</v>
      </c>
      <c r="H38" s="21">
        <f>G38-D38</f>
        <v>0</v>
      </c>
      <c r="I38" s="22">
        <f t="shared" ref="I38" si="12">IF(ISERROR(H38/D38),0,(H38/D38))</f>
        <v>0</v>
      </c>
      <c r="J38" s="22">
        <f t="shared" ref="J38" si="13">G38/$G$46</f>
        <v>8.2481970517096759E-4</v>
      </c>
      <c r="K38" s="107">
        <f t="shared" ref="K38" si="14">G38/$G$51</f>
        <v>8.1940696408796762E-4</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3.3959968098277644E-3</v>
      </c>
      <c r="K39" s="107">
        <f t="shared" si="11"/>
        <v>3.3737111499010518E-3</v>
      </c>
    </row>
    <row r="40" spans="1:11" s="1" customFormat="1" x14ac:dyDescent="0.2">
      <c r="A40" s="109" t="s">
        <v>45</v>
      </c>
      <c r="B40" s="73"/>
      <c r="C40" s="34"/>
      <c r="D40" s="34">
        <f>SUM(D36:D39)</f>
        <v>0.62536000000000003</v>
      </c>
      <c r="E40" s="72"/>
      <c r="F40" s="34"/>
      <c r="G40" s="34">
        <f>SUM(G36:G39)</f>
        <v>0.62536000000000003</v>
      </c>
      <c r="H40" s="34">
        <f t="shared" si="1"/>
        <v>0</v>
      </c>
      <c r="I40" s="35">
        <f t="shared" si="2"/>
        <v>0</v>
      </c>
      <c r="J40" s="35">
        <f t="shared" si="10"/>
        <v>8.4948822599755641E-3</v>
      </c>
      <c r="K40" s="110">
        <f t="shared" si="11"/>
        <v>8.4391360188084876E-3</v>
      </c>
    </row>
    <row r="41" spans="1:11" s="1" customFormat="1" ht="13.5" thickBot="1" x14ac:dyDescent="0.25">
      <c r="A41" s="111" t="s">
        <v>46</v>
      </c>
      <c r="B41" s="112">
        <f>B4</f>
        <v>50</v>
      </c>
      <c r="C41" s="113">
        <v>0</v>
      </c>
      <c r="D41" s="114">
        <f>B41*C41</f>
        <v>0</v>
      </c>
      <c r="E41" s="115">
        <f t="shared" si="6"/>
        <v>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64.665559999999999</v>
      </c>
      <c r="E42" s="37"/>
      <c r="F42" s="38"/>
      <c r="G42" s="38">
        <f>SUM(G14,G25,G26,G27,G33,G40,G41)</f>
        <v>70.110560000000007</v>
      </c>
      <c r="H42" s="38">
        <f t="shared" si="1"/>
        <v>5.4450000000000074</v>
      </c>
      <c r="I42" s="39">
        <f>IF(ISERROR(H42/D42),0,(H42/D42))</f>
        <v>8.4202471918591718E-2</v>
      </c>
      <c r="J42" s="39">
        <f t="shared" si="10"/>
        <v>0.95238095238095244</v>
      </c>
      <c r="K42" s="40"/>
    </row>
    <row r="43" spans="1:11" x14ac:dyDescent="0.2">
      <c r="A43" s="143" t="s">
        <v>108</v>
      </c>
      <c r="B43" s="42"/>
      <c r="C43" s="25">
        <v>0.13</v>
      </c>
      <c r="D43" s="25">
        <f>D42*C43</f>
        <v>8.4065227999999994</v>
      </c>
      <c r="E43" s="25"/>
      <c r="F43" s="25">
        <f>C43</f>
        <v>0.13</v>
      </c>
      <c r="G43" s="25">
        <f>G42*F43</f>
        <v>9.1143728000000017</v>
      </c>
      <c r="H43" s="25">
        <f t="shared" si="1"/>
        <v>0.70785000000000231</v>
      </c>
      <c r="I43" s="43">
        <f t="shared" si="2"/>
        <v>8.4202471918591884E-2</v>
      </c>
      <c r="J43" s="43">
        <f t="shared" si="10"/>
        <v>0.12380952380952383</v>
      </c>
      <c r="K43" s="44"/>
    </row>
    <row r="44" spans="1:11" s="1" customFormat="1" x14ac:dyDescent="0.2">
      <c r="A44" s="45" t="s">
        <v>109</v>
      </c>
      <c r="B44" s="23"/>
      <c r="C44" s="24"/>
      <c r="D44" s="24">
        <f>SUM(D42:D43)</f>
        <v>73.072082800000004</v>
      </c>
      <c r="E44" s="24"/>
      <c r="F44" s="24"/>
      <c r="G44" s="24">
        <f>SUM(G42:G43)</f>
        <v>79.224932800000005</v>
      </c>
      <c r="H44" s="24">
        <f t="shared" si="1"/>
        <v>6.1528500000000008</v>
      </c>
      <c r="I44" s="26">
        <f t="shared" si="2"/>
        <v>8.4202471918591607E-2</v>
      </c>
      <c r="J44" s="26">
        <f t="shared" si="10"/>
        <v>1.0761904761904761</v>
      </c>
      <c r="K44" s="46"/>
    </row>
    <row r="45" spans="1:11" x14ac:dyDescent="0.2">
      <c r="A45" s="41" t="s">
        <v>110</v>
      </c>
      <c r="B45" s="42"/>
      <c r="C45" s="25">
        <v>-0.08</v>
      </c>
      <c r="D45" s="25">
        <f>D42*C45</f>
        <v>-5.1732448</v>
      </c>
      <c r="E45" s="25"/>
      <c r="F45" s="25">
        <f>C45</f>
        <v>-0.08</v>
      </c>
      <c r="G45" s="25">
        <f>G42*F45</f>
        <v>-5.6088448000000009</v>
      </c>
      <c r="H45" s="25">
        <f t="shared" si="1"/>
        <v>-0.43560000000000088</v>
      </c>
      <c r="I45" s="43">
        <f t="shared" si="2"/>
        <v>8.4202471918591759E-2</v>
      </c>
      <c r="J45" s="43">
        <f t="shared" si="10"/>
        <v>-7.6190476190476197E-2</v>
      </c>
      <c r="K45" s="44"/>
    </row>
    <row r="46" spans="1:11" s="1" customFormat="1" ht="13.5" thickBot="1" x14ac:dyDescent="0.25">
      <c r="A46" s="47" t="s">
        <v>111</v>
      </c>
      <c r="B46" s="48"/>
      <c r="C46" s="49"/>
      <c r="D46" s="49">
        <f>SUM(D44:D45)</f>
        <v>67.898837999999998</v>
      </c>
      <c r="E46" s="49"/>
      <c r="F46" s="49"/>
      <c r="G46" s="49">
        <f>SUM(G44:G45)</f>
        <v>73.616088000000005</v>
      </c>
      <c r="H46" s="49">
        <f t="shared" si="1"/>
        <v>5.717250000000007</v>
      </c>
      <c r="I46" s="50">
        <f t="shared" si="2"/>
        <v>8.4202471918591704E-2</v>
      </c>
      <c r="J46" s="50">
        <f t="shared" si="10"/>
        <v>1</v>
      </c>
      <c r="K46" s="51"/>
    </row>
    <row r="47" spans="1:11" x14ac:dyDescent="0.2">
      <c r="A47" s="52" t="s">
        <v>112</v>
      </c>
      <c r="B47" s="53"/>
      <c r="C47" s="54"/>
      <c r="D47" s="54">
        <f>SUM(D18,D25,D26,D28,D33,D40,D41)</f>
        <v>65.128687999999997</v>
      </c>
      <c r="E47" s="54"/>
      <c r="F47" s="54"/>
      <c r="G47" s="54">
        <f>SUM(G18,G25,G26,G28,G33,G40,G41)</f>
        <v>70.573688000000004</v>
      </c>
      <c r="H47" s="54">
        <f>G47-D47</f>
        <v>5.4450000000000074</v>
      </c>
      <c r="I47" s="55">
        <f>IF(ISERROR(H47/D47),0,(H47/D47))</f>
        <v>8.3603710856266708E-2</v>
      </c>
      <c r="J47" s="55"/>
      <c r="K47" s="56">
        <f>G47/$G$51</f>
        <v>0.95238095238095233</v>
      </c>
    </row>
    <row r="48" spans="1:11" x14ac:dyDescent="0.2">
      <c r="A48" s="57" t="s">
        <v>108</v>
      </c>
      <c r="B48" s="58"/>
      <c r="C48" s="30">
        <v>0.13</v>
      </c>
      <c r="D48" s="30">
        <f>D47*C48</f>
        <v>8.4667294399999999</v>
      </c>
      <c r="E48" s="30"/>
      <c r="F48" s="30">
        <f>C48</f>
        <v>0.13</v>
      </c>
      <c r="G48" s="30">
        <f>G47*F48</f>
        <v>9.1745794400000005</v>
      </c>
      <c r="H48" s="30">
        <f>G48-D48</f>
        <v>0.70785000000000053</v>
      </c>
      <c r="I48" s="31">
        <f>IF(ISERROR(H48/D48),0,(H48/D48))</f>
        <v>8.3603710856266666E-2</v>
      </c>
      <c r="J48" s="31"/>
      <c r="K48" s="59">
        <f>G48/$G$51</f>
        <v>0.1238095238095238</v>
      </c>
    </row>
    <row r="49" spans="1:11" x14ac:dyDescent="0.2">
      <c r="A49" s="60" t="s">
        <v>113</v>
      </c>
      <c r="B49" s="28"/>
      <c r="C49" s="29"/>
      <c r="D49" s="29">
        <f>SUM(D47:D48)</f>
        <v>73.595417439999991</v>
      </c>
      <c r="E49" s="29"/>
      <c r="F49" s="29"/>
      <c r="G49" s="29">
        <f>SUM(G47:G48)</f>
        <v>79.748267440000006</v>
      </c>
      <c r="H49" s="29">
        <f>G49-D49</f>
        <v>6.152850000000015</v>
      </c>
      <c r="I49" s="32">
        <f>IF(ISERROR(H49/D49),0,(H49/D49))</f>
        <v>8.3603710856266805E-2</v>
      </c>
      <c r="J49" s="32"/>
      <c r="K49" s="61">
        <f>G49/$G$51</f>
        <v>1.0761904761904761</v>
      </c>
    </row>
    <row r="50" spans="1:11" x14ac:dyDescent="0.2">
      <c r="A50" s="57" t="s">
        <v>110</v>
      </c>
      <c r="B50" s="58"/>
      <c r="C50" s="30">
        <v>-0.08</v>
      </c>
      <c r="D50" s="30">
        <f>D47*C50</f>
        <v>-5.2102950400000001</v>
      </c>
      <c r="E50" s="30"/>
      <c r="F50" s="30">
        <f>C50</f>
        <v>-0.08</v>
      </c>
      <c r="G50" s="30">
        <f>G47*F50</f>
        <v>-5.6458950400000001</v>
      </c>
      <c r="H50" s="30">
        <f>G50-D50</f>
        <v>-0.43559999999999999</v>
      </c>
      <c r="I50" s="31">
        <f>IF(ISERROR(H50/D50),0,(H50/D50))</f>
        <v>8.3603710856266597E-2</v>
      </c>
      <c r="J50" s="31"/>
      <c r="K50" s="59">
        <f>G50/$G$51</f>
        <v>-7.6190476190476183E-2</v>
      </c>
    </row>
    <row r="51" spans="1:11" ht="13.5" thickBot="1" x14ac:dyDescent="0.25">
      <c r="A51" s="62" t="s">
        <v>114</v>
      </c>
      <c r="B51" s="63"/>
      <c r="C51" s="64"/>
      <c r="D51" s="64">
        <f>SUM(D49:D50)</f>
        <v>68.385122399999986</v>
      </c>
      <c r="E51" s="64"/>
      <c r="F51" s="64"/>
      <c r="G51" s="64">
        <f>SUM(G49:G50)</f>
        <v>74.102372400000007</v>
      </c>
      <c r="H51" s="64">
        <f>G51-D51</f>
        <v>5.7172500000000213</v>
      </c>
      <c r="I51" s="65">
        <f>IF(ISERROR(H51/D51),0,(H51/D51))</f>
        <v>8.360371085626693E-2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3</v>
      </c>
    </row>
    <row r="4" spans="1:11" x14ac:dyDescent="0.2">
      <c r="A4" s="14" t="s">
        <v>62</v>
      </c>
      <c r="B4" s="14">
        <v>350</v>
      </c>
    </row>
    <row r="5" spans="1:11" x14ac:dyDescent="0.2">
      <c r="A5" s="14" t="s">
        <v>16</v>
      </c>
      <c r="B5" s="14">
        <f>VLOOKUP($B$3,'Data for Bill Impacts'!$A$3:$Y$15,5,0)</f>
        <v>0</v>
      </c>
    </row>
    <row r="6" spans="1:11" x14ac:dyDescent="0.2">
      <c r="A6" s="14" t="s">
        <v>20</v>
      </c>
      <c r="B6" s="14">
        <f>VLOOKUP($B$3,'Data for Bill Impacts'!$A$3:$Y$15,2,0)</f>
        <v>1.1040000000000001</v>
      </c>
    </row>
    <row r="7" spans="1:11" x14ac:dyDescent="0.2">
      <c r="A7" s="14" t="s">
        <v>15</v>
      </c>
      <c r="B7" s="14">
        <f>VLOOKUP($B$3,'Data for Bill Impacts'!$A$3:$Y$15,4,0)</f>
        <v>600</v>
      </c>
    </row>
    <row r="8" spans="1:11" x14ac:dyDescent="0.2">
      <c r="A8" s="14" t="s">
        <v>82</v>
      </c>
      <c r="B8" s="149">
        <f>B4*B6</f>
        <v>386.40000000000003</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350</v>
      </c>
      <c r="C12" s="102">
        <v>0.10299999999999999</v>
      </c>
      <c r="D12" s="103">
        <f>B12*C12</f>
        <v>36.049999999999997</v>
      </c>
      <c r="E12" s="101">
        <f>B12</f>
        <v>350</v>
      </c>
      <c r="F12" s="102">
        <f>C12</f>
        <v>0.10299999999999999</v>
      </c>
      <c r="G12" s="103">
        <f>E12*F12</f>
        <v>36.049999999999997</v>
      </c>
      <c r="H12" s="103">
        <f>G12-D12</f>
        <v>0</v>
      </c>
      <c r="I12" s="104">
        <f>IF(ISERROR(H12/D12),0,(H12/D12))</f>
        <v>0</v>
      </c>
      <c r="J12" s="104">
        <f>G12/$G$46</f>
        <v>0.29717102417483399</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36.049999999999997</v>
      </c>
      <c r="E14" s="75"/>
      <c r="F14" s="24"/>
      <c r="G14" s="24">
        <f>SUM(G12:G13)</f>
        <v>36.049999999999997</v>
      </c>
      <c r="H14" s="24">
        <f t="shared" si="1"/>
        <v>0</v>
      </c>
      <c r="I14" s="26">
        <f t="shared" si="2"/>
        <v>0</v>
      </c>
      <c r="J14" s="26">
        <f>G14/$G$46</f>
        <v>0.29717102417483399</v>
      </c>
      <c r="K14" s="107"/>
    </row>
    <row r="15" spans="1:11" s="1" customFormat="1" x14ac:dyDescent="0.2">
      <c r="A15" s="108" t="s">
        <v>34</v>
      </c>
      <c r="B15" s="74">
        <f>B4*0.65</f>
        <v>227.5</v>
      </c>
      <c r="C15" s="27">
        <v>8.6999999999999994E-2</v>
      </c>
      <c r="D15" s="21">
        <f>B15*C15</f>
        <v>19.792499999999997</v>
      </c>
      <c r="E15" s="72">
        <f t="shared" ref="E15:F17" si="3">B15</f>
        <v>227.5</v>
      </c>
      <c r="F15" s="27">
        <f t="shared" si="3"/>
        <v>8.6999999999999994E-2</v>
      </c>
      <c r="G15" s="21">
        <f>E15*F15</f>
        <v>19.792499999999997</v>
      </c>
      <c r="H15" s="21">
        <f t="shared" si="1"/>
        <v>0</v>
      </c>
      <c r="I15" s="22">
        <f t="shared" si="2"/>
        <v>0</v>
      </c>
      <c r="J15" s="22"/>
      <c r="K15" s="107">
        <f t="shared" ref="K15:K26" si="4">G15/$G$51</f>
        <v>0.15870234055053764</v>
      </c>
    </row>
    <row r="16" spans="1:11" s="1" customFormat="1" x14ac:dyDescent="0.2">
      <c r="A16" s="108" t="s">
        <v>35</v>
      </c>
      <c r="B16" s="74">
        <f>B4*0.17</f>
        <v>59.500000000000007</v>
      </c>
      <c r="C16" s="27">
        <v>0.13200000000000001</v>
      </c>
      <c r="D16" s="21">
        <f>B16*C16</f>
        <v>7.854000000000001</v>
      </c>
      <c r="E16" s="72">
        <f t="shared" si="3"/>
        <v>59.500000000000007</v>
      </c>
      <c r="F16" s="27">
        <f t="shared" si="3"/>
        <v>0.13200000000000001</v>
      </c>
      <c r="G16" s="21">
        <f>E16*F16</f>
        <v>7.854000000000001</v>
      </c>
      <c r="H16" s="21">
        <f t="shared" si="1"/>
        <v>0</v>
      </c>
      <c r="I16" s="22">
        <f t="shared" si="2"/>
        <v>0</v>
      </c>
      <c r="J16" s="22"/>
      <c r="K16" s="107">
        <f t="shared" si="4"/>
        <v>6.2975782881592668E-2</v>
      </c>
    </row>
    <row r="17" spans="1:11" s="1" customFormat="1" x14ac:dyDescent="0.2">
      <c r="A17" s="108" t="s">
        <v>36</v>
      </c>
      <c r="B17" s="74">
        <f>B4*0.18</f>
        <v>63</v>
      </c>
      <c r="C17" s="27">
        <v>0.18</v>
      </c>
      <c r="D17" s="21">
        <f>B17*C17</f>
        <v>11.34</v>
      </c>
      <c r="E17" s="72">
        <f t="shared" si="3"/>
        <v>63</v>
      </c>
      <c r="F17" s="27">
        <f t="shared" si="3"/>
        <v>0.18</v>
      </c>
      <c r="G17" s="21">
        <f>E17*F17</f>
        <v>11.34</v>
      </c>
      <c r="H17" s="21">
        <f t="shared" si="1"/>
        <v>0</v>
      </c>
      <c r="I17" s="22">
        <f t="shared" si="2"/>
        <v>0</v>
      </c>
      <c r="J17" s="22"/>
      <c r="K17" s="107">
        <f t="shared" si="4"/>
        <v>9.0927600952032187E-2</v>
      </c>
    </row>
    <row r="18" spans="1:11" s="1" customFormat="1" x14ac:dyDescent="0.2">
      <c r="A18" s="60" t="s">
        <v>37</v>
      </c>
      <c r="B18" s="28"/>
      <c r="C18" s="29"/>
      <c r="D18" s="29">
        <f>SUM(D15:D17)</f>
        <v>38.986499999999992</v>
      </c>
      <c r="E18" s="76"/>
      <c r="F18" s="29"/>
      <c r="G18" s="29">
        <f>SUM(G15:G17)</f>
        <v>38.986499999999992</v>
      </c>
      <c r="H18" s="30">
        <f t="shared" si="1"/>
        <v>0</v>
      </c>
      <c r="I18" s="31">
        <f t="shared" si="2"/>
        <v>0</v>
      </c>
      <c r="J18" s="32">
        <f t="shared" ref="J18:J23" si="5">G18/$G$46</f>
        <v>0.32137747944499762</v>
      </c>
      <c r="K18" s="61">
        <f t="shared" si="4"/>
        <v>0.31260572438416245</v>
      </c>
    </row>
    <row r="19" spans="1:11" x14ac:dyDescent="0.2">
      <c r="A19" s="106" t="s">
        <v>38</v>
      </c>
      <c r="B19" s="72">
        <v>1</v>
      </c>
      <c r="C19" s="77">
        <f>VLOOKUP($B$3,'Data for Bill Impacts'!$A$3:$Y$15,7,0)</f>
        <v>55.4</v>
      </c>
      <c r="D19" s="21">
        <f>B19*C19</f>
        <v>55.4</v>
      </c>
      <c r="E19" s="72">
        <f t="shared" ref="E19:E41" si="6">B19</f>
        <v>1</v>
      </c>
      <c r="F19" s="77">
        <f>VLOOKUP($B$3,'Data for Bill Impacts'!$A$3:$Y$15,17,0)</f>
        <v>61.5</v>
      </c>
      <c r="G19" s="21">
        <f>E19*F19</f>
        <v>61.5</v>
      </c>
      <c r="H19" s="21">
        <f t="shared" si="1"/>
        <v>6.1000000000000014</v>
      </c>
      <c r="I19" s="22">
        <f t="shared" si="2"/>
        <v>0.1101083032490975</v>
      </c>
      <c r="J19" s="22">
        <f t="shared" si="5"/>
        <v>0.50696305095013294</v>
      </c>
      <c r="K19" s="107">
        <f t="shared" si="4"/>
        <v>0.49312587817901055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350</v>
      </c>
      <c r="C23" s="77">
        <f>VLOOKUP($B$3,'Data for Bill Impacts'!$A$3:$Y$15,10,0)</f>
        <v>3.15E-2</v>
      </c>
      <c r="D23" s="21">
        <f>B23*C23</f>
        <v>11.025</v>
      </c>
      <c r="E23" s="72">
        <f t="shared" si="6"/>
        <v>350</v>
      </c>
      <c r="F23" s="77">
        <f>VLOOKUP($B$3,'Data for Bill Impacts'!$A$3:$Y$15,19,0)</f>
        <v>1.84E-2</v>
      </c>
      <c r="G23" s="21">
        <f>E23*F23</f>
        <v>6.4399999999999995</v>
      </c>
      <c r="H23" s="21">
        <f t="shared" si="1"/>
        <v>-4.5850000000000009</v>
      </c>
      <c r="I23" s="22">
        <f t="shared" si="2"/>
        <v>-0.41587301587301595</v>
      </c>
      <c r="J23" s="22">
        <f t="shared" si="5"/>
        <v>5.3086862571038305E-2</v>
      </c>
      <c r="K23" s="107">
        <f t="shared" si="4"/>
        <v>5.1637896836956548E-2</v>
      </c>
    </row>
    <row r="24" spans="1:11" x14ac:dyDescent="0.2">
      <c r="A24" s="106" t="s">
        <v>129</v>
      </c>
      <c r="B24" s="72">
        <f>IF($B$9="kWh",$B$4,$B$5)</f>
        <v>350</v>
      </c>
      <c r="C24" s="77">
        <f>VLOOKUP($B$3,'Data for Bill Impacts'!$A$3:$Y$15,14,0)</f>
        <v>2.0000000000000001E-4</v>
      </c>
      <c r="D24" s="21">
        <f>B24*C24</f>
        <v>7.0000000000000007E-2</v>
      </c>
      <c r="E24" s="72">
        <f t="shared" si="6"/>
        <v>350</v>
      </c>
      <c r="F24" s="77">
        <f>VLOOKUP($B$3,'Data for Bill Impacts'!$A$3:$Y$15,23,0)</f>
        <v>2.0000000000000001E-4</v>
      </c>
      <c r="G24" s="21">
        <f>E24*F24</f>
        <v>7.0000000000000007E-2</v>
      </c>
      <c r="H24" s="21">
        <f t="shared" si="1"/>
        <v>0</v>
      </c>
      <c r="I24" s="22">
        <f>IF(ISERROR(H24/D24),0,(H24/D24))</f>
        <v>0</v>
      </c>
      <c r="J24" s="22">
        <f t="shared" ref="J24" si="9">G24/$G$46</f>
        <v>5.7703111490259036E-4</v>
      </c>
      <c r="K24" s="107">
        <f t="shared" si="4"/>
        <v>5.6128148735822339E-4</v>
      </c>
    </row>
    <row r="25" spans="1:11" s="1" customFormat="1" x14ac:dyDescent="0.2">
      <c r="A25" s="109" t="s">
        <v>72</v>
      </c>
      <c r="B25" s="73"/>
      <c r="C25" s="34"/>
      <c r="D25" s="34">
        <f>SUM(D19:D24)</f>
        <v>66.49499999999999</v>
      </c>
      <c r="E25" s="72"/>
      <c r="F25" s="34"/>
      <c r="G25" s="34">
        <f>SUM(G19:G24)</f>
        <v>68.009999999999991</v>
      </c>
      <c r="H25" s="34">
        <f t="shared" si="1"/>
        <v>1.5150000000000006</v>
      </c>
      <c r="I25" s="35">
        <f t="shared" si="2"/>
        <v>2.2783667944958279E-2</v>
      </c>
      <c r="J25" s="35">
        <f>G25/$G$46</f>
        <v>0.56062694463607377</v>
      </c>
      <c r="K25" s="110">
        <f t="shared" si="4"/>
        <v>0.5453250565033253</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6.5122082967578052E-3</v>
      </c>
      <c r="K26" s="107">
        <f t="shared" si="4"/>
        <v>6.3344625001856645E-3</v>
      </c>
    </row>
    <row r="27" spans="1:11" s="1" customFormat="1" x14ac:dyDescent="0.2">
      <c r="A27" s="118" t="s">
        <v>75</v>
      </c>
      <c r="B27" s="119">
        <f>B8-B4</f>
        <v>36.400000000000034</v>
      </c>
      <c r="C27" s="120">
        <f>IF(B4&gt;B7,C13,C12)</f>
        <v>0.10299999999999999</v>
      </c>
      <c r="D27" s="21">
        <f>B27*C27</f>
        <v>3.7492000000000032</v>
      </c>
      <c r="E27" s="72">
        <f>B27</f>
        <v>36.400000000000034</v>
      </c>
      <c r="F27" s="120">
        <f>C27</f>
        <v>0.10299999999999999</v>
      </c>
      <c r="G27" s="21">
        <f>E27*F27</f>
        <v>3.7492000000000032</v>
      </c>
      <c r="H27" s="21">
        <f t="shared" si="1"/>
        <v>0</v>
      </c>
      <c r="I27" s="22">
        <f>IF(ISERROR(H27/D27),0,(H27/D27))</f>
        <v>0</v>
      </c>
      <c r="J27" s="22">
        <f t="shared" ref="J27:J46" si="10">G27/$G$46</f>
        <v>3.0905786514182763E-2</v>
      </c>
      <c r="K27" s="107">
        <f t="shared" ref="K27:K41" si="11">G27/$G$51</f>
        <v>3.0062236462906469E-2</v>
      </c>
    </row>
    <row r="28" spans="1:11" s="1" customFormat="1" x14ac:dyDescent="0.2">
      <c r="A28" s="118" t="s">
        <v>74</v>
      </c>
      <c r="B28" s="119">
        <f>B8-B4</f>
        <v>36.400000000000034</v>
      </c>
      <c r="C28" s="120">
        <f>0.65*C15+0.17*C16+0.18*C17</f>
        <v>0.11139</v>
      </c>
      <c r="D28" s="21">
        <f>B28*C28</f>
        <v>4.0545960000000036</v>
      </c>
      <c r="E28" s="72">
        <f>B28</f>
        <v>36.400000000000034</v>
      </c>
      <c r="F28" s="120">
        <f>C28</f>
        <v>0.11139</v>
      </c>
      <c r="G28" s="21">
        <f>E28*F28</f>
        <v>4.0545960000000036</v>
      </c>
      <c r="H28" s="21">
        <f t="shared" si="1"/>
        <v>0</v>
      </c>
      <c r="I28" s="22">
        <f>IF(ISERROR(H28/D28),0,(H28/D28))</f>
        <v>0</v>
      </c>
      <c r="J28" s="22">
        <f t="shared" si="10"/>
        <v>3.3423257862279787E-2</v>
      </c>
      <c r="K28" s="107">
        <f t="shared" si="11"/>
        <v>3.2510995335952933E-2</v>
      </c>
    </row>
    <row r="29" spans="1:11" s="1" customFormat="1" x14ac:dyDescent="0.2">
      <c r="A29" s="109" t="s">
        <v>78</v>
      </c>
      <c r="B29" s="73"/>
      <c r="C29" s="34"/>
      <c r="D29" s="34">
        <f>SUM(D25,D26:D27)</f>
        <v>71.034199999999998</v>
      </c>
      <c r="E29" s="72"/>
      <c r="F29" s="34"/>
      <c r="G29" s="34">
        <f>SUM(G25,G26:G27)</f>
        <v>72.549199999999999</v>
      </c>
      <c r="H29" s="34">
        <f t="shared" si="1"/>
        <v>1.5150000000000006</v>
      </c>
      <c r="I29" s="35">
        <f>IF(ISERROR(H29/D29),0,(H29/D29))</f>
        <v>2.1327754799800668E-2</v>
      </c>
      <c r="J29" s="35">
        <f t="shared" si="10"/>
        <v>0.59804493944701431</v>
      </c>
      <c r="K29" s="110">
        <f t="shared" si="11"/>
        <v>0.58172175546641747</v>
      </c>
    </row>
    <row r="30" spans="1:11" s="1" customFormat="1" x14ac:dyDescent="0.2">
      <c r="A30" s="109" t="s">
        <v>77</v>
      </c>
      <c r="B30" s="73"/>
      <c r="C30" s="34"/>
      <c r="D30" s="34">
        <f>SUM(D25,D26,D28)</f>
        <v>71.339596</v>
      </c>
      <c r="E30" s="72"/>
      <c r="F30" s="34"/>
      <c r="G30" s="34">
        <f>SUM(G25,G26,G28)</f>
        <v>72.854596000000001</v>
      </c>
      <c r="H30" s="34">
        <f t="shared" si="1"/>
        <v>1.5150000000000006</v>
      </c>
      <c r="I30" s="35">
        <f>IF(ISERROR(H30/D30),0,(H30/D30))</f>
        <v>2.123645331549117E-2</v>
      </c>
      <c r="J30" s="35">
        <f t="shared" si="10"/>
        <v>0.60056241079511141</v>
      </c>
      <c r="K30" s="110">
        <f t="shared" si="11"/>
        <v>0.58417051433946388</v>
      </c>
    </row>
    <row r="31" spans="1:11" x14ac:dyDescent="0.2">
      <c r="A31" s="106" t="s">
        <v>40</v>
      </c>
      <c r="B31" s="72">
        <f>B8</f>
        <v>386.40000000000003</v>
      </c>
      <c r="C31" s="125">
        <f>VLOOKUP($B$3,'Data for Bill Impacts'!$A$3:$Y$15,15,0)</f>
        <v>5.7999999999999996E-3</v>
      </c>
      <c r="D31" s="21">
        <f>B31*C31</f>
        <v>2.24112</v>
      </c>
      <c r="E31" s="72">
        <f t="shared" si="6"/>
        <v>386.40000000000003</v>
      </c>
      <c r="F31" s="77">
        <f>VLOOKUP($B$3,'Data for Bill Impacts'!$A$3:$Y$15,24,0)</f>
        <v>5.7999999999999996E-3</v>
      </c>
      <c r="G31" s="21">
        <f>E31*F31</f>
        <v>2.24112</v>
      </c>
      <c r="H31" s="21">
        <f t="shared" si="1"/>
        <v>0</v>
      </c>
      <c r="I31" s="22">
        <f t="shared" si="2"/>
        <v>0</v>
      </c>
      <c r="J31" s="22">
        <f t="shared" si="10"/>
        <v>1.847422817472133E-2</v>
      </c>
      <c r="K31" s="107">
        <f t="shared" si="11"/>
        <v>1.796998809926088E-2</v>
      </c>
    </row>
    <row r="32" spans="1:11" x14ac:dyDescent="0.2">
      <c r="A32" s="106" t="s">
        <v>41</v>
      </c>
      <c r="B32" s="72">
        <f>B8</f>
        <v>386.40000000000003</v>
      </c>
      <c r="C32" s="125">
        <f>VLOOKUP($B$3,'Data for Bill Impacts'!$A$3:$Y$15,16,0)</f>
        <v>4.7000000000000002E-3</v>
      </c>
      <c r="D32" s="21">
        <f>B32*C32</f>
        <v>1.8160800000000001</v>
      </c>
      <c r="E32" s="72">
        <f t="shared" si="6"/>
        <v>386.40000000000003</v>
      </c>
      <c r="F32" s="77">
        <f>VLOOKUP($B$3,'Data for Bill Impacts'!$A$3:$Y$15,25,0)</f>
        <v>4.7000000000000002E-3</v>
      </c>
      <c r="G32" s="21">
        <f>E32*F32</f>
        <v>1.8160800000000001</v>
      </c>
      <c r="H32" s="21">
        <f t="shared" si="1"/>
        <v>0</v>
      </c>
      <c r="I32" s="22">
        <f t="shared" si="2"/>
        <v>0</v>
      </c>
      <c r="J32" s="22">
        <f t="shared" si="10"/>
        <v>1.4970495245032803E-2</v>
      </c>
      <c r="K32" s="107">
        <f t="shared" si="11"/>
        <v>1.4561886908021749E-2</v>
      </c>
    </row>
    <row r="33" spans="1:11" s="1" customFormat="1" x14ac:dyDescent="0.2">
      <c r="A33" s="109" t="s">
        <v>76</v>
      </c>
      <c r="B33" s="73"/>
      <c r="C33" s="34"/>
      <c r="D33" s="34">
        <f>SUM(D31:D32)</f>
        <v>4.0571999999999999</v>
      </c>
      <c r="E33" s="72"/>
      <c r="F33" s="34"/>
      <c r="G33" s="34">
        <f>SUM(G31:G32)</f>
        <v>4.0571999999999999</v>
      </c>
      <c r="H33" s="34">
        <f t="shared" si="1"/>
        <v>0</v>
      </c>
      <c r="I33" s="35">
        <f t="shared" si="2"/>
        <v>0</v>
      </c>
      <c r="J33" s="35">
        <f t="shared" si="10"/>
        <v>3.3444723419754137E-2</v>
      </c>
      <c r="K33" s="110">
        <f t="shared" si="11"/>
        <v>3.2531875007282628E-2</v>
      </c>
    </row>
    <row r="34" spans="1:11" s="1" customFormat="1" x14ac:dyDescent="0.2">
      <c r="A34" s="109" t="s">
        <v>93</v>
      </c>
      <c r="B34" s="73"/>
      <c r="C34" s="34"/>
      <c r="D34" s="34">
        <f>D29+D33</f>
        <v>75.091399999999993</v>
      </c>
      <c r="E34" s="72"/>
      <c r="F34" s="34"/>
      <c r="G34" s="34">
        <f>G29+G33</f>
        <v>76.606399999999994</v>
      </c>
      <c r="H34" s="34">
        <f t="shared" si="1"/>
        <v>1.5150000000000006</v>
      </c>
      <c r="I34" s="35">
        <f t="shared" si="2"/>
        <v>2.0175412896816423E-2</v>
      </c>
      <c r="J34" s="35">
        <f t="shared" si="10"/>
        <v>0.63148966286676844</v>
      </c>
      <c r="K34" s="110">
        <f t="shared" si="11"/>
        <v>0.61425363047369996</v>
      </c>
    </row>
    <row r="35" spans="1:11" s="1" customFormat="1" x14ac:dyDescent="0.2">
      <c r="A35" s="109" t="s">
        <v>94</v>
      </c>
      <c r="B35" s="73"/>
      <c r="C35" s="34"/>
      <c r="D35" s="34">
        <f>D30+D33</f>
        <v>75.396795999999995</v>
      </c>
      <c r="E35" s="72"/>
      <c r="F35" s="34"/>
      <c r="G35" s="34">
        <f>G30+G33</f>
        <v>76.911795999999995</v>
      </c>
      <c r="H35" s="34">
        <f t="shared" si="1"/>
        <v>1.5150000000000006</v>
      </c>
      <c r="I35" s="35">
        <f t="shared" si="2"/>
        <v>2.0093692044951098E-2</v>
      </c>
      <c r="J35" s="35">
        <f t="shared" si="10"/>
        <v>0.63400713421486543</v>
      </c>
      <c r="K35" s="110">
        <f t="shared" si="11"/>
        <v>0.61670238934674648</v>
      </c>
    </row>
    <row r="36" spans="1:11" x14ac:dyDescent="0.2">
      <c r="A36" s="106" t="s">
        <v>42</v>
      </c>
      <c r="B36" s="72">
        <f>B8</f>
        <v>386.40000000000003</v>
      </c>
      <c r="C36" s="33">
        <v>3.5999999999999999E-3</v>
      </c>
      <c r="D36" s="21">
        <f>B36*C36</f>
        <v>1.3910400000000001</v>
      </c>
      <c r="E36" s="72">
        <f t="shared" si="6"/>
        <v>386.40000000000003</v>
      </c>
      <c r="F36" s="33">
        <v>3.5999999999999999E-3</v>
      </c>
      <c r="G36" s="21">
        <f>E36*F36</f>
        <v>1.3910400000000001</v>
      </c>
      <c r="H36" s="21">
        <f t="shared" si="1"/>
        <v>0</v>
      </c>
      <c r="I36" s="22">
        <f t="shared" si="2"/>
        <v>0</v>
      </c>
      <c r="J36" s="22">
        <f t="shared" si="10"/>
        <v>1.1466762315344275E-2</v>
      </c>
      <c r="K36" s="107">
        <f t="shared" si="11"/>
        <v>1.1153785716782615E-2</v>
      </c>
    </row>
    <row r="37" spans="1:11" x14ac:dyDescent="0.2">
      <c r="A37" s="106" t="s">
        <v>43</v>
      </c>
      <c r="B37" s="72">
        <f>B8</f>
        <v>386.40000000000003</v>
      </c>
      <c r="C37" s="33">
        <v>2.0999999999999999E-3</v>
      </c>
      <c r="D37" s="21">
        <f>B37*C37</f>
        <v>0.81144000000000005</v>
      </c>
      <c r="E37" s="72">
        <f t="shared" si="6"/>
        <v>386.40000000000003</v>
      </c>
      <c r="F37" s="33">
        <v>2.0999999999999999E-3</v>
      </c>
      <c r="G37" s="21">
        <f>E37*F37</f>
        <v>0.81144000000000005</v>
      </c>
      <c r="H37" s="21">
        <f>G37-D37</f>
        <v>0</v>
      </c>
      <c r="I37" s="22">
        <f t="shared" si="2"/>
        <v>0</v>
      </c>
      <c r="J37" s="22">
        <f t="shared" si="10"/>
        <v>6.688944683950827E-3</v>
      </c>
      <c r="K37" s="107">
        <f t="shared" si="11"/>
        <v>6.5063750014565259E-3</v>
      </c>
    </row>
    <row r="38" spans="1:11" x14ac:dyDescent="0.2">
      <c r="A38" s="106" t="s">
        <v>99</v>
      </c>
      <c r="B38" s="72">
        <f>B8</f>
        <v>386.40000000000003</v>
      </c>
      <c r="C38" s="33">
        <v>1.1000000000000001E-3</v>
      </c>
      <c r="D38" s="21">
        <f>B38*C38</f>
        <v>0.42504000000000008</v>
      </c>
      <c r="E38" s="72">
        <f t="shared" si="6"/>
        <v>386.40000000000003</v>
      </c>
      <c r="F38" s="33">
        <v>1.1000000000000001E-3</v>
      </c>
      <c r="G38" s="21">
        <f>E38*F38</f>
        <v>0.42504000000000008</v>
      </c>
      <c r="H38" s="21">
        <f>G38-D38</f>
        <v>0</v>
      </c>
      <c r="I38" s="22">
        <f t="shared" ref="I38" si="12">IF(ISERROR(H38/D38),0,(H38/D38))</f>
        <v>0</v>
      </c>
      <c r="J38" s="22">
        <f t="shared" ref="J38" si="13">G38/$G$46</f>
        <v>3.5037329296885291E-3</v>
      </c>
      <c r="K38" s="107">
        <f t="shared" ref="K38" si="14">G38/$G$51</f>
        <v>3.4081011912391332E-3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2.0608254103663941E-3</v>
      </c>
      <c r="K39" s="107">
        <f t="shared" si="11"/>
        <v>2.0045767405650837E-3</v>
      </c>
    </row>
    <row r="40" spans="1:11" s="1" customFormat="1" x14ac:dyDescent="0.2">
      <c r="A40" s="109" t="s">
        <v>45</v>
      </c>
      <c r="B40" s="73"/>
      <c r="C40" s="34"/>
      <c r="D40" s="34">
        <f>SUM(D36:D39)</f>
        <v>2.8775200000000001</v>
      </c>
      <c r="E40" s="72"/>
      <c r="F40" s="34"/>
      <c r="G40" s="34">
        <f>SUM(G36:G39)</f>
        <v>2.8775200000000001</v>
      </c>
      <c r="H40" s="34">
        <f t="shared" si="1"/>
        <v>0</v>
      </c>
      <c r="I40" s="35">
        <f t="shared" si="2"/>
        <v>0</v>
      </c>
      <c r="J40" s="35">
        <f t="shared" si="10"/>
        <v>2.3720265339350025E-2</v>
      </c>
      <c r="K40" s="110">
        <f t="shared" si="11"/>
        <v>2.3072838650043358E-2</v>
      </c>
    </row>
    <row r="41" spans="1:11" s="1" customFormat="1" ht="13.5" thickBot="1" x14ac:dyDescent="0.25">
      <c r="A41" s="111" t="s">
        <v>46</v>
      </c>
      <c r="B41" s="112">
        <f>B4</f>
        <v>350</v>
      </c>
      <c r="C41" s="113">
        <v>0</v>
      </c>
      <c r="D41" s="114">
        <f>B41*C41</f>
        <v>0</v>
      </c>
      <c r="E41" s="115">
        <f t="shared" si="6"/>
        <v>350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114.01891999999999</v>
      </c>
      <c r="E42" s="37"/>
      <c r="F42" s="38"/>
      <c r="G42" s="38">
        <f>SUM(G14,G25,G26,G27,G33,G40,G41)</f>
        <v>115.53391999999999</v>
      </c>
      <c r="H42" s="38">
        <f t="shared" si="1"/>
        <v>1.5150000000000006</v>
      </c>
      <c r="I42" s="39">
        <f>IF(ISERROR(H42/D42),0,(H42/D42))</f>
        <v>1.3287268463865477E-2</v>
      </c>
      <c r="J42" s="39">
        <f t="shared" si="10"/>
        <v>0.95238095238095244</v>
      </c>
      <c r="K42" s="40"/>
    </row>
    <row r="43" spans="1:11" x14ac:dyDescent="0.2">
      <c r="A43" s="143" t="s">
        <v>108</v>
      </c>
      <c r="B43" s="42"/>
      <c r="C43" s="25">
        <v>0.13</v>
      </c>
      <c r="D43" s="25">
        <f>D42*C43</f>
        <v>14.8224596</v>
      </c>
      <c r="E43" s="25"/>
      <c r="F43" s="25">
        <f>C43</f>
        <v>0.13</v>
      </c>
      <c r="G43" s="25">
        <f>G42*F43</f>
        <v>15.019409599999999</v>
      </c>
      <c r="H43" s="25">
        <f t="shared" si="1"/>
        <v>0.19694999999999929</v>
      </c>
      <c r="I43" s="43">
        <f t="shared" si="2"/>
        <v>1.3287268463865423E-2</v>
      </c>
      <c r="J43" s="43">
        <f t="shared" si="10"/>
        <v>0.12380952380952383</v>
      </c>
      <c r="K43" s="44"/>
    </row>
    <row r="44" spans="1:11" s="1" customFormat="1" x14ac:dyDescent="0.2">
      <c r="A44" s="45" t="s">
        <v>109</v>
      </c>
      <c r="B44" s="23"/>
      <c r="C44" s="24"/>
      <c r="D44" s="24">
        <f>SUM(D42:D43)</f>
        <v>128.84137959999998</v>
      </c>
      <c r="E44" s="24"/>
      <c r="F44" s="24"/>
      <c r="G44" s="24">
        <f>SUM(G42:G43)</f>
        <v>130.55332959999998</v>
      </c>
      <c r="H44" s="24">
        <f t="shared" si="1"/>
        <v>1.7119500000000016</v>
      </c>
      <c r="I44" s="26">
        <f t="shared" si="2"/>
        <v>1.3287268463865486E-2</v>
      </c>
      <c r="J44" s="26">
        <f t="shared" si="10"/>
        <v>1.0761904761904761</v>
      </c>
      <c r="K44" s="46"/>
    </row>
    <row r="45" spans="1:11" x14ac:dyDescent="0.2">
      <c r="A45" s="41" t="s">
        <v>110</v>
      </c>
      <c r="B45" s="42"/>
      <c r="C45" s="25">
        <v>-0.08</v>
      </c>
      <c r="D45" s="25">
        <f>D42*C45</f>
        <v>-9.1215136000000001</v>
      </c>
      <c r="E45" s="25"/>
      <c r="F45" s="25">
        <f>C45</f>
        <v>-0.08</v>
      </c>
      <c r="G45" s="25">
        <f>G42*F45</f>
        <v>-9.2427136000000001</v>
      </c>
      <c r="H45" s="25">
        <f t="shared" si="1"/>
        <v>-0.12119999999999997</v>
      </c>
      <c r="I45" s="43">
        <f t="shared" si="2"/>
        <v>1.3287268463865468E-2</v>
      </c>
      <c r="J45" s="43">
        <f t="shared" si="10"/>
        <v>-7.6190476190476197E-2</v>
      </c>
      <c r="K45" s="44"/>
    </row>
    <row r="46" spans="1:11" s="1" customFormat="1" ht="13.5" thickBot="1" x14ac:dyDescent="0.25">
      <c r="A46" s="47" t="s">
        <v>111</v>
      </c>
      <c r="B46" s="48"/>
      <c r="C46" s="49"/>
      <c r="D46" s="49">
        <f>SUM(D44:D45)</f>
        <v>119.71986599999998</v>
      </c>
      <c r="E46" s="49"/>
      <c r="F46" s="49"/>
      <c r="G46" s="49">
        <f>SUM(G44:G45)</f>
        <v>121.31061599999998</v>
      </c>
      <c r="H46" s="49">
        <f t="shared" si="1"/>
        <v>1.5907499999999999</v>
      </c>
      <c r="I46" s="50">
        <f t="shared" si="2"/>
        <v>1.3287268463865472E-2</v>
      </c>
      <c r="J46" s="50">
        <f t="shared" si="10"/>
        <v>1</v>
      </c>
      <c r="K46" s="51"/>
    </row>
    <row r="47" spans="1:11" x14ac:dyDescent="0.2">
      <c r="A47" s="52" t="s">
        <v>112</v>
      </c>
      <c r="B47" s="53"/>
      <c r="C47" s="54"/>
      <c r="D47" s="54">
        <f>SUM(D18,D25,D26,D28,D33,D40,D41)</f>
        <v>117.26081599999999</v>
      </c>
      <c r="E47" s="54"/>
      <c r="F47" s="54"/>
      <c r="G47" s="54">
        <f>SUM(G18,G25,G26,G28,G33,G40,G41)</f>
        <v>118.77581599999999</v>
      </c>
      <c r="H47" s="54">
        <f>G47-D47</f>
        <v>1.5150000000000006</v>
      </c>
      <c r="I47" s="55">
        <f>IF(ISERROR(H47/D47),0,(H47/D47))</f>
        <v>1.291991691410369E-2</v>
      </c>
      <c r="J47" s="55"/>
      <c r="K47" s="56">
        <f>G47/$G$51</f>
        <v>0.95238095238095233</v>
      </c>
    </row>
    <row r="48" spans="1:11" x14ac:dyDescent="0.2">
      <c r="A48" s="57" t="s">
        <v>108</v>
      </c>
      <c r="B48" s="58"/>
      <c r="C48" s="30">
        <v>0.13</v>
      </c>
      <c r="D48" s="30">
        <f>D47*C48</f>
        <v>15.243906079999999</v>
      </c>
      <c r="E48" s="30"/>
      <c r="F48" s="30">
        <f>C48</f>
        <v>0.13</v>
      </c>
      <c r="G48" s="30">
        <f>G47*F48</f>
        <v>15.44085608</v>
      </c>
      <c r="H48" s="30">
        <f>G48-D48</f>
        <v>0.19695000000000107</v>
      </c>
      <c r="I48" s="31">
        <f>IF(ISERROR(H48/D48),0,(H48/D48))</f>
        <v>1.2919916914103756E-2</v>
      </c>
      <c r="J48" s="31"/>
      <c r="K48" s="59">
        <f>G48/$G$51</f>
        <v>0.12380952380952381</v>
      </c>
    </row>
    <row r="49" spans="1:11" x14ac:dyDescent="0.2">
      <c r="A49" s="60" t="s">
        <v>113</v>
      </c>
      <c r="B49" s="28"/>
      <c r="C49" s="29"/>
      <c r="D49" s="29">
        <f>SUM(D47:D48)</f>
        <v>132.50472207999999</v>
      </c>
      <c r="E49" s="29"/>
      <c r="F49" s="29"/>
      <c r="G49" s="29">
        <f>SUM(G47:G48)</f>
        <v>134.21667208</v>
      </c>
      <c r="H49" s="29">
        <f>G49-D49</f>
        <v>1.7119500000000016</v>
      </c>
      <c r="I49" s="32">
        <f>IF(ISERROR(H49/D49),0,(H49/D49))</f>
        <v>1.2919916914103697E-2</v>
      </c>
      <c r="J49" s="32"/>
      <c r="K49" s="61">
        <f>G49/$G$51</f>
        <v>1.0761904761904761</v>
      </c>
    </row>
    <row r="50" spans="1:11" x14ac:dyDescent="0.2">
      <c r="A50" s="57" t="s">
        <v>110</v>
      </c>
      <c r="B50" s="58"/>
      <c r="C50" s="30">
        <v>-0.08</v>
      </c>
      <c r="D50" s="30">
        <f>D47*C50</f>
        <v>-9.3808652800000001</v>
      </c>
      <c r="E50" s="30"/>
      <c r="F50" s="30">
        <f>C50</f>
        <v>-0.08</v>
      </c>
      <c r="G50" s="30">
        <f>G47*F50</f>
        <v>-9.5020652800000001</v>
      </c>
      <c r="H50" s="30">
        <f>G50-D50</f>
        <v>-0.12119999999999997</v>
      </c>
      <c r="I50" s="31">
        <f>IF(ISERROR(H50/D50),0,(H50/D50))</f>
        <v>1.2919916914103682E-2</v>
      </c>
      <c r="J50" s="31"/>
      <c r="K50" s="59">
        <f>G50/$G$51</f>
        <v>-7.6190476190476197E-2</v>
      </c>
    </row>
    <row r="51" spans="1:11" ht="13.5" thickBot="1" x14ac:dyDescent="0.25">
      <c r="A51" s="62" t="s">
        <v>114</v>
      </c>
      <c r="B51" s="63"/>
      <c r="C51" s="64"/>
      <c r="D51" s="64">
        <f>SUM(D49:D50)</f>
        <v>123.1238568</v>
      </c>
      <c r="E51" s="64"/>
      <c r="F51" s="64"/>
      <c r="G51" s="64">
        <f>SUM(G49:G50)</f>
        <v>124.7146068</v>
      </c>
      <c r="H51" s="64">
        <f>G51-D51</f>
        <v>1.5907499999999999</v>
      </c>
      <c r="I51" s="65">
        <f>IF(ISERROR(H51/D51),0,(H51/D51))</f>
        <v>1.2919916914103683E-2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pageSetUpPr fitToPage="1"/>
  </sheetPr>
  <dimension ref="A1:K68"/>
  <sheetViews>
    <sheetView tabSelected="1" topLeftCell="A6" zoomScaleNormal="100" zoomScaleSheetLayoutView="9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3</v>
      </c>
    </row>
    <row r="4" spans="1:11" x14ac:dyDescent="0.2">
      <c r="A4" s="14" t="s">
        <v>62</v>
      </c>
      <c r="B4" s="78">
        <f>'Data for Bill Impacts_HONI Avg '!C6</f>
        <v>352</v>
      </c>
    </row>
    <row r="5" spans="1:11" x14ac:dyDescent="0.2">
      <c r="A5" s="14" t="s">
        <v>16</v>
      </c>
      <c r="B5" s="14">
        <f>VLOOKUP($B$3,'Data for Bill Impacts'!$A$3:$Y$15,5,0)</f>
        <v>0</v>
      </c>
    </row>
    <row r="6" spans="1:11" x14ac:dyDescent="0.2">
      <c r="A6" s="14" t="s">
        <v>20</v>
      </c>
      <c r="B6" s="14">
        <f>VLOOKUP($B$3,'Data for Bill Impacts'!$A$3:$Y$15,2,0)</f>
        <v>1.1040000000000001</v>
      </c>
    </row>
    <row r="7" spans="1:11" x14ac:dyDescent="0.2">
      <c r="A7" s="14" t="s">
        <v>15</v>
      </c>
      <c r="B7" s="14">
        <f>VLOOKUP($B$3,'Data for Bill Impacts'!$A$3:$Y$15,4,0)</f>
        <v>600</v>
      </c>
    </row>
    <row r="8" spans="1:11" x14ac:dyDescent="0.2">
      <c r="A8" s="14" t="s">
        <v>82</v>
      </c>
      <c r="B8" s="149">
        <f>B4*B6</f>
        <v>388.60800000000006</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352</v>
      </c>
      <c r="C12" s="102">
        <v>0.10299999999999999</v>
      </c>
      <c r="D12" s="103">
        <f>B12*C12</f>
        <v>36.256</v>
      </c>
      <c r="E12" s="101">
        <f>B12</f>
        <v>352</v>
      </c>
      <c r="F12" s="102">
        <f>C12</f>
        <v>0.10299999999999999</v>
      </c>
      <c r="G12" s="103">
        <f>E12*F12</f>
        <v>36.256</v>
      </c>
      <c r="H12" s="103">
        <f>G12-D12</f>
        <v>0</v>
      </c>
      <c r="I12" s="104">
        <f>IF(ISERROR(H12/D12),0,(H12/D12))</f>
        <v>0</v>
      </c>
      <c r="J12" s="104">
        <f>G12/$G$46</f>
        <v>0.29808783546664896</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36.256</v>
      </c>
      <c r="E14" s="75"/>
      <c r="F14" s="24"/>
      <c r="G14" s="24">
        <f>SUM(G12:G13)</f>
        <v>36.256</v>
      </c>
      <c r="H14" s="24">
        <f t="shared" si="1"/>
        <v>0</v>
      </c>
      <c r="I14" s="26">
        <f t="shared" si="2"/>
        <v>0</v>
      </c>
      <c r="J14" s="26">
        <f>G14/$G$46</f>
        <v>0.29808783546664896</v>
      </c>
      <c r="K14" s="107"/>
    </row>
    <row r="15" spans="1:11" s="1" customFormat="1" x14ac:dyDescent="0.2">
      <c r="A15" s="108" t="s">
        <v>34</v>
      </c>
      <c r="B15" s="74">
        <f>B4*0.65</f>
        <v>228.8</v>
      </c>
      <c r="C15" s="27">
        <v>8.6999999999999994E-2</v>
      </c>
      <c r="D15" s="21">
        <f>B15*C15</f>
        <v>19.9056</v>
      </c>
      <c r="E15" s="72">
        <f t="shared" ref="E15:F17" si="3">B15</f>
        <v>228.8</v>
      </c>
      <c r="F15" s="27">
        <f t="shared" si="3"/>
        <v>8.6999999999999994E-2</v>
      </c>
      <c r="G15" s="21">
        <f>E15*F15</f>
        <v>19.9056</v>
      </c>
      <c r="H15" s="21">
        <f t="shared" si="1"/>
        <v>0</v>
      </c>
      <c r="I15" s="22">
        <f t="shared" si="2"/>
        <v>0</v>
      </c>
      <c r="J15" s="22"/>
      <c r="K15" s="107">
        <f t="shared" ref="K15:K26" si="4">G15/$G$51</f>
        <v>0.15917855409319392</v>
      </c>
    </row>
    <row r="16" spans="1:11" s="1" customFormat="1" x14ac:dyDescent="0.2">
      <c r="A16" s="108" t="s">
        <v>35</v>
      </c>
      <c r="B16" s="74">
        <f>B4*0.17</f>
        <v>59.84</v>
      </c>
      <c r="C16" s="27">
        <v>0.13200000000000001</v>
      </c>
      <c r="D16" s="21">
        <f>B16*C16</f>
        <v>7.898880000000001</v>
      </c>
      <c r="E16" s="72">
        <f t="shared" si="3"/>
        <v>59.84</v>
      </c>
      <c r="F16" s="27">
        <f t="shared" si="3"/>
        <v>0.13200000000000001</v>
      </c>
      <c r="G16" s="21">
        <f>E16*F16</f>
        <v>7.898880000000001</v>
      </c>
      <c r="H16" s="21">
        <f t="shared" si="1"/>
        <v>0</v>
      </c>
      <c r="I16" s="22">
        <f t="shared" si="2"/>
        <v>0</v>
      </c>
      <c r="J16" s="22"/>
      <c r="K16" s="107">
        <f t="shared" si="4"/>
        <v>6.3164752499580409E-2</v>
      </c>
    </row>
    <row r="17" spans="1:11" s="1" customFormat="1" x14ac:dyDescent="0.2">
      <c r="A17" s="108" t="s">
        <v>36</v>
      </c>
      <c r="B17" s="74">
        <f>B4*0.18</f>
        <v>63.36</v>
      </c>
      <c r="C17" s="27">
        <v>0.18</v>
      </c>
      <c r="D17" s="21">
        <f>B17*C17</f>
        <v>11.4048</v>
      </c>
      <c r="E17" s="72">
        <f t="shared" si="3"/>
        <v>63.36</v>
      </c>
      <c r="F17" s="27">
        <f t="shared" si="3"/>
        <v>0.18</v>
      </c>
      <c r="G17" s="21">
        <f>E17*F17</f>
        <v>11.4048</v>
      </c>
      <c r="H17" s="21">
        <f t="shared" si="1"/>
        <v>0</v>
      </c>
      <c r="I17" s="22">
        <f t="shared" si="2"/>
        <v>0</v>
      </c>
      <c r="J17" s="22"/>
      <c r="K17" s="107">
        <f t="shared" si="4"/>
        <v>9.1200444785490414E-2</v>
      </c>
    </row>
    <row r="18" spans="1:11" s="1" customFormat="1" x14ac:dyDescent="0.2">
      <c r="A18" s="60" t="s">
        <v>37</v>
      </c>
      <c r="B18" s="28"/>
      <c r="C18" s="29"/>
      <c r="D18" s="29">
        <f>SUM(D15:D17)</f>
        <v>39.20928</v>
      </c>
      <c r="E18" s="76"/>
      <c r="F18" s="29"/>
      <c r="G18" s="29">
        <f>SUM(G15:G17)</f>
        <v>39.20928</v>
      </c>
      <c r="H18" s="30">
        <f t="shared" si="1"/>
        <v>0</v>
      </c>
      <c r="I18" s="31">
        <f t="shared" si="2"/>
        <v>0</v>
      </c>
      <c r="J18" s="32">
        <f t="shared" ref="J18:J23" si="5">G18/$G$46</f>
        <v>0.32236897080223331</v>
      </c>
      <c r="K18" s="61">
        <f t="shared" si="4"/>
        <v>0.31354375137826473</v>
      </c>
    </row>
    <row r="19" spans="1:11" x14ac:dyDescent="0.2">
      <c r="A19" s="106" t="s">
        <v>38</v>
      </c>
      <c r="B19" s="72">
        <v>1</v>
      </c>
      <c r="C19" s="77">
        <f>VLOOKUP($B$3,'Data for Bill Impacts'!$A$3:$Y$15,7,0)</f>
        <v>55.4</v>
      </c>
      <c r="D19" s="21">
        <f>B19*C19</f>
        <v>55.4</v>
      </c>
      <c r="E19" s="72">
        <f t="shared" ref="E19:E41" si="6">B19</f>
        <v>1</v>
      </c>
      <c r="F19" s="77">
        <f>VLOOKUP($B$3,'Data for Bill Impacts'!$A$3:$Y$15,17,0)</f>
        <v>61.5</v>
      </c>
      <c r="G19" s="21">
        <f>E19*F19</f>
        <v>61.5</v>
      </c>
      <c r="H19" s="21">
        <f t="shared" si="1"/>
        <v>6.1000000000000014</v>
      </c>
      <c r="I19" s="22">
        <f t="shared" si="2"/>
        <v>0.1101083032490975</v>
      </c>
      <c r="J19" s="22">
        <f t="shared" si="5"/>
        <v>0.50563773944171753</v>
      </c>
      <c r="K19" s="107">
        <f t="shared" si="4"/>
        <v>0.49179532778371043</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352</v>
      </c>
      <c r="C23" s="77">
        <f>VLOOKUP($B$3,'Data for Bill Impacts'!$A$3:$Y$15,10,0)</f>
        <v>3.15E-2</v>
      </c>
      <c r="D23" s="21">
        <f>B23*C23</f>
        <v>11.088000000000001</v>
      </c>
      <c r="E23" s="72">
        <f t="shared" si="6"/>
        <v>352</v>
      </c>
      <c r="F23" s="77">
        <f>VLOOKUP($B$3,'Data for Bill Impacts'!$A$3:$Y$15,19,0)</f>
        <v>1.84E-2</v>
      </c>
      <c r="G23" s="21">
        <f>E23*F23</f>
        <v>6.4767999999999999</v>
      </c>
      <c r="H23" s="21">
        <f t="shared" si="1"/>
        <v>-4.6112000000000011</v>
      </c>
      <c r="I23" s="22">
        <f t="shared" si="2"/>
        <v>-0.41587301587301595</v>
      </c>
      <c r="J23" s="22">
        <f t="shared" si="5"/>
        <v>5.3250642452294571E-2</v>
      </c>
      <c r="K23" s="107">
        <f t="shared" si="4"/>
        <v>5.1792845186821715E-2</v>
      </c>
    </row>
    <row r="24" spans="1:11" x14ac:dyDescent="0.2">
      <c r="A24" s="106" t="s">
        <v>129</v>
      </c>
      <c r="B24" s="72">
        <f>IF($B$9="kWh",$B$4,$B$5)</f>
        <v>352</v>
      </c>
      <c r="C24" s="77">
        <f>VLOOKUP($B$3,'Data for Bill Impacts'!$A$3:$Y$15,14,0)</f>
        <v>2.0000000000000001E-4</v>
      </c>
      <c r="D24" s="21">
        <f>B24*C24</f>
        <v>7.0400000000000004E-2</v>
      </c>
      <c r="E24" s="72">
        <f t="shared" si="6"/>
        <v>352</v>
      </c>
      <c r="F24" s="77">
        <f>VLOOKUP($B$3,'Data for Bill Impacts'!$A$3:$Y$15,23,0)</f>
        <v>2.0000000000000001E-4</v>
      </c>
      <c r="G24" s="21">
        <f>E24*F24</f>
        <v>7.0400000000000004E-2</v>
      </c>
      <c r="H24" s="21">
        <f t="shared" si="1"/>
        <v>0</v>
      </c>
      <c r="I24" s="22">
        <f>IF(ISERROR(H24/D24),0,(H24/D24))</f>
        <v>0</v>
      </c>
      <c r="J24" s="22">
        <f t="shared" ref="J24" si="9">G24/$G$46</f>
        <v>5.7881133100320188E-4</v>
      </c>
      <c r="K24" s="107">
        <f t="shared" si="4"/>
        <v>5.6296570855241001E-4</v>
      </c>
    </row>
    <row r="25" spans="1:11" s="1" customFormat="1" x14ac:dyDescent="0.2">
      <c r="A25" s="109" t="s">
        <v>72</v>
      </c>
      <c r="B25" s="73"/>
      <c r="C25" s="34"/>
      <c r="D25" s="34">
        <f>SUM(D19:D24)</f>
        <v>66.558400000000006</v>
      </c>
      <c r="E25" s="72"/>
      <c r="F25" s="34"/>
      <c r="G25" s="34">
        <f>SUM(G19:G24)</f>
        <v>68.047200000000004</v>
      </c>
      <c r="H25" s="34">
        <f t="shared" si="1"/>
        <v>1.4887999999999977</v>
      </c>
      <c r="I25" s="35">
        <f t="shared" si="2"/>
        <v>2.2368326161686544E-2</v>
      </c>
      <c r="J25" s="35">
        <f>G25/$G$46</f>
        <v>0.55946719322501537</v>
      </c>
      <c r="K25" s="110">
        <f t="shared" si="4"/>
        <v>0.5441511386790846</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6.4951839700643395E-3</v>
      </c>
      <c r="K26" s="107">
        <f t="shared" si="4"/>
        <v>6.3173708772216461E-3</v>
      </c>
    </row>
    <row r="27" spans="1:11" s="1" customFormat="1" x14ac:dyDescent="0.2">
      <c r="A27" s="118" t="s">
        <v>75</v>
      </c>
      <c r="B27" s="119">
        <f>B8-B4</f>
        <v>36.608000000000061</v>
      </c>
      <c r="C27" s="120">
        <f>IF(B4&gt;B7,C13,C12)</f>
        <v>0.10299999999999999</v>
      </c>
      <c r="D27" s="21">
        <f>B27*C27</f>
        <v>3.770624000000006</v>
      </c>
      <c r="E27" s="72">
        <f>B27</f>
        <v>36.608000000000061</v>
      </c>
      <c r="F27" s="120">
        <f>C27</f>
        <v>0.10299999999999999</v>
      </c>
      <c r="G27" s="21">
        <f>E27*F27</f>
        <v>3.770624000000006</v>
      </c>
      <c r="H27" s="21">
        <f t="shared" si="1"/>
        <v>0</v>
      </c>
      <c r="I27" s="22">
        <f>IF(ISERROR(H27/D27),0,(H27/D27))</f>
        <v>0</v>
      </c>
      <c r="J27" s="22">
        <f t="shared" ref="J27:J46" si="10">G27/$G$46</f>
        <v>3.1001134888531543E-2</v>
      </c>
      <c r="K27" s="107">
        <f t="shared" ref="K27:K41" si="11">G27/$G$51</f>
        <v>3.0152443350067126E-2</v>
      </c>
    </row>
    <row r="28" spans="1:11" s="1" customFormat="1" x14ac:dyDescent="0.2">
      <c r="A28" s="118" t="s">
        <v>74</v>
      </c>
      <c r="B28" s="119">
        <f>B8-B4</f>
        <v>36.608000000000061</v>
      </c>
      <c r="C28" s="120">
        <f>0.65*C15+0.17*C16+0.18*C17</f>
        <v>0.11139</v>
      </c>
      <c r="D28" s="21">
        <f>B28*C28</f>
        <v>4.0777651200000067</v>
      </c>
      <c r="E28" s="72">
        <f>B28</f>
        <v>36.608000000000061</v>
      </c>
      <c r="F28" s="120">
        <f>C28</f>
        <v>0.11139</v>
      </c>
      <c r="G28" s="21">
        <f>E28*F28</f>
        <v>4.0777651200000067</v>
      </c>
      <c r="H28" s="21">
        <f t="shared" si="1"/>
        <v>0</v>
      </c>
      <c r="I28" s="22">
        <f>IF(ISERROR(H28/D28),0,(H28/D28))</f>
        <v>0</v>
      </c>
      <c r="J28" s="22">
        <f t="shared" si="10"/>
        <v>3.3526372963432319E-2</v>
      </c>
      <c r="K28" s="107">
        <f t="shared" si="11"/>
        <v>3.2608550143339583E-2</v>
      </c>
    </row>
    <row r="29" spans="1:11" s="1" customFormat="1" x14ac:dyDescent="0.2">
      <c r="A29" s="109" t="s">
        <v>78</v>
      </c>
      <c r="B29" s="73"/>
      <c r="C29" s="34"/>
      <c r="D29" s="34">
        <f>SUM(D25,D26:D27)</f>
        <v>71.119024000000024</v>
      </c>
      <c r="E29" s="72"/>
      <c r="F29" s="34"/>
      <c r="G29" s="34">
        <f>SUM(G25,G26:G27)</f>
        <v>72.607824000000022</v>
      </c>
      <c r="H29" s="34">
        <f t="shared" si="1"/>
        <v>1.4887999999999977</v>
      </c>
      <c r="I29" s="35">
        <f>IF(ISERROR(H29/D29),0,(H29/D29))</f>
        <v>2.0933920577987646E-2</v>
      </c>
      <c r="J29" s="35">
        <f t="shared" si="10"/>
        <v>0.59696351208361131</v>
      </c>
      <c r="K29" s="110">
        <f t="shared" si="11"/>
        <v>0.5806209529063735</v>
      </c>
    </row>
    <row r="30" spans="1:11" s="1" customFormat="1" x14ac:dyDescent="0.2">
      <c r="A30" s="109" t="s">
        <v>77</v>
      </c>
      <c r="B30" s="73"/>
      <c r="C30" s="34"/>
      <c r="D30" s="34">
        <f>SUM(D25,D26,D28)</f>
        <v>71.426165120000022</v>
      </c>
      <c r="E30" s="72"/>
      <c r="F30" s="34"/>
      <c r="G30" s="34">
        <f>SUM(G25,G26,G28)</f>
        <v>72.914965120000019</v>
      </c>
      <c r="H30" s="34">
        <f t="shared" si="1"/>
        <v>1.4887999999999977</v>
      </c>
      <c r="I30" s="35">
        <f>IF(ISERROR(H30/D30),0,(H30/D30))</f>
        <v>2.084390219604719E-2</v>
      </c>
      <c r="J30" s="35">
        <f t="shared" si="10"/>
        <v>0.59948875015851211</v>
      </c>
      <c r="K30" s="110">
        <f t="shared" si="11"/>
        <v>0.58307705969964585</v>
      </c>
    </row>
    <row r="31" spans="1:11" x14ac:dyDescent="0.2">
      <c r="A31" s="106" t="s">
        <v>40</v>
      </c>
      <c r="B31" s="72">
        <f>B8</f>
        <v>388.60800000000006</v>
      </c>
      <c r="C31" s="125">
        <f>VLOOKUP($B$3,'Data for Bill Impacts'!$A$3:$Y$15,15,0)</f>
        <v>5.7999999999999996E-3</v>
      </c>
      <c r="D31" s="21">
        <f>B31*C31</f>
        <v>2.2539264000000001</v>
      </c>
      <c r="E31" s="72">
        <f t="shared" si="6"/>
        <v>388.60800000000006</v>
      </c>
      <c r="F31" s="77">
        <f>VLOOKUP($B$3,'Data for Bill Impacts'!$A$3:$Y$15,24,0)</f>
        <v>5.7999999999999996E-3</v>
      </c>
      <c r="G31" s="21">
        <f>E31*F31</f>
        <v>2.2539264000000001</v>
      </c>
      <c r="H31" s="21">
        <f t="shared" si="1"/>
        <v>0</v>
      </c>
      <c r="I31" s="22">
        <f t="shared" si="2"/>
        <v>0</v>
      </c>
      <c r="J31" s="22">
        <f t="shared" si="10"/>
        <v>1.8531223573398512E-2</v>
      </c>
      <c r="K31" s="107">
        <f t="shared" si="11"/>
        <v>1.8023910125013958E-2</v>
      </c>
    </row>
    <row r="32" spans="1:11" x14ac:dyDescent="0.2">
      <c r="A32" s="106" t="s">
        <v>41</v>
      </c>
      <c r="B32" s="72">
        <f>B8</f>
        <v>388.60800000000006</v>
      </c>
      <c r="C32" s="125">
        <f>VLOOKUP($B$3,'Data for Bill Impacts'!$A$3:$Y$15,16,0)</f>
        <v>4.7000000000000002E-3</v>
      </c>
      <c r="D32" s="21">
        <f>B32*C32</f>
        <v>1.8264576000000003</v>
      </c>
      <c r="E32" s="72">
        <f t="shared" si="6"/>
        <v>388.60800000000006</v>
      </c>
      <c r="F32" s="77">
        <f>VLOOKUP($B$3,'Data for Bill Impacts'!$A$3:$Y$15,25,0)</f>
        <v>4.7000000000000002E-3</v>
      </c>
      <c r="G32" s="21">
        <f>E32*F32</f>
        <v>1.8264576000000003</v>
      </c>
      <c r="H32" s="21">
        <f t="shared" si="1"/>
        <v>0</v>
      </c>
      <c r="I32" s="22">
        <f t="shared" si="2"/>
        <v>0</v>
      </c>
      <c r="J32" s="22">
        <f t="shared" si="10"/>
        <v>1.5016681171547072E-2</v>
      </c>
      <c r="K32" s="107">
        <f t="shared" si="11"/>
        <v>1.4605582342683728E-2</v>
      </c>
    </row>
    <row r="33" spans="1:11" s="1" customFormat="1" x14ac:dyDescent="0.2">
      <c r="A33" s="109" t="s">
        <v>76</v>
      </c>
      <c r="B33" s="73"/>
      <c r="C33" s="34"/>
      <c r="D33" s="34">
        <f>SUM(D31:D32)</f>
        <v>4.0803840000000005</v>
      </c>
      <c r="E33" s="72"/>
      <c r="F33" s="34"/>
      <c r="G33" s="34">
        <f>SUM(G31:G32)</f>
        <v>4.0803840000000005</v>
      </c>
      <c r="H33" s="34">
        <f t="shared" si="1"/>
        <v>0</v>
      </c>
      <c r="I33" s="35">
        <f t="shared" si="2"/>
        <v>0</v>
      </c>
      <c r="J33" s="35">
        <f t="shared" si="10"/>
        <v>3.3547904744945588E-2</v>
      </c>
      <c r="K33" s="110">
        <f t="shared" si="11"/>
        <v>3.2629492467697689E-2</v>
      </c>
    </row>
    <row r="34" spans="1:11" s="1" customFormat="1" x14ac:dyDescent="0.2">
      <c r="A34" s="109" t="s">
        <v>93</v>
      </c>
      <c r="B34" s="73"/>
      <c r="C34" s="34"/>
      <c r="D34" s="34">
        <f>D29+D33</f>
        <v>75.19940800000002</v>
      </c>
      <c r="E34" s="72"/>
      <c r="F34" s="34"/>
      <c r="G34" s="34">
        <f>G29+G33</f>
        <v>76.688208000000017</v>
      </c>
      <c r="H34" s="34">
        <f t="shared" si="1"/>
        <v>1.4887999999999977</v>
      </c>
      <c r="I34" s="35">
        <f t="shared" si="2"/>
        <v>1.9798028197243221E-2</v>
      </c>
      <c r="J34" s="35">
        <f t="shared" si="10"/>
        <v>0.63051141682855694</v>
      </c>
      <c r="K34" s="110">
        <f t="shared" si="11"/>
        <v>0.61325044537407114</v>
      </c>
    </row>
    <row r="35" spans="1:11" s="1" customFormat="1" x14ac:dyDescent="0.2">
      <c r="A35" s="109" t="s">
        <v>94</v>
      </c>
      <c r="B35" s="73"/>
      <c r="C35" s="34"/>
      <c r="D35" s="34">
        <f>D30+D33</f>
        <v>75.506549120000017</v>
      </c>
      <c r="E35" s="72"/>
      <c r="F35" s="34"/>
      <c r="G35" s="34">
        <f>G30+G33</f>
        <v>76.995349120000014</v>
      </c>
      <c r="H35" s="34">
        <f t="shared" si="1"/>
        <v>1.4887999999999977</v>
      </c>
      <c r="I35" s="35">
        <f t="shared" si="2"/>
        <v>1.9717494937212639E-2</v>
      </c>
      <c r="J35" s="35">
        <f t="shared" si="10"/>
        <v>0.63303665490345762</v>
      </c>
      <c r="K35" s="110">
        <f t="shared" si="11"/>
        <v>0.61570655216734349</v>
      </c>
    </row>
    <row r="36" spans="1:11" x14ac:dyDescent="0.2">
      <c r="A36" s="106" t="s">
        <v>42</v>
      </c>
      <c r="B36" s="72">
        <f>B8</f>
        <v>388.60800000000006</v>
      </c>
      <c r="C36" s="33">
        <v>3.5999999999999999E-3</v>
      </c>
      <c r="D36" s="21">
        <f>B36*C36</f>
        <v>1.3989888000000001</v>
      </c>
      <c r="E36" s="72">
        <f t="shared" si="6"/>
        <v>388.60800000000006</v>
      </c>
      <c r="F36" s="33">
        <v>3.5999999999999999E-3</v>
      </c>
      <c r="G36" s="21">
        <f>E36*F36</f>
        <v>1.3989888000000001</v>
      </c>
      <c r="H36" s="21">
        <f t="shared" si="1"/>
        <v>0</v>
      </c>
      <c r="I36" s="22">
        <f t="shared" si="2"/>
        <v>0</v>
      </c>
      <c r="J36" s="22">
        <f t="shared" si="10"/>
        <v>1.1502138769695629E-2</v>
      </c>
      <c r="K36" s="107">
        <f t="shared" si="11"/>
        <v>1.1187254560353492E-2</v>
      </c>
    </row>
    <row r="37" spans="1:11" x14ac:dyDescent="0.2">
      <c r="A37" s="106" t="s">
        <v>43</v>
      </c>
      <c r="B37" s="72">
        <f>B8</f>
        <v>388.60800000000006</v>
      </c>
      <c r="C37" s="33">
        <v>2.0999999999999999E-3</v>
      </c>
      <c r="D37" s="21">
        <f>B37*C37</f>
        <v>0.81607680000000005</v>
      </c>
      <c r="E37" s="72">
        <f t="shared" si="6"/>
        <v>388.60800000000006</v>
      </c>
      <c r="F37" s="33">
        <v>2.0999999999999999E-3</v>
      </c>
      <c r="G37" s="21">
        <f>E37*F37</f>
        <v>0.81607680000000005</v>
      </c>
      <c r="H37" s="21">
        <f>G37-D37</f>
        <v>0</v>
      </c>
      <c r="I37" s="22">
        <f t="shared" si="2"/>
        <v>0</v>
      </c>
      <c r="J37" s="22">
        <f t="shared" si="10"/>
        <v>6.709580948989117E-3</v>
      </c>
      <c r="K37" s="107">
        <f t="shared" si="11"/>
        <v>6.525898493539537E-3</v>
      </c>
    </row>
    <row r="38" spans="1:11" x14ac:dyDescent="0.2">
      <c r="A38" s="106" t="s">
        <v>99</v>
      </c>
      <c r="B38" s="72">
        <f>B8</f>
        <v>388.60800000000006</v>
      </c>
      <c r="C38" s="33">
        <v>1.1000000000000001E-3</v>
      </c>
      <c r="D38" s="21">
        <f>B38*C38</f>
        <v>0.42746880000000009</v>
      </c>
      <c r="E38" s="72">
        <f t="shared" si="6"/>
        <v>388.60800000000006</v>
      </c>
      <c r="F38" s="33">
        <v>1.1000000000000001E-3</v>
      </c>
      <c r="G38" s="21">
        <f>E38*F38</f>
        <v>0.42746880000000009</v>
      </c>
      <c r="H38" s="21">
        <f>G38-D38</f>
        <v>0</v>
      </c>
      <c r="I38" s="22">
        <f t="shared" si="2"/>
        <v>0</v>
      </c>
      <c r="J38" s="22">
        <f t="shared" si="10"/>
        <v>3.5145424018514426E-3</v>
      </c>
      <c r="K38" s="107">
        <f t="shared" si="11"/>
        <v>3.4183277823302341E-3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2.055437965210234E-3</v>
      </c>
      <c r="K39" s="107">
        <f t="shared" si="11"/>
        <v>1.999167999120774E-3</v>
      </c>
    </row>
    <row r="40" spans="1:11" s="1" customFormat="1" x14ac:dyDescent="0.2">
      <c r="A40" s="109" t="s">
        <v>45</v>
      </c>
      <c r="B40" s="73"/>
      <c r="C40" s="34"/>
      <c r="D40" s="34">
        <f>SUM(D36:D39)</f>
        <v>2.8925344000000002</v>
      </c>
      <c r="E40" s="72"/>
      <c r="F40" s="34"/>
      <c r="G40" s="34">
        <f>SUM(G36:G39)</f>
        <v>2.8925344000000002</v>
      </c>
      <c r="H40" s="34">
        <f t="shared" si="1"/>
        <v>0</v>
      </c>
      <c r="I40" s="35">
        <f t="shared" si="2"/>
        <v>0</v>
      </c>
      <c r="J40" s="35">
        <f t="shared" si="10"/>
        <v>2.378170008574642E-2</v>
      </c>
      <c r="K40" s="110">
        <f t="shared" si="11"/>
        <v>2.3130648835344037E-2</v>
      </c>
    </row>
    <row r="41" spans="1:11" s="1" customFormat="1" ht="13.5" thickBot="1" x14ac:dyDescent="0.25">
      <c r="A41" s="111" t="s">
        <v>46</v>
      </c>
      <c r="B41" s="112">
        <f>B4</f>
        <v>352</v>
      </c>
      <c r="C41" s="113">
        <v>0</v>
      </c>
      <c r="D41" s="114">
        <f>B41*C41</f>
        <v>0</v>
      </c>
      <c r="E41" s="115">
        <f t="shared" si="6"/>
        <v>352</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114.34794240000002</v>
      </c>
      <c r="E42" s="37"/>
      <c r="F42" s="38"/>
      <c r="G42" s="38">
        <f>SUM(G14,G25,G26,G27,G33,G40,G41)</f>
        <v>115.83674240000002</v>
      </c>
      <c r="H42" s="38">
        <f t="shared" si="1"/>
        <v>1.4887999999999977</v>
      </c>
      <c r="I42" s="39">
        <f>IF(ISERROR(H42/D42),0,(H42/D42))</f>
        <v>1.3019910710697646E-2</v>
      </c>
      <c r="J42" s="39">
        <f t="shared" si="10"/>
        <v>0.95238095238095233</v>
      </c>
      <c r="K42" s="40"/>
    </row>
    <row r="43" spans="1:11" x14ac:dyDescent="0.2">
      <c r="A43" s="143" t="s">
        <v>108</v>
      </c>
      <c r="B43" s="42"/>
      <c r="C43" s="25">
        <v>0.13</v>
      </c>
      <c r="D43" s="25">
        <f>D42*C43</f>
        <v>14.865232512000004</v>
      </c>
      <c r="E43" s="25"/>
      <c r="F43" s="25">
        <f>C43</f>
        <v>0.13</v>
      </c>
      <c r="G43" s="25">
        <f>G42*F43</f>
        <v>15.058776512000003</v>
      </c>
      <c r="H43" s="25">
        <f t="shared" si="1"/>
        <v>0.19354399999999927</v>
      </c>
      <c r="I43" s="43">
        <f t="shared" si="2"/>
        <v>1.3019910710697616E-2</v>
      </c>
      <c r="J43" s="43">
        <f t="shared" si="10"/>
        <v>0.1238095238095238</v>
      </c>
      <c r="K43" s="44"/>
    </row>
    <row r="44" spans="1:11" s="1" customFormat="1" x14ac:dyDescent="0.2">
      <c r="A44" s="45" t="s">
        <v>109</v>
      </c>
      <c r="B44" s="23"/>
      <c r="C44" s="24"/>
      <c r="D44" s="24">
        <f>SUM(D42:D43)</f>
        <v>129.21317491200003</v>
      </c>
      <c r="E44" s="24"/>
      <c r="F44" s="24"/>
      <c r="G44" s="24">
        <f>SUM(G42:G43)</f>
        <v>130.89551891200003</v>
      </c>
      <c r="H44" s="24">
        <f t="shared" si="1"/>
        <v>1.6823440000000005</v>
      </c>
      <c r="I44" s="26">
        <f t="shared" si="2"/>
        <v>1.3019910710697668E-2</v>
      </c>
      <c r="J44" s="26">
        <f t="shared" si="10"/>
        <v>1.0761904761904761</v>
      </c>
      <c r="K44" s="46"/>
    </row>
    <row r="45" spans="1:11" x14ac:dyDescent="0.2">
      <c r="A45" s="41" t="s">
        <v>110</v>
      </c>
      <c r="B45" s="42"/>
      <c r="C45" s="25">
        <v>-0.08</v>
      </c>
      <c r="D45" s="25">
        <f>D42*C45</f>
        <v>-9.1478353920000028</v>
      </c>
      <c r="E45" s="25"/>
      <c r="F45" s="25">
        <f>C45</f>
        <v>-0.08</v>
      </c>
      <c r="G45" s="25">
        <f>G42*F45</f>
        <v>-9.2669393920000012</v>
      </c>
      <c r="H45" s="25">
        <f t="shared" si="1"/>
        <v>-0.11910399999999832</v>
      </c>
      <c r="I45" s="43">
        <f t="shared" si="2"/>
        <v>1.3019910710697481E-2</v>
      </c>
      <c r="J45" s="43">
        <f t="shared" si="10"/>
        <v>-7.6190476190476183E-2</v>
      </c>
      <c r="K45" s="44"/>
    </row>
    <row r="46" spans="1:11" s="1" customFormat="1" ht="13.5" thickBot="1" x14ac:dyDescent="0.25">
      <c r="A46" s="47" t="s">
        <v>111</v>
      </c>
      <c r="B46" s="48"/>
      <c r="C46" s="49"/>
      <c r="D46" s="49">
        <f>SUM(D44:D45)</f>
        <v>120.06533952000002</v>
      </c>
      <c r="E46" s="49"/>
      <c r="F46" s="49"/>
      <c r="G46" s="49">
        <f>SUM(G44:G45)</f>
        <v>121.62857952000003</v>
      </c>
      <c r="H46" s="49">
        <f t="shared" si="1"/>
        <v>1.5632400000000075</v>
      </c>
      <c r="I46" s="50">
        <f t="shared" si="2"/>
        <v>1.3019910710697727E-2</v>
      </c>
      <c r="J46" s="50">
        <f t="shared" si="10"/>
        <v>1</v>
      </c>
      <c r="K46" s="51"/>
    </row>
    <row r="47" spans="1:11" x14ac:dyDescent="0.2">
      <c r="A47" s="52" t="s">
        <v>112</v>
      </c>
      <c r="B47" s="53"/>
      <c r="C47" s="54"/>
      <c r="D47" s="54">
        <f>SUM(D18,D25,D26,D28,D33,D40,D41)</f>
        <v>117.60836352000003</v>
      </c>
      <c r="E47" s="54"/>
      <c r="F47" s="54"/>
      <c r="G47" s="54">
        <f>SUM(G18,G25,G26,G28,G33,G40,G41)</f>
        <v>119.09716352000002</v>
      </c>
      <c r="H47" s="54">
        <f>G47-D47</f>
        <v>1.4887999999999977</v>
      </c>
      <c r="I47" s="55">
        <f>IF(ISERROR(H47/D47),0,(H47/D47))</f>
        <v>1.2658963660750353E-2</v>
      </c>
      <c r="J47" s="55"/>
      <c r="K47" s="56">
        <f>G47/$G$51</f>
        <v>0.95238095238095233</v>
      </c>
    </row>
    <row r="48" spans="1:11" x14ac:dyDescent="0.2">
      <c r="A48" s="144" t="s">
        <v>108</v>
      </c>
      <c r="B48" s="58"/>
      <c r="C48" s="30">
        <v>0.13</v>
      </c>
      <c r="D48" s="30">
        <f>D47*C48</f>
        <v>15.289087257600004</v>
      </c>
      <c r="E48" s="30"/>
      <c r="F48" s="30">
        <f>C48</f>
        <v>0.13</v>
      </c>
      <c r="G48" s="30">
        <f>G47*F48</f>
        <v>15.482631257600003</v>
      </c>
      <c r="H48" s="30">
        <f>G48-D48</f>
        <v>0.19354399999999927</v>
      </c>
      <c r="I48" s="31">
        <f>IF(ISERROR(H48/D48),0,(H48/D48))</f>
        <v>1.2658963660750323E-2</v>
      </c>
      <c r="J48" s="31"/>
      <c r="K48" s="59">
        <f>G48/$G$51</f>
        <v>0.12380952380952381</v>
      </c>
    </row>
    <row r="49" spans="1:11" x14ac:dyDescent="0.2">
      <c r="A49" s="60" t="s">
        <v>113</v>
      </c>
      <c r="B49" s="28"/>
      <c r="C49" s="29"/>
      <c r="D49" s="29">
        <f>SUM(D47:D48)</f>
        <v>132.89745077760003</v>
      </c>
      <c r="E49" s="29"/>
      <c r="F49" s="29"/>
      <c r="G49" s="29">
        <f>SUM(G47:G48)</f>
        <v>134.57979477760003</v>
      </c>
      <c r="H49" s="29">
        <f>G49-D49</f>
        <v>1.6823440000000005</v>
      </c>
      <c r="I49" s="32">
        <f>IF(ISERROR(H49/D49),0,(H49/D49))</f>
        <v>1.2658963660750375E-2</v>
      </c>
      <c r="J49" s="32"/>
      <c r="K49" s="61">
        <f>G49/$G$51</f>
        <v>1.0761904761904761</v>
      </c>
    </row>
    <row r="50" spans="1:11" x14ac:dyDescent="0.2">
      <c r="A50" s="57" t="s">
        <v>110</v>
      </c>
      <c r="B50" s="58"/>
      <c r="C50" s="30">
        <v>-0.08</v>
      </c>
      <c r="D50" s="30">
        <f>D47*C50</f>
        <v>-9.4086690816000029</v>
      </c>
      <c r="E50" s="30"/>
      <c r="F50" s="30">
        <f>C50</f>
        <v>-0.08</v>
      </c>
      <c r="G50" s="30">
        <f>G47*F50</f>
        <v>-9.5277730816000012</v>
      </c>
      <c r="H50" s="30">
        <f>G50-D50</f>
        <v>-0.11910399999999832</v>
      </c>
      <c r="I50" s="31">
        <f>IF(ISERROR(H50/D50),0,(H50/D50))</f>
        <v>1.2658963660750193E-2</v>
      </c>
      <c r="J50" s="31"/>
      <c r="K50" s="59">
        <f>G50/$G$51</f>
        <v>-7.6190476190476183E-2</v>
      </c>
    </row>
    <row r="51" spans="1:11" ht="13.5" thickBot="1" x14ac:dyDescent="0.25">
      <c r="A51" s="62" t="s">
        <v>114</v>
      </c>
      <c r="B51" s="63"/>
      <c r="C51" s="64"/>
      <c r="D51" s="64">
        <f>SUM(D49:D50)</f>
        <v>123.48878169600002</v>
      </c>
      <c r="E51" s="64"/>
      <c r="F51" s="64"/>
      <c r="G51" s="64">
        <f>SUM(G49:G50)</f>
        <v>125.05202169600003</v>
      </c>
      <c r="H51" s="64">
        <f>G51-D51</f>
        <v>1.5632400000000075</v>
      </c>
      <c r="I51" s="65">
        <f>IF(ISERROR(H51/D51),0,(H51/D51))</f>
        <v>1.2658963660750434E-2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3</v>
      </c>
    </row>
    <row r="4" spans="1:11" x14ac:dyDescent="0.2">
      <c r="A4" s="14" t="s">
        <v>62</v>
      </c>
      <c r="B4" s="14">
        <v>1000</v>
      </c>
    </row>
    <row r="5" spans="1:11" x14ac:dyDescent="0.2">
      <c r="A5" s="14" t="s">
        <v>16</v>
      </c>
      <c r="B5" s="14">
        <f>VLOOKUP($B$3,'Data for Bill Impacts'!$A$3:$Y$15,5,0)</f>
        <v>0</v>
      </c>
    </row>
    <row r="6" spans="1:11" x14ac:dyDescent="0.2">
      <c r="A6" s="14" t="s">
        <v>20</v>
      </c>
      <c r="B6" s="14">
        <f>VLOOKUP($B$3,'Data for Bill Impacts'!$A$3:$Y$15,2,0)</f>
        <v>1.1040000000000001</v>
      </c>
    </row>
    <row r="7" spans="1:11" x14ac:dyDescent="0.2">
      <c r="A7" s="14" t="s">
        <v>15</v>
      </c>
      <c r="B7" s="14">
        <f>VLOOKUP($B$3,'Data for Bill Impacts'!$A$3:$Y$15,4,0)</f>
        <v>600</v>
      </c>
    </row>
    <row r="8" spans="1:11" x14ac:dyDescent="0.2">
      <c r="A8" s="14" t="s">
        <v>82</v>
      </c>
      <c r="B8" s="149">
        <f>B4*B6</f>
        <v>1104</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0.26390592035780513</v>
      </c>
      <c r="K12" s="105"/>
    </row>
    <row r="13" spans="1:11" x14ac:dyDescent="0.2">
      <c r="A13" s="106" t="s">
        <v>32</v>
      </c>
      <c r="B13" s="72">
        <f>IF(B4&gt;B7,(B4)-B7,0)</f>
        <v>400</v>
      </c>
      <c r="C13" s="20">
        <v>0.121</v>
      </c>
      <c r="D13" s="21">
        <f>B13*C13</f>
        <v>48.4</v>
      </c>
      <c r="E13" s="72">
        <f t="shared" ref="E13" si="0">B13</f>
        <v>400</v>
      </c>
      <c r="F13" s="20">
        <f>C13</f>
        <v>0.121</v>
      </c>
      <c r="G13" s="21">
        <f>E13*F13</f>
        <v>48.4</v>
      </c>
      <c r="H13" s="21">
        <f t="shared" ref="H13:H46" si="1">G13-D13</f>
        <v>0</v>
      </c>
      <c r="I13" s="22">
        <f t="shared" ref="I13:I46" si="2">IF(ISERROR(H13/D13),0,(H13/D13))</f>
        <v>0</v>
      </c>
      <c r="J13" s="22">
        <f>G13/$G$46</f>
        <v>0.20668360105692182</v>
      </c>
      <c r="K13" s="107"/>
    </row>
    <row r="14" spans="1:11" s="1" customFormat="1" x14ac:dyDescent="0.2">
      <c r="A14" s="45" t="s">
        <v>33</v>
      </c>
      <c r="B14" s="23"/>
      <c r="C14" s="24"/>
      <c r="D14" s="24">
        <f>SUM(D12:D13)</f>
        <v>110.19999999999999</v>
      </c>
      <c r="E14" s="75"/>
      <c r="F14" s="24"/>
      <c r="G14" s="24">
        <f>SUM(G12:G13)</f>
        <v>110.19999999999999</v>
      </c>
      <c r="H14" s="24">
        <f t="shared" si="1"/>
        <v>0</v>
      </c>
      <c r="I14" s="26">
        <f t="shared" si="2"/>
        <v>0</v>
      </c>
      <c r="J14" s="26">
        <f>G14/$G$46</f>
        <v>0.47058952141472693</v>
      </c>
      <c r="K14" s="107"/>
    </row>
    <row r="15" spans="1:11" s="1" customFormat="1" x14ac:dyDescent="0.2">
      <c r="A15" s="108" t="s">
        <v>34</v>
      </c>
      <c r="B15" s="74">
        <f>B4*0.65</f>
        <v>650</v>
      </c>
      <c r="C15" s="27">
        <v>8.6999999999999994E-2</v>
      </c>
      <c r="D15" s="21">
        <f>B15*C15</f>
        <v>56.55</v>
      </c>
      <c r="E15" s="72">
        <f t="shared" ref="E15:F17" si="3">B15</f>
        <v>650</v>
      </c>
      <c r="F15" s="27">
        <f t="shared" si="3"/>
        <v>8.6999999999999994E-2</v>
      </c>
      <c r="G15" s="21">
        <f>E15*F15</f>
        <v>56.55</v>
      </c>
      <c r="H15" s="21">
        <f t="shared" si="1"/>
        <v>0</v>
      </c>
      <c r="I15" s="22">
        <f t="shared" si="2"/>
        <v>0</v>
      </c>
      <c r="J15" s="22"/>
      <c r="K15" s="107">
        <f t="shared" ref="K15:K26" si="4">G15/$G$51</f>
        <v>0.24128056826399433</v>
      </c>
    </row>
    <row r="16" spans="1:11" s="1" customFormat="1" x14ac:dyDescent="0.2">
      <c r="A16" s="108" t="s">
        <v>35</v>
      </c>
      <c r="B16" s="74">
        <f>B4*0.17</f>
        <v>170</v>
      </c>
      <c r="C16" s="27">
        <v>0.13200000000000001</v>
      </c>
      <c r="D16" s="21">
        <f>B16*C16</f>
        <v>22.44</v>
      </c>
      <c r="E16" s="72">
        <f t="shared" si="3"/>
        <v>170</v>
      </c>
      <c r="F16" s="27">
        <f t="shared" si="3"/>
        <v>0.13200000000000001</v>
      </c>
      <c r="G16" s="21">
        <f>E16*F16</f>
        <v>22.44</v>
      </c>
      <c r="H16" s="21">
        <f t="shared" si="1"/>
        <v>0</v>
      </c>
      <c r="I16" s="22">
        <f t="shared" si="2"/>
        <v>0</v>
      </c>
      <c r="J16" s="22"/>
      <c r="K16" s="107">
        <f t="shared" si="4"/>
        <v>9.5744225496799881E-2</v>
      </c>
    </row>
    <row r="17" spans="1:11" s="1" customFormat="1" x14ac:dyDescent="0.2">
      <c r="A17" s="108" t="s">
        <v>36</v>
      </c>
      <c r="B17" s="74">
        <f>B4*0.18</f>
        <v>180</v>
      </c>
      <c r="C17" s="27">
        <v>0.18</v>
      </c>
      <c r="D17" s="21">
        <f>B17*C17</f>
        <v>32.4</v>
      </c>
      <c r="E17" s="72">
        <f t="shared" si="3"/>
        <v>180</v>
      </c>
      <c r="F17" s="27">
        <f t="shared" si="3"/>
        <v>0.18</v>
      </c>
      <c r="G17" s="21">
        <f>E17*F17</f>
        <v>32.4</v>
      </c>
      <c r="H17" s="21">
        <f t="shared" si="1"/>
        <v>0</v>
      </c>
      <c r="I17" s="22">
        <f t="shared" si="2"/>
        <v>0</v>
      </c>
      <c r="J17" s="22"/>
      <c r="K17" s="107">
        <f t="shared" si="4"/>
        <v>0.13824032558361479</v>
      </c>
    </row>
    <row r="18" spans="1:11" s="1" customFormat="1" x14ac:dyDescent="0.2">
      <c r="A18" s="60" t="s">
        <v>37</v>
      </c>
      <c r="B18" s="28"/>
      <c r="C18" s="29"/>
      <c r="D18" s="29">
        <f>SUM(D15:D17)</f>
        <v>111.38999999999999</v>
      </c>
      <c r="E18" s="76"/>
      <c r="F18" s="29"/>
      <c r="G18" s="29">
        <f>SUM(G15:G17)</f>
        <v>111.38999999999999</v>
      </c>
      <c r="H18" s="30">
        <f t="shared" si="1"/>
        <v>0</v>
      </c>
      <c r="I18" s="31">
        <f t="shared" si="2"/>
        <v>0</v>
      </c>
      <c r="J18" s="32">
        <f t="shared" ref="J18:J23" si="5">G18/$G$46</f>
        <v>0.47567120499443222</v>
      </c>
      <c r="K18" s="61">
        <f t="shared" si="4"/>
        <v>0.47526511934440896</v>
      </c>
    </row>
    <row r="19" spans="1:11" x14ac:dyDescent="0.2">
      <c r="A19" s="106" t="s">
        <v>38</v>
      </c>
      <c r="B19" s="72">
        <v>1</v>
      </c>
      <c r="C19" s="77">
        <f>VLOOKUP($B$3,'Data for Bill Impacts'!$A$3:$Y$15,7,0)</f>
        <v>55.4</v>
      </c>
      <c r="D19" s="21">
        <f>B19*C19</f>
        <v>55.4</v>
      </c>
      <c r="E19" s="72">
        <f t="shared" ref="E19:E41" si="6">B19</f>
        <v>1</v>
      </c>
      <c r="F19" s="77">
        <f>VLOOKUP($B$3,'Data for Bill Impacts'!$A$3:$Y$15,17,0)</f>
        <v>61.5</v>
      </c>
      <c r="G19" s="21">
        <f>E19*F19</f>
        <v>61.5</v>
      </c>
      <c r="H19" s="21">
        <f t="shared" si="1"/>
        <v>6.1000000000000014</v>
      </c>
      <c r="I19" s="22">
        <f t="shared" si="2"/>
        <v>0.1101083032490975</v>
      </c>
      <c r="J19" s="22">
        <f t="shared" si="5"/>
        <v>0.2626248236570391</v>
      </c>
      <c r="K19" s="107">
        <f t="shared" si="4"/>
        <v>0.2624006180059355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1000</v>
      </c>
      <c r="C23" s="77">
        <f>VLOOKUP($B$3,'Data for Bill Impacts'!$A$3:$Y$15,10,0)</f>
        <v>3.15E-2</v>
      </c>
      <c r="D23" s="21">
        <f>B23*C23</f>
        <v>31.5</v>
      </c>
      <c r="E23" s="72">
        <f t="shared" si="6"/>
        <v>1000</v>
      </c>
      <c r="F23" s="77">
        <f>VLOOKUP($B$3,'Data for Bill Impacts'!$A$3:$Y$15,19,0)</f>
        <v>1.84E-2</v>
      </c>
      <c r="G23" s="21">
        <f>E23*F23</f>
        <v>18.399999999999999</v>
      </c>
      <c r="H23" s="21">
        <f t="shared" si="1"/>
        <v>-13.100000000000001</v>
      </c>
      <c r="I23" s="22">
        <f t="shared" si="2"/>
        <v>-0.41587301587301589</v>
      </c>
      <c r="J23" s="22">
        <f t="shared" si="5"/>
        <v>7.8573930980317383E-2</v>
      </c>
      <c r="K23" s="107">
        <f t="shared" si="4"/>
        <v>7.8506851566003455E-2</v>
      </c>
    </row>
    <row r="24" spans="1:11" x14ac:dyDescent="0.2">
      <c r="A24" s="106" t="s">
        <v>129</v>
      </c>
      <c r="B24" s="72">
        <f>IF($B$9="kWh",$B$4,$B$5)</f>
        <v>1000</v>
      </c>
      <c r="C24" s="77">
        <f>VLOOKUP($B$3,'Data for Bill Impacts'!$A$3:$Y$15,14,0)</f>
        <v>2.0000000000000001E-4</v>
      </c>
      <c r="D24" s="21">
        <f>B24*C24</f>
        <v>0.2</v>
      </c>
      <c r="E24" s="72">
        <f t="shared" si="6"/>
        <v>1000</v>
      </c>
      <c r="F24" s="77">
        <f>VLOOKUP($B$3,'Data for Bill Impacts'!$A$3:$Y$15,23,0)</f>
        <v>2.0000000000000001E-4</v>
      </c>
      <c r="G24" s="21">
        <f>E24*F24</f>
        <v>0.2</v>
      </c>
      <c r="H24" s="21">
        <f t="shared" si="1"/>
        <v>0</v>
      </c>
      <c r="I24" s="22">
        <f>IF(ISERROR(H24/D24),0,(H24/D24))</f>
        <v>0</v>
      </c>
      <c r="J24" s="22">
        <f t="shared" ref="J24" si="9">G24/$G$46</f>
        <v>8.5406446717736296E-4</v>
      </c>
      <c r="K24" s="107">
        <f t="shared" si="4"/>
        <v>8.5333534310873336E-4</v>
      </c>
    </row>
    <row r="25" spans="1:11" s="1" customFormat="1" x14ac:dyDescent="0.2">
      <c r="A25" s="109" t="s">
        <v>72</v>
      </c>
      <c r="B25" s="73"/>
      <c r="C25" s="34"/>
      <c r="D25" s="34">
        <f>SUM(D19:D24)</f>
        <v>87.100000000000009</v>
      </c>
      <c r="E25" s="72"/>
      <c r="F25" s="34"/>
      <c r="G25" s="34">
        <f>SUM(G19:G24)</f>
        <v>80.100000000000009</v>
      </c>
      <c r="H25" s="34">
        <f t="shared" si="1"/>
        <v>-7</v>
      </c>
      <c r="I25" s="35">
        <f t="shared" si="2"/>
        <v>-8.0367393800229614E-2</v>
      </c>
      <c r="J25" s="35">
        <f>G25/$G$46</f>
        <v>0.34205281910453389</v>
      </c>
      <c r="K25" s="110">
        <f t="shared" si="4"/>
        <v>0.34176080491504773</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3.3735546453505837E-3</v>
      </c>
      <c r="K26" s="107">
        <f t="shared" si="4"/>
        <v>3.3706746052794968E-3</v>
      </c>
    </row>
    <row r="27" spans="1:11" s="1" customFormat="1" x14ac:dyDescent="0.2">
      <c r="A27" s="118" t="s">
        <v>75</v>
      </c>
      <c r="B27" s="119">
        <f>B8-B4</f>
        <v>104</v>
      </c>
      <c r="C27" s="120">
        <f>IF(B4&gt;B7,C13,C12)</f>
        <v>0.121</v>
      </c>
      <c r="D27" s="21">
        <f>B27*C27</f>
        <v>12.584</v>
      </c>
      <c r="E27" s="72">
        <f>B27</f>
        <v>104</v>
      </c>
      <c r="F27" s="120">
        <f>C27</f>
        <v>0.121</v>
      </c>
      <c r="G27" s="21">
        <f>E27*F27</f>
        <v>12.584</v>
      </c>
      <c r="H27" s="21">
        <f t="shared" si="1"/>
        <v>0</v>
      </c>
      <c r="I27" s="22">
        <f>IF(ISERROR(H27/D27),0,(H27/D27))</f>
        <v>0</v>
      </c>
      <c r="J27" s="22">
        <f t="shared" ref="J27:J46" si="10">G27/$G$46</f>
        <v>5.373773627479967E-2</v>
      </c>
      <c r="K27" s="107">
        <f t="shared" ref="K27:K41" si="11">G27/$G$51</f>
        <v>5.3691859788401498E-2</v>
      </c>
    </row>
    <row r="28" spans="1:11" s="1" customFormat="1" x14ac:dyDescent="0.2">
      <c r="A28" s="118" t="s">
        <v>74</v>
      </c>
      <c r="B28" s="119">
        <f>B8-B4</f>
        <v>104</v>
      </c>
      <c r="C28" s="120">
        <f>0.65*C15+0.17*C16+0.18*C17</f>
        <v>0.11139</v>
      </c>
      <c r="D28" s="21">
        <f>B28*C28</f>
        <v>11.58456</v>
      </c>
      <c r="E28" s="72">
        <f>B28</f>
        <v>104</v>
      </c>
      <c r="F28" s="120">
        <f>C28</f>
        <v>0.11139</v>
      </c>
      <c r="G28" s="21">
        <f>E28*F28</f>
        <v>11.58456</v>
      </c>
      <c r="H28" s="21">
        <f t="shared" si="1"/>
        <v>0</v>
      </c>
      <c r="I28" s="22">
        <f>IF(ISERROR(H28/D28),0,(H28/D28))</f>
        <v>0</v>
      </c>
      <c r="J28" s="22">
        <f t="shared" si="10"/>
        <v>4.9469805319420954E-2</v>
      </c>
      <c r="K28" s="107">
        <f t="shared" si="11"/>
        <v>4.9427572411818534E-2</v>
      </c>
    </row>
    <row r="29" spans="1:11" s="1" customFormat="1" x14ac:dyDescent="0.2">
      <c r="A29" s="109" t="s">
        <v>78</v>
      </c>
      <c r="B29" s="73"/>
      <c r="C29" s="34"/>
      <c r="D29" s="34">
        <f>SUM(D25,D26:D27)</f>
        <v>100.47400000000002</v>
      </c>
      <c r="E29" s="72"/>
      <c r="F29" s="34"/>
      <c r="G29" s="34">
        <f>SUM(G25,G26:G27)</f>
        <v>93.474000000000018</v>
      </c>
      <c r="H29" s="34">
        <f t="shared" si="1"/>
        <v>-7</v>
      </c>
      <c r="I29" s="35">
        <f>IF(ISERROR(H29/D29),0,(H29/D29))</f>
        <v>-6.9669765312419127E-2</v>
      </c>
      <c r="J29" s="35">
        <f t="shared" si="10"/>
        <v>0.39916411002468416</v>
      </c>
      <c r="K29" s="110">
        <f t="shared" si="11"/>
        <v>0.39882333930872876</v>
      </c>
    </row>
    <row r="30" spans="1:11" s="1" customFormat="1" x14ac:dyDescent="0.2">
      <c r="A30" s="109" t="s">
        <v>77</v>
      </c>
      <c r="B30" s="73"/>
      <c r="C30" s="34"/>
      <c r="D30" s="34">
        <f>SUM(D25,D26,D28)</f>
        <v>99.474560000000011</v>
      </c>
      <c r="E30" s="72"/>
      <c r="F30" s="34"/>
      <c r="G30" s="34">
        <f>SUM(G25,G26,G28)</f>
        <v>92.474560000000011</v>
      </c>
      <c r="H30" s="34">
        <f t="shared" si="1"/>
        <v>-7</v>
      </c>
      <c r="I30" s="35">
        <f>IF(ISERROR(H30/D30),0,(H30/D30))</f>
        <v>-7.0369750818701782E-2</v>
      </c>
      <c r="J30" s="35">
        <f t="shared" si="10"/>
        <v>0.39489617906930546</v>
      </c>
      <c r="K30" s="110">
        <f t="shared" si="11"/>
        <v>0.3945590519321458</v>
      </c>
    </row>
    <row r="31" spans="1:11" x14ac:dyDescent="0.2">
      <c r="A31" s="106" t="s">
        <v>40</v>
      </c>
      <c r="B31" s="72">
        <f>B8</f>
        <v>1104</v>
      </c>
      <c r="C31" s="125">
        <f>VLOOKUP($B$3,'Data for Bill Impacts'!$A$3:$Y$15,15,0)</f>
        <v>5.7999999999999996E-3</v>
      </c>
      <c r="D31" s="21">
        <f>B31*C31</f>
        <v>6.4032</v>
      </c>
      <c r="E31" s="72">
        <f t="shared" si="6"/>
        <v>1104</v>
      </c>
      <c r="F31" s="77">
        <f>VLOOKUP($B$3,'Data for Bill Impacts'!$A$3:$Y$15,24,0)</f>
        <v>5.7999999999999996E-3</v>
      </c>
      <c r="G31" s="21">
        <f>E31*F31</f>
        <v>6.4032</v>
      </c>
      <c r="H31" s="21">
        <f t="shared" si="1"/>
        <v>0</v>
      </c>
      <c r="I31" s="22">
        <f t="shared" si="2"/>
        <v>0</v>
      </c>
      <c r="J31" s="22">
        <f t="shared" si="10"/>
        <v>2.7343727981150451E-2</v>
      </c>
      <c r="K31" s="107">
        <f t="shared" si="11"/>
        <v>2.7320384344969206E-2</v>
      </c>
    </row>
    <row r="32" spans="1:11" x14ac:dyDescent="0.2">
      <c r="A32" s="106" t="s">
        <v>41</v>
      </c>
      <c r="B32" s="72">
        <f>B8</f>
        <v>1104</v>
      </c>
      <c r="C32" s="125">
        <f>VLOOKUP($B$3,'Data for Bill Impacts'!$A$3:$Y$15,16,0)</f>
        <v>4.7000000000000002E-3</v>
      </c>
      <c r="D32" s="21">
        <f>B32*C32</f>
        <v>5.1888000000000005</v>
      </c>
      <c r="E32" s="72">
        <f t="shared" si="6"/>
        <v>1104</v>
      </c>
      <c r="F32" s="77">
        <f>VLOOKUP($B$3,'Data for Bill Impacts'!$A$3:$Y$15,25,0)</f>
        <v>4.7000000000000002E-3</v>
      </c>
      <c r="G32" s="21">
        <f>E32*F32</f>
        <v>5.1888000000000005</v>
      </c>
      <c r="H32" s="21">
        <f t="shared" si="1"/>
        <v>0</v>
      </c>
      <c r="I32" s="22">
        <f t="shared" si="2"/>
        <v>0</v>
      </c>
      <c r="J32" s="22">
        <f t="shared" si="10"/>
        <v>2.2157848536449507E-2</v>
      </c>
      <c r="K32" s="107">
        <f t="shared" si="11"/>
        <v>2.2138932141612978E-2</v>
      </c>
    </row>
    <row r="33" spans="1:11" s="1" customFormat="1" x14ac:dyDescent="0.2">
      <c r="A33" s="109" t="s">
        <v>76</v>
      </c>
      <c r="B33" s="73"/>
      <c r="C33" s="34"/>
      <c r="D33" s="34">
        <f>SUM(D31:D32)</f>
        <v>11.592000000000001</v>
      </c>
      <c r="E33" s="72"/>
      <c r="F33" s="34"/>
      <c r="G33" s="34">
        <f>SUM(G31:G32)</f>
        <v>11.592000000000001</v>
      </c>
      <c r="H33" s="34">
        <f t="shared" si="1"/>
        <v>0</v>
      </c>
      <c r="I33" s="35">
        <f t="shared" si="2"/>
        <v>0</v>
      </c>
      <c r="J33" s="35">
        <f t="shared" si="10"/>
        <v>4.9501576517599954E-2</v>
      </c>
      <c r="K33" s="110">
        <f t="shared" si="11"/>
        <v>4.9459316486582187E-2</v>
      </c>
    </row>
    <row r="34" spans="1:11" s="1" customFormat="1" x14ac:dyDescent="0.2">
      <c r="A34" s="109" t="s">
        <v>93</v>
      </c>
      <c r="B34" s="73"/>
      <c r="C34" s="34"/>
      <c r="D34" s="34">
        <f>D29+D33</f>
        <v>112.06600000000002</v>
      </c>
      <c r="E34" s="72"/>
      <c r="F34" s="34"/>
      <c r="G34" s="34">
        <f>G29+G33</f>
        <v>105.06600000000002</v>
      </c>
      <c r="H34" s="34">
        <f t="shared" si="1"/>
        <v>-7</v>
      </c>
      <c r="I34" s="35">
        <f t="shared" si="2"/>
        <v>-6.2463191333678357E-2</v>
      </c>
      <c r="J34" s="35">
        <f t="shared" si="10"/>
        <v>0.44866568654228411</v>
      </c>
      <c r="K34" s="110">
        <f t="shared" si="11"/>
        <v>0.44828265579531096</v>
      </c>
    </row>
    <row r="35" spans="1:11" s="1" customFormat="1" x14ac:dyDescent="0.2">
      <c r="A35" s="109" t="s">
        <v>94</v>
      </c>
      <c r="B35" s="73"/>
      <c r="C35" s="34"/>
      <c r="D35" s="34">
        <f>D30+D33</f>
        <v>111.06656000000001</v>
      </c>
      <c r="E35" s="72"/>
      <c r="F35" s="34"/>
      <c r="G35" s="34">
        <f>G30+G33</f>
        <v>104.06656000000001</v>
      </c>
      <c r="H35" s="34">
        <f t="shared" si="1"/>
        <v>-7</v>
      </c>
      <c r="I35" s="35">
        <f t="shared" si="2"/>
        <v>-6.3025270612504791E-2</v>
      </c>
      <c r="J35" s="35">
        <f t="shared" si="10"/>
        <v>0.44439775558690536</v>
      </c>
      <c r="K35" s="110">
        <f t="shared" si="11"/>
        <v>0.44401836841872794</v>
      </c>
    </row>
    <row r="36" spans="1:11" x14ac:dyDescent="0.2">
      <c r="A36" s="106" t="s">
        <v>42</v>
      </c>
      <c r="B36" s="72">
        <f>B8</f>
        <v>1104</v>
      </c>
      <c r="C36" s="33">
        <v>3.5999999999999999E-3</v>
      </c>
      <c r="D36" s="21">
        <f>B36*C36</f>
        <v>3.9743999999999997</v>
      </c>
      <c r="E36" s="72">
        <f t="shared" si="6"/>
        <v>1104</v>
      </c>
      <c r="F36" s="33">
        <v>3.5999999999999999E-3</v>
      </c>
      <c r="G36" s="21">
        <f>E36*F36</f>
        <v>3.9743999999999997</v>
      </c>
      <c r="H36" s="21">
        <f t="shared" si="1"/>
        <v>0</v>
      </c>
      <c r="I36" s="22">
        <f t="shared" si="2"/>
        <v>0</v>
      </c>
      <c r="J36" s="22">
        <f t="shared" si="10"/>
        <v>1.6971969091748553E-2</v>
      </c>
      <c r="K36" s="107">
        <f t="shared" si="11"/>
        <v>1.6957479938256748E-2</v>
      </c>
    </row>
    <row r="37" spans="1:11" x14ac:dyDescent="0.2">
      <c r="A37" s="106" t="s">
        <v>43</v>
      </c>
      <c r="B37" s="72">
        <f>B8</f>
        <v>1104</v>
      </c>
      <c r="C37" s="33">
        <v>2.0999999999999999E-3</v>
      </c>
      <c r="D37" s="21">
        <f>B37*C37</f>
        <v>2.3184</v>
      </c>
      <c r="E37" s="72">
        <f t="shared" si="6"/>
        <v>1104</v>
      </c>
      <c r="F37" s="33">
        <v>2.0999999999999999E-3</v>
      </c>
      <c r="G37" s="21">
        <f>E37*F37</f>
        <v>2.3184</v>
      </c>
      <c r="H37" s="21">
        <f>G37-D37</f>
        <v>0</v>
      </c>
      <c r="I37" s="22">
        <f t="shared" si="2"/>
        <v>0</v>
      </c>
      <c r="J37" s="22">
        <f t="shared" si="10"/>
        <v>9.9003153035199919E-3</v>
      </c>
      <c r="K37" s="107">
        <f t="shared" si="11"/>
        <v>9.8918632973164361E-3</v>
      </c>
    </row>
    <row r="38" spans="1:11" x14ac:dyDescent="0.2">
      <c r="A38" s="106" t="s">
        <v>99</v>
      </c>
      <c r="B38" s="72">
        <f>B8</f>
        <v>1104</v>
      </c>
      <c r="C38" s="33">
        <v>1.1000000000000001E-3</v>
      </c>
      <c r="D38" s="21">
        <f>B38*C38</f>
        <v>1.2144000000000001</v>
      </c>
      <c r="E38" s="72">
        <f t="shared" si="6"/>
        <v>1104</v>
      </c>
      <c r="F38" s="33">
        <v>1.1000000000000001E-3</v>
      </c>
      <c r="G38" s="21">
        <f>E38*F38</f>
        <v>1.2144000000000001</v>
      </c>
      <c r="H38" s="21">
        <f>G38-D38</f>
        <v>0</v>
      </c>
      <c r="I38" s="22">
        <f t="shared" ref="I38" si="12">IF(ISERROR(H38/D38),0,(H38/D38))</f>
        <v>0</v>
      </c>
      <c r="J38" s="22">
        <f t="shared" ref="J38" si="13">G38/$G$46</f>
        <v>5.185879444700948E-3</v>
      </c>
      <c r="K38" s="107">
        <f t="shared" ref="K38" si="14">G38/$G$51</f>
        <v>5.181452203356229E-3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1.0675805839717037E-3</v>
      </c>
      <c r="K39" s="107">
        <f t="shared" si="11"/>
        <v>1.0666691788859166E-3</v>
      </c>
    </row>
    <row r="40" spans="1:11" s="1" customFormat="1" x14ac:dyDescent="0.2">
      <c r="A40" s="109" t="s">
        <v>45</v>
      </c>
      <c r="B40" s="73"/>
      <c r="C40" s="34"/>
      <c r="D40" s="34">
        <f>SUM(D36:D39)</f>
        <v>7.7572000000000001</v>
      </c>
      <c r="E40" s="72"/>
      <c r="F40" s="34"/>
      <c r="G40" s="34">
        <f>SUM(G36:G39)</f>
        <v>7.7572000000000001</v>
      </c>
      <c r="H40" s="34">
        <f t="shared" si="1"/>
        <v>0</v>
      </c>
      <c r="I40" s="35">
        <f t="shared" si="2"/>
        <v>0</v>
      </c>
      <c r="J40" s="35">
        <f t="shared" si="10"/>
        <v>3.31257444239412E-2</v>
      </c>
      <c r="K40" s="110">
        <f t="shared" si="11"/>
        <v>3.3097464617815334E-2</v>
      </c>
    </row>
    <row r="41" spans="1:11" s="1" customFormat="1" ht="13.5" thickBot="1" x14ac:dyDescent="0.25">
      <c r="A41" s="111" t="s">
        <v>46</v>
      </c>
      <c r="B41" s="112">
        <f>B4</f>
        <v>1000</v>
      </c>
      <c r="C41" s="113">
        <v>0</v>
      </c>
      <c r="D41" s="114">
        <f>B41*C41</f>
        <v>0</v>
      </c>
      <c r="E41" s="115">
        <f t="shared" si="6"/>
        <v>1000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230.02320000000003</v>
      </c>
      <c r="E42" s="37"/>
      <c r="F42" s="38"/>
      <c r="G42" s="38">
        <f>SUM(G14,G25,G26,G27,G33,G40,G41)</f>
        <v>223.02320000000003</v>
      </c>
      <c r="H42" s="38">
        <f t="shared" si="1"/>
        <v>-7</v>
      </c>
      <c r="I42" s="39">
        <f>IF(ISERROR(H42/D42),0,(H42/D42))</f>
        <v>-3.0431712975039035E-2</v>
      </c>
      <c r="J42" s="39">
        <f t="shared" si="10"/>
        <v>0.95238095238095233</v>
      </c>
      <c r="K42" s="40"/>
    </row>
    <row r="43" spans="1:11" x14ac:dyDescent="0.2">
      <c r="A43" s="143" t="s">
        <v>108</v>
      </c>
      <c r="B43" s="42"/>
      <c r="C43" s="25">
        <v>0.13</v>
      </c>
      <c r="D43" s="25">
        <f>D42*C43</f>
        <v>29.903016000000004</v>
      </c>
      <c r="E43" s="25"/>
      <c r="F43" s="25">
        <f>C43</f>
        <v>0.13</v>
      </c>
      <c r="G43" s="25">
        <f>G42*F43</f>
        <v>28.993016000000004</v>
      </c>
      <c r="H43" s="25">
        <f t="shared" si="1"/>
        <v>-0.91000000000000014</v>
      </c>
      <c r="I43" s="43">
        <f t="shared" si="2"/>
        <v>-3.0431712975039039E-2</v>
      </c>
      <c r="J43" s="43">
        <f t="shared" si="10"/>
        <v>0.12380952380952381</v>
      </c>
      <c r="K43" s="44"/>
    </row>
    <row r="44" spans="1:11" s="1" customFormat="1" x14ac:dyDescent="0.2">
      <c r="A44" s="45" t="s">
        <v>109</v>
      </c>
      <c r="B44" s="23"/>
      <c r="C44" s="24"/>
      <c r="D44" s="24">
        <f>SUM(D42:D43)</f>
        <v>259.92621600000001</v>
      </c>
      <c r="E44" s="24"/>
      <c r="F44" s="24"/>
      <c r="G44" s="24">
        <f>SUM(G42:G43)</f>
        <v>252.01621600000004</v>
      </c>
      <c r="H44" s="24">
        <f t="shared" si="1"/>
        <v>-7.9099999999999682</v>
      </c>
      <c r="I44" s="26">
        <f t="shared" si="2"/>
        <v>-3.0431712975038917E-2</v>
      </c>
      <c r="J44" s="26">
        <f t="shared" si="10"/>
        <v>1.0761904761904761</v>
      </c>
      <c r="K44" s="46"/>
    </row>
    <row r="45" spans="1:11" x14ac:dyDescent="0.2">
      <c r="A45" s="41" t="s">
        <v>110</v>
      </c>
      <c r="B45" s="42"/>
      <c r="C45" s="25">
        <v>-0.08</v>
      </c>
      <c r="D45" s="25">
        <f>D42*C45</f>
        <v>-18.401856000000002</v>
      </c>
      <c r="E45" s="25"/>
      <c r="F45" s="25">
        <f>C45</f>
        <v>-0.08</v>
      </c>
      <c r="G45" s="25">
        <f>G42*F45</f>
        <v>-17.841856000000003</v>
      </c>
      <c r="H45" s="25">
        <f t="shared" si="1"/>
        <v>0.55999999999999872</v>
      </c>
      <c r="I45" s="43">
        <f t="shared" si="2"/>
        <v>-3.0431712975038966E-2</v>
      </c>
      <c r="J45" s="43">
        <f t="shared" si="10"/>
        <v>-7.6190476190476197E-2</v>
      </c>
      <c r="K45" s="44"/>
    </row>
    <row r="46" spans="1:11" s="1" customFormat="1" ht="13.5" thickBot="1" x14ac:dyDescent="0.25">
      <c r="A46" s="47" t="s">
        <v>111</v>
      </c>
      <c r="B46" s="48"/>
      <c r="C46" s="49"/>
      <c r="D46" s="49">
        <f>SUM(D44:D45)</f>
        <v>241.52436</v>
      </c>
      <c r="E46" s="49"/>
      <c r="F46" s="49"/>
      <c r="G46" s="49">
        <f>SUM(G44:G45)</f>
        <v>234.17436000000004</v>
      </c>
      <c r="H46" s="49">
        <f t="shared" si="1"/>
        <v>-7.3499999999999659</v>
      </c>
      <c r="I46" s="50">
        <f t="shared" si="2"/>
        <v>-3.0431712975038896E-2</v>
      </c>
      <c r="J46" s="50">
        <f t="shared" si="10"/>
        <v>1</v>
      </c>
      <c r="K46" s="51"/>
    </row>
    <row r="47" spans="1:11" x14ac:dyDescent="0.2">
      <c r="A47" s="52" t="s">
        <v>112</v>
      </c>
      <c r="B47" s="53"/>
      <c r="C47" s="54"/>
      <c r="D47" s="54">
        <f>SUM(D18,D25,D26,D28,D33,D40,D41)</f>
        <v>230.21376000000004</v>
      </c>
      <c r="E47" s="54"/>
      <c r="F47" s="54"/>
      <c r="G47" s="54">
        <f>SUM(G18,G25,G26,G28,G33,G40,G41)</f>
        <v>223.21376000000004</v>
      </c>
      <c r="H47" s="54">
        <f>G47-D47</f>
        <v>-7</v>
      </c>
      <c r="I47" s="55">
        <f>IF(ISERROR(H47/D47),0,(H47/D47))</f>
        <v>-3.0406523050576988E-2</v>
      </c>
      <c r="J47" s="55"/>
      <c r="K47" s="56">
        <f>G47/$G$51</f>
        <v>0.95238095238095244</v>
      </c>
    </row>
    <row r="48" spans="1:11" x14ac:dyDescent="0.2">
      <c r="A48" s="57" t="s">
        <v>108</v>
      </c>
      <c r="B48" s="58"/>
      <c r="C48" s="30">
        <v>0.13</v>
      </c>
      <c r="D48" s="30">
        <f>D47*C48</f>
        <v>29.927788800000005</v>
      </c>
      <c r="E48" s="30"/>
      <c r="F48" s="30">
        <f>C48</f>
        <v>0.13</v>
      </c>
      <c r="G48" s="30">
        <f>G47*F48</f>
        <v>29.017788800000005</v>
      </c>
      <c r="H48" s="30">
        <f>G48-D48</f>
        <v>-0.91000000000000014</v>
      </c>
      <c r="I48" s="31">
        <f>IF(ISERROR(H48/D48),0,(H48/D48))</f>
        <v>-3.0406523050576992E-2</v>
      </c>
      <c r="J48" s="31"/>
      <c r="K48" s="59">
        <f>G48/$G$51</f>
        <v>0.12380952380952381</v>
      </c>
    </row>
    <row r="49" spans="1:11" x14ac:dyDescent="0.2">
      <c r="A49" s="136" t="s">
        <v>113</v>
      </c>
      <c r="B49" s="28"/>
      <c r="C49" s="29"/>
      <c r="D49" s="29">
        <f>SUM(D47:D48)</f>
        <v>260.14154880000007</v>
      </c>
      <c r="E49" s="29"/>
      <c r="F49" s="29"/>
      <c r="G49" s="29">
        <f>SUM(G47:G48)</f>
        <v>252.23154880000004</v>
      </c>
      <c r="H49" s="29">
        <f>G49-D49</f>
        <v>-7.910000000000025</v>
      </c>
      <c r="I49" s="32">
        <f>IF(ISERROR(H49/D49),0,(H49/D49))</f>
        <v>-3.0406523050577082E-2</v>
      </c>
      <c r="J49" s="32"/>
      <c r="K49" s="61">
        <f>G49/$G$51</f>
        <v>1.0761904761904761</v>
      </c>
    </row>
    <row r="50" spans="1:11" x14ac:dyDescent="0.2">
      <c r="A50" s="57" t="s">
        <v>110</v>
      </c>
      <c r="B50" s="58"/>
      <c r="C50" s="30">
        <v>-0.08</v>
      </c>
      <c r="D50" s="30">
        <f>D47*C50</f>
        <v>-18.417100800000004</v>
      </c>
      <c r="E50" s="30"/>
      <c r="F50" s="30">
        <f>C50</f>
        <v>-0.08</v>
      </c>
      <c r="G50" s="30">
        <f>G47*F50</f>
        <v>-17.857100800000005</v>
      </c>
      <c r="H50" s="30">
        <f>G50-D50</f>
        <v>0.55999999999999872</v>
      </c>
      <c r="I50" s="31">
        <f>IF(ISERROR(H50/D50),0,(H50/D50))</f>
        <v>-3.0406523050576919E-2</v>
      </c>
      <c r="J50" s="31"/>
      <c r="K50" s="59">
        <f>G50/$G$51</f>
        <v>-7.6190476190476197E-2</v>
      </c>
    </row>
    <row r="51" spans="1:11" ht="13.5" thickBot="1" x14ac:dyDescent="0.25">
      <c r="A51" s="62" t="s">
        <v>114</v>
      </c>
      <c r="B51" s="63"/>
      <c r="C51" s="64"/>
      <c r="D51" s="64">
        <f>SUM(D49:D50)</f>
        <v>241.72444800000005</v>
      </c>
      <c r="E51" s="64"/>
      <c r="F51" s="64"/>
      <c r="G51" s="64">
        <f>SUM(G49:G50)</f>
        <v>234.37444800000003</v>
      </c>
      <c r="H51" s="64">
        <f>G51-D51</f>
        <v>-7.3500000000000227</v>
      </c>
      <c r="I51" s="65">
        <f>IF(ISERROR(H51/D51),0,(H51/D51))</f>
        <v>-3.0406523050577082E-2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48"/>
  <sheetViews>
    <sheetView tabSelected="1" workbookViewId="0">
      <selection activeCell="Q6" sqref="Q6"/>
    </sheetView>
  </sheetViews>
  <sheetFormatPr defaultRowHeight="12.75" x14ac:dyDescent="0.2"/>
  <cols>
    <col min="1" max="1" width="33" customWidth="1"/>
    <col min="3" max="3" width="12.5703125" customWidth="1"/>
    <col min="4" max="4" width="11.140625" customWidth="1"/>
    <col min="5" max="5" width="16.85546875" bestFit="1" customWidth="1"/>
    <col min="6" max="6" width="12.140625" customWidth="1"/>
    <col min="7" max="7" width="12" bestFit="1" customWidth="1"/>
    <col min="8" max="8" width="10.28515625" customWidth="1"/>
    <col min="9" max="9" width="10.7109375" customWidth="1"/>
  </cols>
  <sheetData>
    <row r="1" spans="1:6" x14ac:dyDescent="0.2">
      <c r="A1" s="8">
        <v>1</v>
      </c>
      <c r="B1" s="8">
        <v>2</v>
      </c>
      <c r="C1" s="8">
        <v>3</v>
      </c>
      <c r="D1" s="8">
        <v>4</v>
      </c>
      <c r="E1" s="8">
        <v>5</v>
      </c>
      <c r="F1" s="8">
        <v>6</v>
      </c>
    </row>
    <row r="2" spans="1:6" s="11" customFormat="1" ht="51" x14ac:dyDescent="0.2">
      <c r="A2" s="9" t="s">
        <v>13</v>
      </c>
      <c r="B2" s="9" t="s">
        <v>14</v>
      </c>
      <c r="C2" s="142" t="s">
        <v>101</v>
      </c>
      <c r="D2" s="9" t="s">
        <v>15</v>
      </c>
      <c r="E2" s="142" t="s">
        <v>102</v>
      </c>
      <c r="F2" s="10" t="s">
        <v>17</v>
      </c>
    </row>
    <row r="3" spans="1:6" x14ac:dyDescent="0.2">
      <c r="A3" s="5" t="s">
        <v>0</v>
      </c>
      <c r="B3" s="126">
        <v>1.0569999999999999</v>
      </c>
      <c r="C3" s="141">
        <f>ROUND(VLOOKUP(A3,[6]Sheet1!$A$9:$I$27,8,FALSE),0)</f>
        <v>755</v>
      </c>
      <c r="D3" s="6">
        <v>600</v>
      </c>
      <c r="E3" s="180">
        <f>VLOOKUP(A3,$A$25:$G$44,7,FALSE)</f>
        <v>0</v>
      </c>
      <c r="F3" s="4" t="s">
        <v>18</v>
      </c>
    </row>
    <row r="4" spans="1:6" x14ac:dyDescent="0.2">
      <c r="A4" s="5" t="s">
        <v>1</v>
      </c>
      <c r="B4" s="126">
        <v>1.0760000000000001</v>
      </c>
      <c r="C4" s="141">
        <f>ROUND(VLOOKUP(A4,[6]Sheet1!$A$9:$I$27,8,FALSE),0)</f>
        <v>920</v>
      </c>
      <c r="D4" s="6">
        <v>600</v>
      </c>
      <c r="E4" s="180">
        <f t="shared" ref="E4:E11" si="0">VLOOKUP(A4,$A$25:$G$44,7,FALSE)</f>
        <v>0</v>
      </c>
      <c r="F4" s="4" t="s">
        <v>18</v>
      </c>
    </row>
    <row r="5" spans="1:6" x14ac:dyDescent="0.2">
      <c r="A5" s="5" t="s">
        <v>2</v>
      </c>
      <c r="B5" s="126">
        <v>1.105</v>
      </c>
      <c r="C5" s="141">
        <f>ROUND(VLOOKUP(A5,[6]Sheet1!$A$9:$I$27,8,FALSE),0)</f>
        <v>1152</v>
      </c>
      <c r="D5" s="6">
        <v>600</v>
      </c>
      <c r="E5" s="180">
        <f t="shared" si="0"/>
        <v>0</v>
      </c>
      <c r="F5" s="4" t="s">
        <v>18</v>
      </c>
    </row>
    <row r="6" spans="1:6" x14ac:dyDescent="0.2">
      <c r="A6" s="5" t="s">
        <v>3</v>
      </c>
      <c r="B6" s="126">
        <v>1.1040000000000001</v>
      </c>
      <c r="C6" s="141">
        <f>ROUND(VLOOKUP(A6,[6]Sheet1!$A$9:$I$27,8,FALSE),0)</f>
        <v>352</v>
      </c>
      <c r="D6" s="6">
        <v>600</v>
      </c>
      <c r="E6" s="180">
        <f t="shared" si="0"/>
        <v>0</v>
      </c>
      <c r="F6" s="4" t="s">
        <v>18</v>
      </c>
    </row>
    <row r="7" spans="1:6" x14ac:dyDescent="0.2">
      <c r="A7" s="5" t="s">
        <v>4</v>
      </c>
      <c r="B7" s="126">
        <v>1.0960000000000001</v>
      </c>
      <c r="C7" s="141">
        <f>ROUND(VLOOKUP(A7,[6]Sheet1!$A$9:$I$27,8,FALSE),0)</f>
        <v>1982</v>
      </c>
      <c r="D7" s="6">
        <v>750</v>
      </c>
      <c r="E7" s="180">
        <f t="shared" si="0"/>
        <v>0</v>
      </c>
      <c r="F7" s="4" t="s">
        <v>18</v>
      </c>
    </row>
    <row r="8" spans="1:6" x14ac:dyDescent="0.2">
      <c r="A8" s="5" t="s">
        <v>6</v>
      </c>
      <c r="B8" s="126">
        <v>1.0669999999999999</v>
      </c>
      <c r="C8" s="141">
        <f>ROUND(VLOOKUP(A8,[6]Sheet1!$A$9:$I$27,8,FALSE),0)</f>
        <v>2759</v>
      </c>
      <c r="D8" s="6">
        <v>750</v>
      </c>
      <c r="E8" s="180">
        <f t="shared" si="0"/>
        <v>0</v>
      </c>
      <c r="F8" s="4" t="s">
        <v>18</v>
      </c>
    </row>
    <row r="9" spans="1:6" x14ac:dyDescent="0.2">
      <c r="A9" s="5" t="s">
        <v>8</v>
      </c>
      <c r="B9" s="126">
        <v>1.0920000000000001</v>
      </c>
      <c r="C9" s="141">
        <f>ROUND(VLOOKUP(A9,[6]Sheet1!$A$9:$I$27,8,FALSE),0)</f>
        <v>517</v>
      </c>
      <c r="D9" s="6">
        <v>750</v>
      </c>
      <c r="E9" s="180">
        <f t="shared" si="0"/>
        <v>0</v>
      </c>
      <c r="F9" s="4" t="s">
        <v>18</v>
      </c>
    </row>
    <row r="10" spans="1:6" x14ac:dyDescent="0.2">
      <c r="A10" s="5" t="s">
        <v>9</v>
      </c>
      <c r="B10" s="126">
        <v>1.0920000000000001</v>
      </c>
      <c r="C10" s="141">
        <f>ROUND(VLOOKUP(A10,[6]Sheet1!$A$9:$I$27,8,FALSE),0)</f>
        <v>71</v>
      </c>
      <c r="D10" s="6">
        <v>750</v>
      </c>
      <c r="E10" s="180">
        <f t="shared" si="0"/>
        <v>0</v>
      </c>
      <c r="F10" s="4" t="s">
        <v>18</v>
      </c>
    </row>
    <row r="11" spans="1:6" x14ac:dyDescent="0.2">
      <c r="A11" s="7" t="s">
        <v>12</v>
      </c>
      <c r="B11" s="126">
        <v>1.0920000000000001</v>
      </c>
      <c r="C11" s="141">
        <f>ROUND(VLOOKUP(A11,[6]Sheet1!$A$9:$I$27,8,FALSE),0)</f>
        <v>364</v>
      </c>
      <c r="D11" s="6">
        <v>750</v>
      </c>
      <c r="E11" s="180">
        <f t="shared" si="0"/>
        <v>0</v>
      </c>
      <c r="F11" s="4" t="s">
        <v>18</v>
      </c>
    </row>
    <row r="12" spans="1:6" x14ac:dyDescent="0.2">
      <c r="A12" s="5" t="s">
        <v>5</v>
      </c>
      <c r="B12" s="126">
        <v>1.0609999999999999</v>
      </c>
      <c r="C12" s="141">
        <f>ROUND(VLOOKUP(A12,[6]Sheet1!$A$9:$I$27,8,FALSE),0)</f>
        <v>36104</v>
      </c>
      <c r="D12" s="6">
        <v>0</v>
      </c>
      <c r="E12" s="180">
        <f>ROUND(VLOOKUP(A12,[6]Sheet1!$A$9:$I$27,9,FALSE),0)</f>
        <v>124</v>
      </c>
      <c r="F12" s="4" t="s">
        <v>19</v>
      </c>
    </row>
    <row r="13" spans="1:6" x14ac:dyDescent="0.2">
      <c r="A13" s="5" t="s">
        <v>7</v>
      </c>
      <c r="B13" s="126">
        <v>1.05</v>
      </c>
      <c r="C13" s="141">
        <f>ROUND(VLOOKUP(A13,[6]Sheet1!$A$9:$I$27,8,FALSE),0)</f>
        <v>50525</v>
      </c>
      <c r="D13" s="6">
        <v>0</v>
      </c>
      <c r="E13" s="180">
        <f>ROUND(VLOOKUP(A13,[6]Sheet1!$A$9:$I$27,9,FALSE),0)</f>
        <v>135</v>
      </c>
      <c r="F13" s="4" t="s">
        <v>19</v>
      </c>
    </row>
    <row r="14" spans="1:6" x14ac:dyDescent="0.2">
      <c r="A14" s="7" t="s">
        <v>10</v>
      </c>
      <c r="B14" s="126">
        <v>1.0609999999999999</v>
      </c>
      <c r="C14" s="141">
        <f>ROUND(VLOOKUP(A14,[6]Sheet1!$A$9:$I$27,8,FALSE),0)</f>
        <v>1328</v>
      </c>
      <c r="D14" s="6">
        <v>0</v>
      </c>
      <c r="E14" s="180">
        <f>ROUND(VLOOKUP(A14,[6]Sheet1!$A$9:$I$27,9,FALSE),0)</f>
        <v>13</v>
      </c>
      <c r="F14" s="4" t="s">
        <v>19</v>
      </c>
    </row>
    <row r="15" spans="1:6" x14ac:dyDescent="0.2">
      <c r="A15" s="7" t="s">
        <v>11</v>
      </c>
      <c r="B15" s="126">
        <v>1.034</v>
      </c>
      <c r="C15" s="141">
        <f>ROUND(VLOOKUP(A15,[6]Sheet1!$A$9:$I$27,8,FALSE),0)</f>
        <v>1601036</v>
      </c>
      <c r="D15" s="6">
        <v>0</v>
      </c>
      <c r="E15" s="180">
        <f>ROUND(VLOOKUP(A15,[6]Sheet1!$A$9:$I$27,9,FALSE),0)</f>
        <v>3091</v>
      </c>
      <c r="F15" s="4" t="s">
        <v>19</v>
      </c>
    </row>
    <row r="16" spans="1:6" x14ac:dyDescent="0.2">
      <c r="A16" s="7" t="s">
        <v>130</v>
      </c>
      <c r="B16" s="140">
        <v>1.0569999999999999</v>
      </c>
      <c r="C16" s="141">
        <f>ROUND(VLOOKUP(A16,[6]Sheet1!$A$9:$I$27,8,FALSE),0)</f>
        <v>505</v>
      </c>
      <c r="D16" s="2">
        <v>600</v>
      </c>
      <c r="E16" s="180"/>
      <c r="F16" s="4" t="s">
        <v>18</v>
      </c>
    </row>
    <row r="17" spans="1:7" x14ac:dyDescent="0.2">
      <c r="A17" s="7" t="s">
        <v>131</v>
      </c>
      <c r="B17" s="140">
        <v>1.0569999999999999</v>
      </c>
      <c r="C17" s="141">
        <f>ROUND(VLOOKUP(A17,[6]Sheet1!$A$9:$I$27,8,FALSE),0)</f>
        <v>2695</v>
      </c>
      <c r="D17" s="2">
        <v>750</v>
      </c>
      <c r="E17" s="180"/>
      <c r="F17" s="4" t="s">
        <v>18</v>
      </c>
    </row>
    <row r="18" spans="1:7" x14ac:dyDescent="0.2">
      <c r="A18" s="7" t="s">
        <v>132</v>
      </c>
      <c r="B18" s="140">
        <v>1.0465</v>
      </c>
      <c r="C18" s="141">
        <f>ROUND(VLOOKUP(A18,[6]Sheet1!$A$9:$I$27,8,FALSE),0)</f>
        <v>61239</v>
      </c>
      <c r="D18" s="2">
        <v>0</v>
      </c>
      <c r="E18" s="180">
        <f>ROUND(VLOOKUP(A18,[6]Sheet1!$A$9:$I$27,9,FALSE),0)</f>
        <v>177</v>
      </c>
      <c r="F18" s="4" t="s">
        <v>19</v>
      </c>
    </row>
    <row r="19" spans="1:7" x14ac:dyDescent="0.2">
      <c r="A19" s="7" t="s">
        <v>119</v>
      </c>
      <c r="B19" s="140">
        <v>1.0667</v>
      </c>
      <c r="C19" s="141">
        <f>ROUND(VLOOKUP(A19,[6]Sheet1!$A$9:$I$27,8,FALSE),0)</f>
        <v>634</v>
      </c>
      <c r="D19" s="2">
        <v>600</v>
      </c>
      <c r="E19" s="180"/>
      <c r="F19" s="4" t="s">
        <v>18</v>
      </c>
    </row>
    <row r="20" spans="1:7" x14ac:dyDescent="0.2">
      <c r="A20" s="7" t="s">
        <v>120</v>
      </c>
      <c r="B20" s="140">
        <v>1.0667</v>
      </c>
      <c r="C20" s="141">
        <f>ROUND(VLOOKUP(A20,[6]Sheet1!$A$9:$I$27,8,FALSE),0)</f>
        <v>1988</v>
      </c>
      <c r="D20" s="2">
        <v>750</v>
      </c>
      <c r="E20" s="180"/>
      <c r="F20" s="4" t="s">
        <v>18</v>
      </c>
    </row>
    <row r="21" spans="1:7" x14ac:dyDescent="0.2">
      <c r="A21" s="7" t="s">
        <v>121</v>
      </c>
      <c r="B21" s="140">
        <v>1.0563</v>
      </c>
      <c r="C21" s="141">
        <f>ROUND(VLOOKUP(A21,[6]Sheet1!$A$9:$I$27,8,FALSE),0)</f>
        <v>53895</v>
      </c>
      <c r="D21" s="2">
        <v>0</v>
      </c>
      <c r="E21" s="180">
        <f>ROUND(VLOOKUP(A21,[6]Sheet1!$A$9:$I$27,9,FALSE),0)</f>
        <v>152</v>
      </c>
      <c r="F21" s="4" t="s">
        <v>19</v>
      </c>
    </row>
    <row r="24" spans="1:7" x14ac:dyDescent="0.2">
      <c r="A24" s="181" t="s">
        <v>123</v>
      </c>
    </row>
    <row r="25" spans="1:7" ht="25.5" x14ac:dyDescent="0.2">
      <c r="A25" s="176"/>
      <c r="B25" s="176"/>
      <c r="C25" s="177" t="str">
        <f>'[2]Rate Design'!C5</f>
        <v>Number of Customers</v>
      </c>
      <c r="D25" s="176" t="str">
        <f>'[2]Rate Design'!D5</f>
        <v>GWh</v>
      </c>
      <c r="E25" s="176" t="str">
        <f>'[2]Rate Design'!E5</f>
        <v>kWs</v>
      </c>
      <c r="F25" s="160" t="s">
        <v>122</v>
      </c>
      <c r="G25" t="s">
        <v>118</v>
      </c>
    </row>
    <row r="26" spans="1:7" x14ac:dyDescent="0.2">
      <c r="A26" s="176" t="str">
        <f>'[2]Rate Design'!A8</f>
        <v>UR</v>
      </c>
      <c r="B26" s="176"/>
      <c r="C26" s="178">
        <f>'[2]Rate Design'!C8</f>
        <v>236736.51410973314</v>
      </c>
      <c r="D26" s="178">
        <f>'[2]Rate Design'!D8</f>
        <v>2090.4112226667548</v>
      </c>
      <c r="E26" s="178">
        <f>'[2]Rate Design'!E8</f>
        <v>0</v>
      </c>
      <c r="F26" s="70">
        <f>D26*10^6/$C26/12</f>
        <v>735.8431202610476</v>
      </c>
      <c r="G26" s="70"/>
    </row>
    <row r="27" spans="1:7" x14ac:dyDescent="0.2">
      <c r="A27" s="176" t="str">
        <f>'[2]Rate Design'!A9</f>
        <v>R1</v>
      </c>
      <c r="B27" s="176"/>
      <c r="C27" s="178">
        <f>'[2]Rate Design'!C9</f>
        <v>461272.03919284471</v>
      </c>
      <c r="D27" s="178">
        <f>'[2]Rate Design'!D9</f>
        <v>4997.6791200159278</v>
      </c>
      <c r="E27" s="178">
        <f>'[2]Rate Design'!E9</f>
        <v>0</v>
      </c>
      <c r="F27" s="70">
        <f t="shared" ref="F27:F44" si="1">D27*10^6/$C27/12</f>
        <v>902.87991600377848</v>
      </c>
      <c r="G27" s="70"/>
    </row>
    <row r="28" spans="1:7" x14ac:dyDescent="0.2">
      <c r="A28" s="176" t="str">
        <f>'[2]Rate Design'!A10</f>
        <v>R2</v>
      </c>
      <c r="B28" s="176"/>
      <c r="C28" s="178">
        <f>'[2]Rate Design'!C10</f>
        <v>335222.50993507612</v>
      </c>
      <c r="D28" s="178">
        <f>'[2]Rate Design'!D10</f>
        <v>4408.4370975753654</v>
      </c>
      <c r="E28" s="178">
        <f>'[2]Rate Design'!E10</f>
        <v>0</v>
      </c>
      <c r="F28" s="70">
        <f t="shared" si="1"/>
        <v>1095.89823846385</v>
      </c>
      <c r="G28" s="70"/>
    </row>
    <row r="29" spans="1:7" x14ac:dyDescent="0.2">
      <c r="A29" s="176" t="str">
        <f>'[2]Rate Design'!A11</f>
        <v>Seasonal</v>
      </c>
      <c r="B29" s="176"/>
      <c r="C29" s="178">
        <f>'[2]Rate Design'!C11</f>
        <v>150700.60943742251</v>
      </c>
      <c r="D29" s="178">
        <f>'[2]Rate Design'!D11</f>
        <v>600.0893023828487</v>
      </c>
      <c r="E29" s="178">
        <f>'[2]Rate Design'!E11</f>
        <v>0</v>
      </c>
      <c r="F29" s="70">
        <f t="shared" si="1"/>
        <v>331.83304335608995</v>
      </c>
      <c r="G29" s="70"/>
    </row>
    <row r="30" spans="1:7" x14ac:dyDescent="0.2">
      <c r="A30" s="176" t="str">
        <f>'[2]Rate Design'!A12</f>
        <v>GSe</v>
      </c>
      <c r="B30" s="176"/>
      <c r="C30" s="178">
        <f>'[2]Rate Design'!C12</f>
        <v>88514.58987596113</v>
      </c>
      <c r="D30" s="178">
        <f>'[2]Rate Design'!D12</f>
        <v>1999.4814047088983</v>
      </c>
      <c r="E30" s="178">
        <f>'[2]Rate Design'!E12</f>
        <v>0</v>
      </c>
      <c r="F30" s="70">
        <f t="shared" si="1"/>
        <v>1882.440517725993</v>
      </c>
      <c r="G30" s="70"/>
    </row>
    <row r="31" spans="1:7" x14ac:dyDescent="0.2">
      <c r="A31" s="176" t="str">
        <f>'[2]Rate Design'!A13</f>
        <v>GSd</v>
      </c>
      <c r="B31" s="176"/>
      <c r="C31" s="178">
        <f>'[2]Rate Design'!C13</f>
        <v>5611.935954531652</v>
      </c>
      <c r="D31" s="178">
        <f>'[2]Rate Design'!D13</f>
        <v>2296.9679265153522</v>
      </c>
      <c r="E31" s="178">
        <f>'[2]Rate Design'!E13</f>
        <v>7871665.8042090014</v>
      </c>
      <c r="F31" s="70">
        <f t="shared" si="1"/>
        <v>34108.371055395255</v>
      </c>
      <c r="G31" s="70">
        <f t="shared" ref="G31:G44" si="2">E31/C31/12</f>
        <v>116.88874492964429</v>
      </c>
    </row>
    <row r="32" spans="1:7" x14ac:dyDescent="0.2">
      <c r="A32" s="176" t="str">
        <f>'[2]Rate Design'!A14</f>
        <v>UGe</v>
      </c>
      <c r="B32" s="176"/>
      <c r="C32" s="178">
        <f>'[2]Rate Design'!C14</f>
        <v>18501.266387692118</v>
      </c>
      <c r="D32" s="178">
        <f>'[2]Rate Design'!D14</f>
        <v>588.5663730136489</v>
      </c>
      <c r="E32" s="178">
        <f>'[2]Rate Design'!E14</f>
        <v>0</v>
      </c>
      <c r="F32" s="70">
        <f t="shared" si="1"/>
        <v>2651.0184072462102</v>
      </c>
      <c r="G32" s="70"/>
    </row>
    <row r="33" spans="1:7" x14ac:dyDescent="0.2">
      <c r="A33" s="176" t="str">
        <f>'[2]Rate Design'!A15</f>
        <v>UGd</v>
      </c>
      <c r="B33" s="176"/>
      <c r="C33" s="178">
        <f>'[2]Rate Design'!C15</f>
        <v>1783.2776977712454</v>
      </c>
      <c r="D33" s="178">
        <f>'[2]Rate Design'!D15</f>
        <v>1043.9196519483387</v>
      </c>
      <c r="E33" s="178">
        <f>'[2]Rate Design'!E15</f>
        <v>2764064.5555597679</v>
      </c>
      <c r="F33" s="70">
        <f t="shared" si="1"/>
        <v>48782.814049518558</v>
      </c>
      <c r="G33" s="70">
        <f t="shared" si="2"/>
        <v>129.16592477503261</v>
      </c>
    </row>
    <row r="34" spans="1:7" x14ac:dyDescent="0.2">
      <c r="A34" s="176" t="str">
        <f>'[2]Rate Design'!A16</f>
        <v>St Lgt</v>
      </c>
      <c r="B34" s="176"/>
      <c r="C34" s="178">
        <f>'[2]Rate Design'!C16</f>
        <v>5481.1830550147579</v>
      </c>
      <c r="D34" s="178">
        <f>'[2]Rate Design'!D16</f>
        <v>133.42999699318997</v>
      </c>
      <c r="E34" s="178">
        <f>'[2]Rate Design'!E16</f>
        <v>0</v>
      </c>
      <c r="F34" s="70">
        <f t="shared" si="1"/>
        <v>2028.6070186848058</v>
      </c>
      <c r="G34" s="70"/>
    </row>
    <row r="35" spans="1:7" x14ac:dyDescent="0.2">
      <c r="A35" s="176" t="str">
        <f>'[2]Rate Design'!A17</f>
        <v>Sen Lgt</v>
      </c>
      <c r="B35" s="176"/>
      <c r="C35" s="178">
        <f>'[2]Rate Design'!C17</f>
        <v>23605.205452826416</v>
      </c>
      <c r="D35" s="178">
        <f>'[2]Rate Design'!D17</f>
        <v>20.49453279022655</v>
      </c>
      <c r="E35" s="178">
        <f>'[2]Rate Design'!E17</f>
        <v>0</v>
      </c>
      <c r="F35" s="70">
        <f t="shared" si="1"/>
        <v>72.351741904215586</v>
      </c>
      <c r="G35" s="70"/>
    </row>
    <row r="36" spans="1:7" x14ac:dyDescent="0.2">
      <c r="A36" s="176" t="str">
        <f>'[2]Rate Design'!A18</f>
        <v>USL</v>
      </c>
      <c r="B36" s="176"/>
      <c r="C36" s="178">
        <f>'[2]Rate Design'!C18</f>
        <v>5975.077192279995</v>
      </c>
      <c r="D36" s="178">
        <f>'[2]Rate Design'!D18</f>
        <v>26.397633172621855</v>
      </c>
      <c r="E36" s="178">
        <f>'[2]Rate Design'!E18</f>
        <v>0</v>
      </c>
      <c r="F36" s="70">
        <f t="shared" si="1"/>
        <v>368.16307029930516</v>
      </c>
      <c r="G36" s="70"/>
    </row>
    <row r="37" spans="1:7" x14ac:dyDescent="0.2">
      <c r="A37" s="176" t="str">
        <f>'[2]Rate Design'!A19</f>
        <v>DGen</v>
      </c>
      <c r="B37" s="176"/>
      <c r="C37" s="178">
        <f>'[2]Rate Design'!C19</f>
        <v>1608.4591845445987</v>
      </c>
      <c r="D37" s="178">
        <f>'[2]Rate Design'!D19</f>
        <v>20.936266143415974</v>
      </c>
      <c r="E37" s="178">
        <f>'[2]Rate Design'!E19</f>
        <v>210569.15026733725</v>
      </c>
      <c r="F37" s="70">
        <f t="shared" si="1"/>
        <v>1084.695752338059</v>
      </c>
      <c r="G37" s="70">
        <f t="shared" si="2"/>
        <v>10.909465006979929</v>
      </c>
    </row>
    <row r="38" spans="1:7" x14ac:dyDescent="0.2">
      <c r="A38" s="176" t="str">
        <f>'[2]Rate Design'!A20</f>
        <v>ST</v>
      </c>
      <c r="B38" s="176"/>
      <c r="C38" s="178">
        <f>'[2]Rate Design'!C20</f>
        <v>827.97657876549647</v>
      </c>
      <c r="D38" s="178">
        <f>'[2]Rate Design'!D20</f>
        <v>15149.40505826596</v>
      </c>
      <c r="E38" s="178">
        <f>'[2]Rate Design'!E20</f>
        <v>29499182.4844267</v>
      </c>
      <c r="F38" s="70">
        <f t="shared" si="1"/>
        <v>1524741.7063468902</v>
      </c>
      <c r="G38" s="70">
        <f t="shared" si="2"/>
        <v>2969.003314925651</v>
      </c>
    </row>
    <row r="39" spans="1:7" x14ac:dyDescent="0.2">
      <c r="A39" s="176" t="str">
        <f>'[2]Rate Design'!A21</f>
        <v>AUR</v>
      </c>
      <c r="B39" s="176"/>
      <c r="C39" s="178">
        <f>'[2]Rate Design'!C21</f>
        <v>15466.739377888514</v>
      </c>
      <c r="D39" s="178">
        <f>'[2]Rate Design'!D21</f>
        <v>91.767418545550527</v>
      </c>
      <c r="E39" s="178">
        <f>'[2]Rate Design'!E21</f>
        <v>0</v>
      </c>
      <c r="F39" s="70">
        <f t="shared" si="1"/>
        <v>494.43419792335493</v>
      </c>
      <c r="G39" s="70"/>
    </row>
    <row r="40" spans="1:7" x14ac:dyDescent="0.2">
      <c r="A40" s="176" t="str">
        <f>'[2]Rate Design'!A22</f>
        <v>AUGe</v>
      </c>
      <c r="B40" s="176"/>
      <c r="C40" s="178">
        <f>'[2]Rate Design'!C22</f>
        <v>1352.1664874592414</v>
      </c>
      <c r="D40" s="178">
        <f>'[2]Rate Design'!D22</f>
        <v>43.685011856968622</v>
      </c>
      <c r="E40" s="178">
        <f>'[2]Rate Design'!E22</f>
        <v>0</v>
      </c>
      <c r="F40" s="70">
        <f t="shared" si="1"/>
        <v>2692.2850762170797</v>
      </c>
      <c r="G40" s="70"/>
    </row>
    <row r="41" spans="1:7" x14ac:dyDescent="0.2">
      <c r="A41" s="176" t="str">
        <f>'[2]Rate Design'!A23</f>
        <v>AUGd</v>
      </c>
      <c r="B41" s="176"/>
      <c r="C41" s="178">
        <f>'[2]Rate Design'!C23</f>
        <v>193.69999999999996</v>
      </c>
      <c r="D41" s="178">
        <f>'[2]Rate Design'!D23</f>
        <v>142.60441376849562</v>
      </c>
      <c r="E41" s="178">
        <f>'[2]Rate Design'!E23</f>
        <v>411709.72259682778</v>
      </c>
      <c r="F41" s="70">
        <f t="shared" si="1"/>
        <v>61351.064261097759</v>
      </c>
      <c r="G41" s="70">
        <f t="shared" si="2"/>
        <v>177.12516029806739</v>
      </c>
    </row>
    <row r="42" spans="1:7" x14ac:dyDescent="0.2">
      <c r="A42" s="176" t="str">
        <f>'[2]Rate Design'!A24</f>
        <v>AR</v>
      </c>
      <c r="B42" s="176"/>
      <c r="C42" s="178">
        <f>'[2]Rate Design'!C24</f>
        <v>38017.903287695837</v>
      </c>
      <c r="D42" s="178">
        <f>'[2]Rate Design'!D24</f>
        <v>284.06294900681206</v>
      </c>
      <c r="E42" s="178">
        <f>'[2]Rate Design'!E24</f>
        <v>0</v>
      </c>
      <c r="F42" s="70">
        <f t="shared" si="1"/>
        <v>622.6517080150378</v>
      </c>
      <c r="G42" s="70"/>
    </row>
    <row r="43" spans="1:7" x14ac:dyDescent="0.2">
      <c r="A43" s="176" t="str">
        <f>'[2]Rate Design'!A25</f>
        <v>AGSe</v>
      </c>
      <c r="B43" s="176"/>
      <c r="C43" s="178">
        <f>'[2]Rate Design'!C25</f>
        <v>4336.6665686909555</v>
      </c>
      <c r="D43" s="178">
        <f>'[2]Rate Design'!D25</f>
        <v>102.30005609821755</v>
      </c>
      <c r="E43" s="178">
        <f>'[2]Rate Design'!E25</f>
        <v>0</v>
      </c>
      <c r="F43" s="70">
        <f t="shared" si="1"/>
        <v>1965.7966642855774</v>
      </c>
      <c r="G43" s="70"/>
    </row>
    <row r="44" spans="1:7" x14ac:dyDescent="0.2">
      <c r="A44" s="176" t="str">
        <f>'[2]Rate Design'!A26</f>
        <v>AGSd</v>
      </c>
      <c r="B44" s="176"/>
      <c r="C44" s="178">
        <f>'[2]Rate Design'!C26</f>
        <v>370.53930633139191</v>
      </c>
      <c r="D44" s="178">
        <f>'[2]Rate Design'!D26</f>
        <v>235.70649378290264</v>
      </c>
      <c r="E44" s="178">
        <f>'[2]Rate Design'!E26</f>
        <v>662981.05756921333</v>
      </c>
      <c r="F44" s="70">
        <f t="shared" si="1"/>
        <v>53009.781903339754</v>
      </c>
      <c r="G44" s="70">
        <f t="shared" si="2"/>
        <v>149.10272815885739</v>
      </c>
    </row>
    <row r="45" spans="1:7" x14ac:dyDescent="0.2">
      <c r="A45" s="179"/>
      <c r="B45" s="179"/>
      <c r="C45" s="179"/>
      <c r="D45" s="179"/>
      <c r="E45" s="179"/>
      <c r="F45" s="160"/>
    </row>
    <row r="46" spans="1:7" x14ac:dyDescent="0.2">
      <c r="A46" s="160"/>
      <c r="B46" s="160"/>
      <c r="C46" s="160"/>
      <c r="D46" s="160"/>
      <c r="E46" s="160"/>
      <c r="F46" s="160"/>
    </row>
    <row r="47" spans="1:7" x14ac:dyDescent="0.2">
      <c r="A47" s="160"/>
      <c r="B47" s="160"/>
      <c r="C47" s="160"/>
      <c r="D47" s="160"/>
      <c r="E47" s="160"/>
      <c r="F47" s="160"/>
    </row>
    <row r="48" spans="1:7" x14ac:dyDescent="0.2">
      <c r="A48" s="160"/>
      <c r="B48" s="160"/>
      <c r="C48" s="160"/>
      <c r="D48" s="160"/>
      <c r="E48" s="160"/>
      <c r="F48" s="160"/>
    </row>
  </sheetData>
  <pageMargins left="0.7" right="0.7" top="0.75" bottom="0.75" header="0.3" footer="0.3"/>
  <pageSetup paperSize="17" orientation="landscape" r:id="rId1"/>
  <headerFooter>
    <oddHeader>&amp;RFiled: 2017-03-31
EB-2017-0049
Exhibit H1-4-1
Attachment 5
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tint="0.499984740745262"/>
    <pageSetUpPr fitToPage="1"/>
  </sheetPr>
  <dimension ref="A1:K68"/>
  <sheetViews>
    <sheetView tabSelected="1" topLeftCell="A25"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6</v>
      </c>
    </row>
    <row r="4" spans="1:11" x14ac:dyDescent="0.2">
      <c r="A4" s="14" t="s">
        <v>62</v>
      </c>
      <c r="B4" s="14">
        <v>1000</v>
      </c>
    </row>
    <row r="5" spans="1:11" x14ac:dyDescent="0.2">
      <c r="A5" s="14" t="s">
        <v>16</v>
      </c>
      <c r="B5" s="14">
        <f>VLOOKUP($B$3,'Data for Bill Impacts'!$A$3:$Y$15,5,0)</f>
        <v>0</v>
      </c>
    </row>
    <row r="6" spans="1:11" x14ac:dyDescent="0.2">
      <c r="A6" s="14" t="s">
        <v>20</v>
      </c>
      <c r="B6" s="14">
        <f>VLOOKUP($B$3,'Data for Bill Impacts'!$A$3:$Y$15,2,0)</f>
        <v>1.0669999999999999</v>
      </c>
    </row>
    <row r="7" spans="1:11" x14ac:dyDescent="0.2">
      <c r="A7" s="14" t="s">
        <v>15</v>
      </c>
      <c r="B7" s="14">
        <f>VLOOKUP($B$3,'Data for Bill Impacts'!$A$3:$Y$15,4,0)</f>
        <v>750</v>
      </c>
    </row>
    <row r="8" spans="1:11" x14ac:dyDescent="0.2">
      <c r="A8" s="14" t="s">
        <v>82</v>
      </c>
      <c r="B8" s="14">
        <f>B4*B6</f>
        <v>1067</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0.36755189101165769</v>
      </c>
      <c r="K12" s="105"/>
    </row>
    <row r="13" spans="1:11" x14ac:dyDescent="0.2">
      <c r="A13" s="106" t="s">
        <v>32</v>
      </c>
      <c r="B13" s="72">
        <f>IF(B4&gt;B7,(B4)-B7,0)</f>
        <v>250</v>
      </c>
      <c r="C13" s="20">
        <v>0.121</v>
      </c>
      <c r="D13" s="21">
        <f>B13*C13</f>
        <v>30.25</v>
      </c>
      <c r="E13" s="72">
        <f t="shared" ref="E13" si="0">B13</f>
        <v>250</v>
      </c>
      <c r="F13" s="20">
        <f>C13</f>
        <v>0.121</v>
      </c>
      <c r="G13" s="21">
        <f>E13*F13</f>
        <v>30.25</v>
      </c>
      <c r="H13" s="21">
        <f t="shared" ref="H13:H46" si="1">G13-D13</f>
        <v>0</v>
      </c>
      <c r="I13" s="22">
        <f t="shared" ref="I13:I46" si="2">IF(ISERROR(H13/D13),0,(H13/D13))</f>
        <v>0</v>
      </c>
      <c r="J13" s="22">
        <f>G13/$G$46</f>
        <v>0.14392808677155527</v>
      </c>
      <c r="K13" s="107"/>
    </row>
    <row r="14" spans="1:11" s="1" customFormat="1" x14ac:dyDescent="0.2">
      <c r="A14" s="45" t="s">
        <v>33</v>
      </c>
      <c r="B14" s="23"/>
      <c r="C14" s="24"/>
      <c r="D14" s="24">
        <f>SUM(D12:D13)</f>
        <v>107.5</v>
      </c>
      <c r="E14" s="75"/>
      <c r="F14" s="24"/>
      <c r="G14" s="24">
        <f>SUM(G12:G13)</f>
        <v>107.5</v>
      </c>
      <c r="H14" s="24">
        <f t="shared" si="1"/>
        <v>0</v>
      </c>
      <c r="I14" s="26">
        <f t="shared" si="2"/>
        <v>0</v>
      </c>
      <c r="J14" s="26">
        <f>G14/$G$46</f>
        <v>0.51147997778321297</v>
      </c>
      <c r="K14" s="107"/>
    </row>
    <row r="15" spans="1:11" s="1" customFormat="1" x14ac:dyDescent="0.2">
      <c r="A15" s="108" t="s">
        <v>34</v>
      </c>
      <c r="B15" s="74">
        <f>B4*0.65</f>
        <v>650</v>
      </c>
      <c r="C15" s="27">
        <v>8.6999999999999994E-2</v>
      </c>
      <c r="D15" s="21">
        <f>B15*C15</f>
        <v>56.55</v>
      </c>
      <c r="E15" s="72">
        <f t="shared" ref="E15:F17" si="3">B15</f>
        <v>650</v>
      </c>
      <c r="F15" s="27">
        <f t="shared" si="3"/>
        <v>8.6999999999999994E-2</v>
      </c>
      <c r="G15" s="21">
        <f>E15*F15</f>
        <v>56.55</v>
      </c>
      <c r="H15" s="21">
        <f t="shared" si="1"/>
        <v>0</v>
      </c>
      <c r="I15" s="22">
        <f t="shared" si="2"/>
        <v>0</v>
      </c>
      <c r="J15" s="22"/>
      <c r="K15" s="107">
        <f t="shared" ref="K15:K26" si="4">G15/$G$51</f>
        <v>0.2647684598764925</v>
      </c>
    </row>
    <row r="16" spans="1:11" s="1" customFormat="1" x14ac:dyDescent="0.2">
      <c r="A16" s="108" t="s">
        <v>35</v>
      </c>
      <c r="B16" s="74">
        <f>B4*0.17</f>
        <v>170</v>
      </c>
      <c r="C16" s="27">
        <v>0.13200000000000001</v>
      </c>
      <c r="D16" s="21">
        <f>B16*C16</f>
        <v>22.44</v>
      </c>
      <c r="E16" s="72">
        <f t="shared" si="3"/>
        <v>170</v>
      </c>
      <c r="F16" s="27">
        <f t="shared" si="3"/>
        <v>0.13200000000000001</v>
      </c>
      <c r="G16" s="21">
        <f>E16*F16</f>
        <v>22.44</v>
      </c>
      <c r="H16" s="21">
        <f t="shared" si="1"/>
        <v>0</v>
      </c>
      <c r="I16" s="22">
        <f t="shared" si="2"/>
        <v>0</v>
      </c>
      <c r="J16" s="22"/>
      <c r="K16" s="107">
        <f t="shared" si="4"/>
        <v>0.10506461962207767</v>
      </c>
    </row>
    <row r="17" spans="1:11" s="1" customFormat="1" x14ac:dyDescent="0.2">
      <c r="A17" s="108" t="s">
        <v>36</v>
      </c>
      <c r="B17" s="74">
        <f>B4*0.18</f>
        <v>180</v>
      </c>
      <c r="C17" s="27">
        <v>0.18</v>
      </c>
      <c r="D17" s="21">
        <f>B17*C17</f>
        <v>32.4</v>
      </c>
      <c r="E17" s="72">
        <f t="shared" si="3"/>
        <v>180</v>
      </c>
      <c r="F17" s="27">
        <f t="shared" si="3"/>
        <v>0.18</v>
      </c>
      <c r="G17" s="21">
        <f>E17*F17</f>
        <v>32.4</v>
      </c>
      <c r="H17" s="21">
        <f t="shared" si="1"/>
        <v>0</v>
      </c>
      <c r="I17" s="22">
        <f t="shared" si="2"/>
        <v>0</v>
      </c>
      <c r="J17" s="22"/>
      <c r="K17" s="107">
        <f t="shared" si="4"/>
        <v>0.15169757913348111</v>
      </c>
    </row>
    <row r="18" spans="1:11" s="1" customFormat="1" x14ac:dyDescent="0.2">
      <c r="A18" s="60" t="s">
        <v>37</v>
      </c>
      <c r="B18" s="28"/>
      <c r="C18" s="29"/>
      <c r="D18" s="29">
        <f>SUM(D15:D17)</f>
        <v>111.38999999999999</v>
      </c>
      <c r="E18" s="76"/>
      <c r="F18" s="29"/>
      <c r="G18" s="29">
        <f>SUM(G15:G17)</f>
        <v>111.38999999999999</v>
      </c>
      <c r="H18" s="30">
        <f t="shared" si="1"/>
        <v>0</v>
      </c>
      <c r="I18" s="31">
        <f t="shared" si="2"/>
        <v>0</v>
      </c>
      <c r="J18" s="32">
        <f t="shared" ref="J18:J23" si="5">G18/$G$46</f>
        <v>0.52998841604904268</v>
      </c>
      <c r="K18" s="61">
        <f t="shared" si="4"/>
        <v>0.52153065863205117</v>
      </c>
    </row>
    <row r="19" spans="1:11" x14ac:dyDescent="0.2">
      <c r="A19" s="106" t="s">
        <v>38</v>
      </c>
      <c r="B19" s="72">
        <v>1</v>
      </c>
      <c r="C19" s="77">
        <f>VLOOKUP($B$3,'Data for Bill Impacts'!$A$3:$Y$15,7,0)</f>
        <v>25.6</v>
      </c>
      <c r="D19" s="21">
        <f>B19*C19</f>
        <v>25.6</v>
      </c>
      <c r="E19" s="72">
        <f t="shared" ref="E19:E41" si="6">B19</f>
        <v>1</v>
      </c>
      <c r="F19" s="77">
        <f>VLOOKUP($B$3,'Data for Bill Impacts'!$A$3:$Y$15,17,0)</f>
        <v>26.15</v>
      </c>
      <c r="G19" s="21">
        <f>E19*F19</f>
        <v>26.15</v>
      </c>
      <c r="H19" s="21">
        <f t="shared" si="1"/>
        <v>0.54999999999999716</v>
      </c>
      <c r="I19" s="22">
        <f t="shared" si="2"/>
        <v>2.1484374999999889E-2</v>
      </c>
      <c r="J19" s="22">
        <f t="shared" si="5"/>
        <v>0.12442047831656762</v>
      </c>
      <c r="K19" s="107">
        <f t="shared" si="4"/>
        <v>0.12243492883767071</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4.757953281704307E-5</v>
      </c>
      <c r="K22" s="107">
        <f t="shared" si="4"/>
        <v>4.6820240473296639E-5</v>
      </c>
    </row>
    <row r="23" spans="1:11" x14ac:dyDescent="0.2">
      <c r="A23" s="106" t="s">
        <v>39</v>
      </c>
      <c r="B23" s="72">
        <f>IF($B$9="kWh",$B$4,$B$5)</f>
        <v>1000</v>
      </c>
      <c r="C23" s="125">
        <f>VLOOKUP($B$3,'Data for Bill Impacts'!$A$3:$Y$15,10,0)</f>
        <v>3.0800000000000001E-2</v>
      </c>
      <c r="D23" s="21">
        <f>B23*C23</f>
        <v>30.8</v>
      </c>
      <c r="E23" s="72">
        <f t="shared" si="6"/>
        <v>1000</v>
      </c>
      <c r="F23" s="77">
        <f>VLOOKUP($B$3,'Data for Bill Impacts'!$A$3:$Y$15,19,0)</f>
        <v>3.1699999999999999E-2</v>
      </c>
      <c r="G23" s="21">
        <f>E23*F23</f>
        <v>31.7</v>
      </c>
      <c r="H23" s="21">
        <f t="shared" si="1"/>
        <v>0.89999999999999858</v>
      </c>
      <c r="I23" s="22">
        <f t="shared" si="2"/>
        <v>2.9220779220779175E-2</v>
      </c>
      <c r="J23" s="22">
        <f t="shared" si="5"/>
        <v>0.15082711903002652</v>
      </c>
      <c r="K23" s="107">
        <f t="shared" si="4"/>
        <v>0.14842016230035035</v>
      </c>
    </row>
    <row r="24" spans="1:11" x14ac:dyDescent="0.2">
      <c r="A24" s="106" t="s">
        <v>129</v>
      </c>
      <c r="B24" s="72">
        <f>IF($B$9="kWh",$B$4,$B$5)</f>
        <v>1000</v>
      </c>
      <c r="C24" s="77">
        <f>VLOOKUP($B$3,'Data for Bill Impacts'!$A$3:$Y$15,14,0)</f>
        <v>2.0000000000000001E-4</v>
      </c>
      <c r="D24" s="33">
        <f>B24*C24</f>
        <v>0.2</v>
      </c>
      <c r="E24" s="72">
        <f t="shared" si="6"/>
        <v>1000</v>
      </c>
      <c r="F24" s="77">
        <f>VLOOKUP($B$3,'Data for Bill Impacts'!$A$3:$Y$15,23,0)</f>
        <v>2.0000000000000001E-4</v>
      </c>
      <c r="G24" s="33">
        <f>E24*F24</f>
        <v>0.2</v>
      </c>
      <c r="H24" s="21">
        <f t="shared" si="1"/>
        <v>0</v>
      </c>
      <c r="I24" s="22">
        <f>IF(ISERROR(H24/D24),0,(H24/D24))</f>
        <v>0</v>
      </c>
      <c r="J24" s="22">
        <f t="shared" ref="J24" si="9">G24/$G$46</f>
        <v>9.5159065634086142E-4</v>
      </c>
      <c r="K24" s="107">
        <f t="shared" si="4"/>
        <v>9.3640480946593282E-4</v>
      </c>
    </row>
    <row r="25" spans="1:11" s="1" customFormat="1" x14ac:dyDescent="0.2">
      <c r="A25" s="109" t="s">
        <v>72</v>
      </c>
      <c r="B25" s="73"/>
      <c r="C25" s="34"/>
      <c r="D25" s="34">
        <f>SUM(D19:D24)</f>
        <v>56.610000000000007</v>
      </c>
      <c r="E25" s="72"/>
      <c r="F25" s="34"/>
      <c r="G25" s="34">
        <f>SUM(G19:G24)</f>
        <v>58.06</v>
      </c>
      <c r="H25" s="34">
        <f t="shared" si="1"/>
        <v>1.4499999999999957</v>
      </c>
      <c r="I25" s="35">
        <f t="shared" si="2"/>
        <v>2.5613849143260831E-2</v>
      </c>
      <c r="J25" s="35">
        <f>G25/$G$46</f>
        <v>0.27624676753575206</v>
      </c>
      <c r="K25" s="110">
        <f t="shared" si="4"/>
        <v>0.27183831618796028</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3.7587830925464027E-3</v>
      </c>
      <c r="K26" s="107">
        <f t="shared" si="4"/>
        <v>3.6987989973904347E-3</v>
      </c>
    </row>
    <row r="27" spans="1:11" s="1" customFormat="1" x14ac:dyDescent="0.2">
      <c r="A27" s="118" t="s">
        <v>75</v>
      </c>
      <c r="B27" s="119">
        <f>B8-B4</f>
        <v>67</v>
      </c>
      <c r="C27" s="120">
        <f>IF(B4&gt;B7,C13,C12)</f>
        <v>0.121</v>
      </c>
      <c r="D27" s="21">
        <f>B27*C27</f>
        <v>8.1069999999999993</v>
      </c>
      <c r="E27" s="72">
        <f>B27</f>
        <v>67</v>
      </c>
      <c r="F27" s="120">
        <f>C27</f>
        <v>0.121</v>
      </c>
      <c r="G27" s="21">
        <f>E27*F27</f>
        <v>8.1069999999999993</v>
      </c>
      <c r="H27" s="21">
        <f t="shared" si="1"/>
        <v>0</v>
      </c>
      <c r="I27" s="22">
        <f>IF(ISERROR(H27/D27),0,(H27/D27))</f>
        <v>0</v>
      </c>
      <c r="J27" s="22">
        <f t="shared" ref="J27:J46" si="10">G27/$G$46</f>
        <v>3.8572727254776812E-2</v>
      </c>
      <c r="K27" s="107">
        <f t="shared" ref="K27:K41" si="11">G27/$G$51</f>
        <v>3.7957168951701585E-2</v>
      </c>
    </row>
    <row r="28" spans="1:11" s="1" customFormat="1" x14ac:dyDescent="0.2">
      <c r="A28" s="118" t="s">
        <v>74</v>
      </c>
      <c r="B28" s="119">
        <f>B8-B4</f>
        <v>67</v>
      </c>
      <c r="C28" s="120">
        <f>0.65*C15+0.17*C16+0.18*C17</f>
        <v>0.11139</v>
      </c>
      <c r="D28" s="21">
        <f>B28*C28</f>
        <v>7.4631300000000005</v>
      </c>
      <c r="E28" s="72">
        <f>B28</f>
        <v>67</v>
      </c>
      <c r="F28" s="120">
        <f>C28</f>
        <v>0.11139</v>
      </c>
      <c r="G28" s="21">
        <f>E28*F28</f>
        <v>7.4631300000000005</v>
      </c>
      <c r="H28" s="21">
        <f t="shared" si="1"/>
        <v>0</v>
      </c>
      <c r="I28" s="22">
        <f>IF(ISERROR(H28/D28),0,(H28/D28))</f>
        <v>0</v>
      </c>
      <c r="J28" s="22">
        <f t="shared" si="10"/>
        <v>3.5509223875285864E-2</v>
      </c>
      <c r="K28" s="107">
        <f t="shared" si="11"/>
        <v>3.4942554128347438E-2</v>
      </c>
    </row>
    <row r="29" spans="1:11" s="1" customFormat="1" x14ac:dyDescent="0.2">
      <c r="A29" s="109" t="s">
        <v>78</v>
      </c>
      <c r="B29" s="73"/>
      <c r="C29" s="34"/>
      <c r="D29" s="34">
        <f>SUM(D25,D26:D27)</f>
        <v>65.507000000000005</v>
      </c>
      <c r="E29" s="72"/>
      <c r="F29" s="34"/>
      <c r="G29" s="34">
        <f>SUM(G25,G26:G27)</f>
        <v>66.956999999999994</v>
      </c>
      <c r="H29" s="34">
        <f t="shared" si="1"/>
        <v>1.4499999999999886</v>
      </c>
      <c r="I29" s="35">
        <f>IF(ISERROR(H29/D29),0,(H29/D29))</f>
        <v>2.2135039003465102E-2</v>
      </c>
      <c r="J29" s="35">
        <f t="shared" si="10"/>
        <v>0.31857827788307524</v>
      </c>
      <c r="K29" s="110">
        <f t="shared" si="11"/>
        <v>0.31349428413705227</v>
      </c>
    </row>
    <row r="30" spans="1:11" s="1" customFormat="1" x14ac:dyDescent="0.2">
      <c r="A30" s="109" t="s">
        <v>77</v>
      </c>
      <c r="B30" s="73"/>
      <c r="C30" s="34"/>
      <c r="D30" s="34">
        <f>SUM(D25,D26,D28)</f>
        <v>64.863130000000012</v>
      </c>
      <c r="E30" s="72"/>
      <c r="F30" s="34"/>
      <c r="G30" s="34">
        <f>SUM(G25,G26,G28)</f>
        <v>66.313130000000001</v>
      </c>
      <c r="H30" s="34">
        <f t="shared" si="1"/>
        <v>1.4499999999999886</v>
      </c>
      <c r="I30" s="35">
        <f>IF(ISERROR(H30/D30),0,(H30/D30))</f>
        <v>2.2354764563473708E-2</v>
      </c>
      <c r="J30" s="35">
        <f t="shared" si="10"/>
        <v>0.31551477450358434</v>
      </c>
      <c r="K30" s="110">
        <f t="shared" si="11"/>
        <v>0.31047966931369819</v>
      </c>
    </row>
    <row r="31" spans="1:11" x14ac:dyDescent="0.2">
      <c r="A31" s="106" t="s">
        <v>40</v>
      </c>
      <c r="B31" s="72">
        <f>B8</f>
        <v>1067</v>
      </c>
      <c r="C31" s="125">
        <f>VLOOKUP($B$3,'Data for Bill Impacts'!$A$3:$Y$15,15,0)</f>
        <v>5.7999999999999996E-3</v>
      </c>
      <c r="D31" s="21">
        <f>B31*C31</f>
        <v>6.1885999999999992</v>
      </c>
      <c r="E31" s="72">
        <f t="shared" si="6"/>
        <v>1067</v>
      </c>
      <c r="F31" s="77">
        <f>VLOOKUP($B$3,'Data for Bill Impacts'!$A$3:$Y$15,24,0)</f>
        <v>5.7999999999999996E-3</v>
      </c>
      <c r="G31" s="21">
        <f>E31*F31</f>
        <v>6.1885999999999992</v>
      </c>
      <c r="H31" s="21">
        <f t="shared" si="1"/>
        <v>0</v>
      </c>
      <c r="I31" s="22">
        <f t="shared" si="2"/>
        <v>0</v>
      </c>
      <c r="J31" s="22">
        <f t="shared" si="10"/>
        <v>2.9445069679155271E-2</v>
      </c>
      <c r="K31" s="107">
        <f t="shared" si="11"/>
        <v>2.8975174019304356E-2</v>
      </c>
    </row>
    <row r="32" spans="1:11" x14ac:dyDescent="0.2">
      <c r="A32" s="106" t="s">
        <v>41</v>
      </c>
      <c r="B32" s="72">
        <f>B8</f>
        <v>1067</v>
      </c>
      <c r="C32" s="125">
        <f>VLOOKUP($B$3,'Data for Bill Impacts'!$A$3:$Y$15,16,0)</f>
        <v>4.7000000000000002E-3</v>
      </c>
      <c r="D32" s="21">
        <f>B32*C32</f>
        <v>5.0148999999999999</v>
      </c>
      <c r="E32" s="72">
        <f t="shared" si="6"/>
        <v>1067</v>
      </c>
      <c r="F32" s="77">
        <f>VLOOKUP($B$3,'Data for Bill Impacts'!$A$3:$Y$15,25,0)</f>
        <v>4.7000000000000002E-3</v>
      </c>
      <c r="G32" s="21">
        <f>E32*F32</f>
        <v>5.0148999999999999</v>
      </c>
      <c r="H32" s="21">
        <f t="shared" si="1"/>
        <v>0</v>
      </c>
      <c r="I32" s="22">
        <f t="shared" si="2"/>
        <v>0</v>
      </c>
      <c r="J32" s="22">
        <f t="shared" si="10"/>
        <v>2.3860659912418928E-2</v>
      </c>
      <c r="K32" s="107">
        <f t="shared" si="11"/>
        <v>2.3479882394953532E-2</v>
      </c>
    </row>
    <row r="33" spans="1:11" s="1" customFormat="1" x14ac:dyDescent="0.2">
      <c r="A33" s="109" t="s">
        <v>76</v>
      </c>
      <c r="B33" s="73"/>
      <c r="C33" s="34"/>
      <c r="D33" s="34">
        <f>SUM(D31:D32)</f>
        <v>11.203499999999998</v>
      </c>
      <c r="E33" s="72"/>
      <c r="F33" s="34"/>
      <c r="G33" s="34">
        <f>SUM(G31:G32)</f>
        <v>11.203499999999998</v>
      </c>
      <c r="H33" s="34">
        <f t="shared" si="1"/>
        <v>0</v>
      </c>
      <c r="I33" s="35">
        <f t="shared" si="2"/>
        <v>0</v>
      </c>
      <c r="J33" s="35">
        <f t="shared" si="10"/>
        <v>5.3305729591574195E-2</v>
      </c>
      <c r="K33" s="110">
        <f t="shared" si="11"/>
        <v>5.2455056414257885E-2</v>
      </c>
    </row>
    <row r="34" spans="1:11" s="1" customFormat="1" x14ac:dyDescent="0.2">
      <c r="A34" s="109" t="s">
        <v>93</v>
      </c>
      <c r="B34" s="73"/>
      <c r="C34" s="34"/>
      <c r="D34" s="34">
        <f>D29+D33</f>
        <v>76.710499999999996</v>
      </c>
      <c r="E34" s="72"/>
      <c r="F34" s="34"/>
      <c r="G34" s="34">
        <f>G29+G33</f>
        <v>78.160499999999985</v>
      </c>
      <c r="H34" s="34">
        <f t="shared" si="1"/>
        <v>1.4499999999999886</v>
      </c>
      <c r="I34" s="35">
        <f t="shared" si="2"/>
        <v>1.890223633009808E-2</v>
      </c>
      <c r="J34" s="35">
        <f t="shared" si="10"/>
        <v>0.37188400747464939</v>
      </c>
      <c r="K34" s="110">
        <f t="shared" si="11"/>
        <v>0.36594934055131012</v>
      </c>
    </row>
    <row r="35" spans="1:11" s="1" customFormat="1" x14ac:dyDescent="0.2">
      <c r="A35" s="109" t="s">
        <v>94</v>
      </c>
      <c r="B35" s="73"/>
      <c r="C35" s="34"/>
      <c r="D35" s="34">
        <f>D30+D33</f>
        <v>76.066630000000004</v>
      </c>
      <c r="E35" s="72"/>
      <c r="F35" s="34"/>
      <c r="G35" s="34">
        <f>G30+G33</f>
        <v>77.516629999999992</v>
      </c>
      <c r="H35" s="34">
        <f t="shared" si="1"/>
        <v>1.4499999999999886</v>
      </c>
      <c r="I35" s="35">
        <f t="shared" si="2"/>
        <v>1.9062235306072959E-2</v>
      </c>
      <c r="J35" s="35">
        <f t="shared" si="10"/>
        <v>0.36882050409515849</v>
      </c>
      <c r="K35" s="110">
        <f t="shared" si="11"/>
        <v>0.36293472572795604</v>
      </c>
    </row>
    <row r="36" spans="1:11" x14ac:dyDescent="0.2">
      <c r="A36" s="106" t="s">
        <v>42</v>
      </c>
      <c r="B36" s="72">
        <f>B8</f>
        <v>1067</v>
      </c>
      <c r="C36" s="33">
        <v>3.5999999999999999E-3</v>
      </c>
      <c r="D36" s="21">
        <f>B36*C36</f>
        <v>3.8411999999999997</v>
      </c>
      <c r="E36" s="72">
        <f t="shared" si="6"/>
        <v>1067</v>
      </c>
      <c r="F36" s="33">
        <v>3.5999999999999999E-3</v>
      </c>
      <c r="G36" s="21">
        <f>E36*F36</f>
        <v>3.8411999999999997</v>
      </c>
      <c r="H36" s="21">
        <f t="shared" si="1"/>
        <v>0</v>
      </c>
      <c r="I36" s="22">
        <f t="shared" si="2"/>
        <v>0</v>
      </c>
      <c r="J36" s="22">
        <f t="shared" si="10"/>
        <v>1.8276250145682581E-2</v>
      </c>
      <c r="K36" s="107">
        <f t="shared" si="11"/>
        <v>1.7984590770602705E-2</v>
      </c>
    </row>
    <row r="37" spans="1:11" x14ac:dyDescent="0.2">
      <c r="A37" s="106" t="s">
        <v>43</v>
      </c>
      <c r="B37" s="72">
        <f>B8</f>
        <v>1067</v>
      </c>
      <c r="C37" s="33">
        <v>2.0999999999999999E-3</v>
      </c>
      <c r="D37" s="21">
        <f>B37*C37</f>
        <v>2.2406999999999999</v>
      </c>
      <c r="E37" s="72">
        <f t="shared" si="6"/>
        <v>1067</v>
      </c>
      <c r="F37" s="33">
        <v>2.0999999999999999E-3</v>
      </c>
      <c r="G37" s="21">
        <f>E37*F37</f>
        <v>2.2406999999999999</v>
      </c>
      <c r="H37" s="21">
        <f>G37-D37</f>
        <v>0</v>
      </c>
      <c r="I37" s="22">
        <f t="shared" si="2"/>
        <v>0</v>
      </c>
      <c r="J37" s="22">
        <f t="shared" si="10"/>
        <v>1.0661145918314839E-2</v>
      </c>
      <c r="K37" s="107">
        <f t="shared" si="11"/>
        <v>1.0491011282851577E-2</v>
      </c>
    </row>
    <row r="38" spans="1:11" x14ac:dyDescent="0.2">
      <c r="A38" s="106" t="s">
        <v>99</v>
      </c>
      <c r="B38" s="72">
        <f>B8</f>
        <v>1067</v>
      </c>
      <c r="C38" s="33">
        <v>1.1000000000000001E-3</v>
      </c>
      <c r="D38" s="21">
        <f>B38*C38</f>
        <v>1.1737</v>
      </c>
      <c r="E38" s="72">
        <f t="shared" si="6"/>
        <v>1067</v>
      </c>
      <c r="F38" s="33">
        <v>1.1000000000000001E-3</v>
      </c>
      <c r="G38" s="21">
        <f>E38*F38</f>
        <v>1.1737</v>
      </c>
      <c r="H38" s="21">
        <f>G38-D38</f>
        <v>0</v>
      </c>
      <c r="I38" s="22">
        <f t="shared" ref="I38" si="12">IF(ISERROR(H38/D38),0,(H38/D38))</f>
        <v>0</v>
      </c>
      <c r="J38" s="22">
        <f t="shared" ref="J38" si="13">G38/$G$46</f>
        <v>5.5844097667363448E-3</v>
      </c>
      <c r="K38" s="107">
        <f t="shared" ref="K38" si="14">G38/$G$51</f>
        <v>5.4952916243508265E-3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1.1894883204260768E-3</v>
      </c>
      <c r="K39" s="107">
        <f t="shared" si="11"/>
        <v>1.1705060118324161E-3</v>
      </c>
    </row>
    <row r="40" spans="1:11" s="1" customFormat="1" x14ac:dyDescent="0.2">
      <c r="A40" s="109" t="s">
        <v>45</v>
      </c>
      <c r="B40" s="73"/>
      <c r="C40" s="34"/>
      <c r="D40" s="34">
        <f>SUM(D36:D39)</f>
        <v>7.5055999999999994</v>
      </c>
      <c r="E40" s="72"/>
      <c r="F40" s="34"/>
      <c r="G40" s="34">
        <f>SUM(G36:G39)</f>
        <v>7.5055999999999994</v>
      </c>
      <c r="H40" s="34">
        <f t="shared" si="1"/>
        <v>0</v>
      </c>
      <c r="I40" s="35">
        <f t="shared" si="2"/>
        <v>0</v>
      </c>
      <c r="J40" s="35">
        <f t="shared" si="10"/>
        <v>3.5711294151159846E-2</v>
      </c>
      <c r="K40" s="110">
        <f t="shared" si="11"/>
        <v>3.5141399689637524E-2</v>
      </c>
    </row>
    <row r="41" spans="1:11" s="1" customFormat="1" ht="13.5" thickBot="1" x14ac:dyDescent="0.25">
      <c r="A41" s="111" t="s">
        <v>46</v>
      </c>
      <c r="B41" s="112">
        <f>B4</f>
        <v>1000</v>
      </c>
      <c r="C41" s="113">
        <v>7.0000000000000001E-3</v>
      </c>
      <c r="D41" s="114">
        <f>B41*C41</f>
        <v>7</v>
      </c>
      <c r="E41" s="115">
        <f t="shared" si="6"/>
        <v>1000</v>
      </c>
      <c r="F41" s="113">
        <f>C41</f>
        <v>7.0000000000000001E-3</v>
      </c>
      <c r="G41" s="114">
        <f>E41*F41</f>
        <v>7</v>
      </c>
      <c r="H41" s="114">
        <f t="shared" si="1"/>
        <v>0</v>
      </c>
      <c r="I41" s="116">
        <f t="shared" si="2"/>
        <v>0</v>
      </c>
      <c r="J41" s="116">
        <f t="shared" si="10"/>
        <v>3.3305672971930149E-2</v>
      </c>
      <c r="K41" s="117">
        <f t="shared" si="11"/>
        <v>3.2774168331307647E-2</v>
      </c>
    </row>
    <row r="42" spans="1:11" s="1" customFormat="1" x14ac:dyDescent="0.2">
      <c r="A42" s="36" t="s">
        <v>107</v>
      </c>
      <c r="B42" s="37"/>
      <c r="C42" s="38"/>
      <c r="D42" s="38">
        <f>SUM(D14,D25,D26,D27,D33,D40,D41)</f>
        <v>198.71609999999998</v>
      </c>
      <c r="E42" s="37"/>
      <c r="F42" s="38"/>
      <c r="G42" s="38">
        <f>SUM(G14,G25,G26,G27,G33,G40,G41)</f>
        <v>200.16609999999997</v>
      </c>
      <c r="H42" s="38">
        <f t="shared" si="1"/>
        <v>1.4499999999999886</v>
      </c>
      <c r="I42" s="39">
        <f>IF(ISERROR(H42/D42),0,(H42/D42))</f>
        <v>7.2968420777178534E-3</v>
      </c>
      <c r="J42" s="39">
        <f t="shared" si="10"/>
        <v>0.95238095238095233</v>
      </c>
      <c r="K42" s="40"/>
    </row>
    <row r="43" spans="1:11" x14ac:dyDescent="0.2">
      <c r="A43" s="143" t="s">
        <v>108</v>
      </c>
      <c r="B43" s="42"/>
      <c r="C43" s="25">
        <v>0.13</v>
      </c>
      <c r="D43" s="25">
        <f>D42*C43</f>
        <v>25.833092999999998</v>
      </c>
      <c r="E43" s="25"/>
      <c r="F43" s="25">
        <f>C43</f>
        <v>0.13</v>
      </c>
      <c r="G43" s="25">
        <f>G42*F43</f>
        <v>26.021592999999996</v>
      </c>
      <c r="H43" s="25">
        <f t="shared" si="1"/>
        <v>0.18849999999999767</v>
      </c>
      <c r="I43" s="43">
        <f t="shared" si="2"/>
        <v>7.2968420777178205E-3</v>
      </c>
      <c r="J43" s="43">
        <f t="shared" si="10"/>
        <v>0.1238095238095238</v>
      </c>
      <c r="K43" s="44"/>
    </row>
    <row r="44" spans="1:11" s="1" customFormat="1" x14ac:dyDescent="0.2">
      <c r="A44" s="45" t="s">
        <v>109</v>
      </c>
      <c r="B44" s="23"/>
      <c r="C44" s="24"/>
      <c r="D44" s="24">
        <f>SUM(D42:D43)</f>
        <v>224.54919299999997</v>
      </c>
      <c r="E44" s="24"/>
      <c r="F44" s="24"/>
      <c r="G44" s="24">
        <f>SUM(G42:G43)</f>
        <v>226.18769299999997</v>
      </c>
      <c r="H44" s="24">
        <f t="shared" si="1"/>
        <v>1.6384999999999934</v>
      </c>
      <c r="I44" s="26">
        <f t="shared" si="2"/>
        <v>7.2968420777178812E-3</v>
      </c>
      <c r="J44" s="26">
        <f t="shared" si="10"/>
        <v>1.0761904761904761</v>
      </c>
      <c r="K44" s="46"/>
    </row>
    <row r="45" spans="1:11" x14ac:dyDescent="0.2">
      <c r="A45" s="41" t="s">
        <v>110</v>
      </c>
      <c r="B45" s="42"/>
      <c r="C45" s="25">
        <v>-0.08</v>
      </c>
      <c r="D45" s="25">
        <f>D42*C45</f>
        <v>-15.897288</v>
      </c>
      <c r="E45" s="25"/>
      <c r="F45" s="25">
        <f>C45</f>
        <v>-0.08</v>
      </c>
      <c r="G45" s="25">
        <f>G42*F45</f>
        <v>-16.013287999999999</v>
      </c>
      <c r="H45" s="25">
        <f t="shared" si="1"/>
        <v>-0.11599999999999966</v>
      </c>
      <c r="I45" s="43">
        <f t="shared" si="2"/>
        <v>7.296842077717889E-3</v>
      </c>
      <c r="J45" s="43">
        <f t="shared" si="10"/>
        <v>-7.6190476190476197E-2</v>
      </c>
      <c r="K45" s="44"/>
    </row>
    <row r="46" spans="1:11" s="1" customFormat="1" ht="13.5" thickBot="1" x14ac:dyDescent="0.25">
      <c r="A46" s="47" t="s">
        <v>111</v>
      </c>
      <c r="B46" s="48"/>
      <c r="C46" s="49"/>
      <c r="D46" s="49">
        <f>SUM(D44:D45)</f>
        <v>208.65190499999997</v>
      </c>
      <c r="E46" s="49"/>
      <c r="F46" s="49"/>
      <c r="G46" s="49">
        <f>SUM(G44:G45)</f>
        <v>210.17440499999998</v>
      </c>
      <c r="H46" s="49">
        <f t="shared" si="1"/>
        <v>1.522500000000008</v>
      </c>
      <c r="I46" s="50">
        <f t="shared" si="2"/>
        <v>7.2968420777179497E-3</v>
      </c>
      <c r="J46" s="50">
        <f t="shared" si="10"/>
        <v>1</v>
      </c>
      <c r="K46" s="51"/>
    </row>
    <row r="47" spans="1:11" x14ac:dyDescent="0.2">
      <c r="A47" s="52" t="s">
        <v>112</v>
      </c>
      <c r="B47" s="53"/>
      <c r="C47" s="54"/>
      <c r="D47" s="54">
        <f>SUM(D18,D25,D26,D28,D33,D40,D41)</f>
        <v>201.96222999999998</v>
      </c>
      <c r="E47" s="54"/>
      <c r="F47" s="54"/>
      <c r="G47" s="54">
        <f>SUM(G18,G25,G26,G28,G33,G40,G41)</f>
        <v>203.41222999999997</v>
      </c>
      <c r="H47" s="54">
        <f>G47-D47</f>
        <v>1.4499999999999886</v>
      </c>
      <c r="I47" s="55">
        <f>IF(ISERROR(H47/D47),0,(H47/D47))</f>
        <v>7.1795602573807432E-3</v>
      </c>
      <c r="J47" s="55"/>
      <c r="K47" s="56">
        <f>G47/$G$51</f>
        <v>0.95238095238095233</v>
      </c>
    </row>
    <row r="48" spans="1:11" x14ac:dyDescent="0.2">
      <c r="A48" s="144" t="s">
        <v>108</v>
      </c>
      <c r="B48" s="58"/>
      <c r="C48" s="30">
        <v>0.13</v>
      </c>
      <c r="D48" s="30">
        <f>D47*C48</f>
        <v>26.255089899999998</v>
      </c>
      <c r="E48" s="30"/>
      <c r="F48" s="30">
        <f>C48</f>
        <v>0.13</v>
      </c>
      <c r="G48" s="30">
        <f>G47*F48</f>
        <v>26.443589899999996</v>
      </c>
      <c r="H48" s="30">
        <f>G48-D48</f>
        <v>0.18849999999999767</v>
      </c>
      <c r="I48" s="31">
        <f>IF(ISERROR(H48/D48),0,(H48/D48))</f>
        <v>7.1795602573807103E-3</v>
      </c>
      <c r="J48" s="31"/>
      <c r="K48" s="59">
        <f>G48/$G$51</f>
        <v>0.1238095238095238</v>
      </c>
    </row>
    <row r="49" spans="1:11" x14ac:dyDescent="0.2">
      <c r="A49" s="136" t="s">
        <v>113</v>
      </c>
      <c r="B49" s="28"/>
      <c r="C49" s="29"/>
      <c r="D49" s="29">
        <f>SUM(D47:D48)</f>
        <v>228.21731989999998</v>
      </c>
      <c r="E49" s="29"/>
      <c r="F49" s="29"/>
      <c r="G49" s="29">
        <f>SUM(G47:G48)</f>
        <v>229.85581989999997</v>
      </c>
      <c r="H49" s="29">
        <f>G49-D49</f>
        <v>1.6384999999999934</v>
      </c>
      <c r="I49" s="32">
        <f>IF(ISERROR(H49/D49),0,(H49/D49))</f>
        <v>7.1795602573807701E-3</v>
      </c>
      <c r="J49" s="32"/>
      <c r="K49" s="61">
        <f>G49/$G$51</f>
        <v>1.0761904761904761</v>
      </c>
    </row>
    <row r="50" spans="1:11" x14ac:dyDescent="0.2">
      <c r="A50" s="57" t="s">
        <v>110</v>
      </c>
      <c r="B50" s="58"/>
      <c r="C50" s="30">
        <v>-0.08</v>
      </c>
      <c r="D50" s="30">
        <f>D47*C50</f>
        <v>-16.1569784</v>
      </c>
      <c r="E50" s="30"/>
      <c r="F50" s="30">
        <f>C50</f>
        <v>-0.08</v>
      </c>
      <c r="G50" s="30">
        <f>G47*F50</f>
        <v>-16.272978399999996</v>
      </c>
      <c r="H50" s="30">
        <f>G50-D50</f>
        <v>-0.11599999999999611</v>
      </c>
      <c r="I50" s="31">
        <f>IF(ISERROR(H50/D50),0,(H50/D50))</f>
        <v>7.1795602573805576E-3</v>
      </c>
      <c r="J50" s="31"/>
      <c r="K50" s="59">
        <f>G50/$G$51</f>
        <v>-7.6190476190476183E-2</v>
      </c>
    </row>
    <row r="51" spans="1:11" ht="13.5" thickBot="1" x14ac:dyDescent="0.25">
      <c r="A51" s="62" t="s">
        <v>114</v>
      </c>
      <c r="B51" s="63"/>
      <c r="C51" s="64"/>
      <c r="D51" s="64">
        <f>SUM(D49:D50)</f>
        <v>212.06034149999999</v>
      </c>
      <c r="E51" s="64"/>
      <c r="F51" s="64"/>
      <c r="G51" s="64">
        <f>SUM(G49:G50)</f>
        <v>213.58284149999997</v>
      </c>
      <c r="H51" s="64">
        <f>G51-D51</f>
        <v>1.5224999999999795</v>
      </c>
      <c r="I51" s="65">
        <f>IF(ISERROR(H51/D51),0,(H51/D51))</f>
        <v>7.1795602573807024E-3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6</v>
      </c>
    </row>
    <row r="4" spans="1:11" x14ac:dyDescent="0.2">
      <c r="A4" s="14" t="s">
        <v>62</v>
      </c>
      <c r="B4" s="14">
        <v>2000</v>
      </c>
    </row>
    <row r="5" spans="1:11" x14ac:dyDescent="0.2">
      <c r="A5" s="14" t="s">
        <v>16</v>
      </c>
      <c r="B5" s="14">
        <f>VLOOKUP($B$3,'Data for Bill Impacts'!$A$3:$Y$15,5,0)</f>
        <v>0</v>
      </c>
    </row>
    <row r="6" spans="1:11" x14ac:dyDescent="0.2">
      <c r="A6" s="14" t="s">
        <v>20</v>
      </c>
      <c r="B6" s="14">
        <f>VLOOKUP($B$3,'Data for Bill Impacts'!$A$3:$Y$15,2,0)</f>
        <v>1.0669999999999999</v>
      </c>
    </row>
    <row r="7" spans="1:11" x14ac:dyDescent="0.2">
      <c r="A7" s="14" t="s">
        <v>15</v>
      </c>
      <c r="B7" s="14">
        <f>VLOOKUP($B$3,'Data for Bill Impacts'!$A$3:$Y$15,4,0)</f>
        <v>750</v>
      </c>
    </row>
    <row r="8" spans="1:11" x14ac:dyDescent="0.2">
      <c r="A8" s="14" t="s">
        <v>82</v>
      </c>
      <c r="B8" s="14">
        <f>B4*B6</f>
        <v>2134</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0.19028789783010464</v>
      </c>
      <c r="K12" s="105"/>
    </row>
    <row r="13" spans="1:11" x14ac:dyDescent="0.2">
      <c r="A13" s="106" t="s">
        <v>32</v>
      </c>
      <c r="B13" s="72">
        <f>IF(B4&gt;B7,(B4)-B7,0)</f>
        <v>1250</v>
      </c>
      <c r="C13" s="20">
        <v>0.121</v>
      </c>
      <c r="D13" s="21">
        <f>B13*C13</f>
        <v>151.25</v>
      </c>
      <c r="E13" s="72">
        <f t="shared" ref="E13" si="0">B13</f>
        <v>1250</v>
      </c>
      <c r="F13" s="20">
        <f>C13</f>
        <v>0.121</v>
      </c>
      <c r="G13" s="21">
        <f>E13*F13</f>
        <v>151.25</v>
      </c>
      <c r="H13" s="21">
        <f t="shared" ref="H13:H46" si="1">G13-D13</f>
        <v>0</v>
      </c>
      <c r="I13" s="22">
        <f t="shared" ref="I13:I46" si="2">IF(ISERROR(H13/D13),0,(H13/D13))</f>
        <v>0</v>
      </c>
      <c r="J13" s="22">
        <f>G13/$G$46</f>
        <v>0.37257015594567411</v>
      </c>
      <c r="K13" s="107"/>
    </row>
    <row r="14" spans="1:11" s="1" customFormat="1" x14ac:dyDescent="0.2">
      <c r="A14" s="45" t="s">
        <v>33</v>
      </c>
      <c r="B14" s="23"/>
      <c r="C14" s="24"/>
      <c r="D14" s="24">
        <f>SUM(D12:D13)</f>
        <v>228.5</v>
      </c>
      <c r="E14" s="75"/>
      <c r="F14" s="24"/>
      <c r="G14" s="24">
        <f>SUM(G12:G13)</f>
        <v>228.5</v>
      </c>
      <c r="H14" s="24">
        <f t="shared" si="1"/>
        <v>0</v>
      </c>
      <c r="I14" s="26">
        <f t="shared" si="2"/>
        <v>0</v>
      </c>
      <c r="J14" s="26">
        <f>G14/$G$46</f>
        <v>0.56285805377577869</v>
      </c>
      <c r="K14" s="107"/>
    </row>
    <row r="15" spans="1:11" s="1" customFormat="1" x14ac:dyDescent="0.2">
      <c r="A15" s="108" t="s">
        <v>34</v>
      </c>
      <c r="B15" s="74">
        <f>B4*0.65</f>
        <v>1300</v>
      </c>
      <c r="C15" s="27">
        <v>8.6999999999999994E-2</v>
      </c>
      <c r="D15" s="21">
        <f>B15*C15</f>
        <v>113.1</v>
      </c>
      <c r="E15" s="72">
        <f t="shared" ref="E15:F17" si="3">B15</f>
        <v>1300</v>
      </c>
      <c r="F15" s="27">
        <f t="shared" si="3"/>
        <v>8.6999999999999994E-2</v>
      </c>
      <c r="G15" s="21">
        <f>E15*F15</f>
        <v>113.1</v>
      </c>
      <c r="H15" s="21">
        <f t="shared" si="1"/>
        <v>0</v>
      </c>
      <c r="I15" s="22">
        <f t="shared" si="2"/>
        <v>0</v>
      </c>
      <c r="J15" s="22"/>
      <c r="K15" s="107">
        <f t="shared" ref="K15:K26" si="4">G15/$G$51</f>
        <v>0.28373905547151967</v>
      </c>
    </row>
    <row r="16" spans="1:11" s="1" customFormat="1" x14ac:dyDescent="0.2">
      <c r="A16" s="108" t="s">
        <v>35</v>
      </c>
      <c r="B16" s="74">
        <f>B4*0.17</f>
        <v>340</v>
      </c>
      <c r="C16" s="27">
        <v>0.13200000000000001</v>
      </c>
      <c r="D16" s="21">
        <f>B16*C16</f>
        <v>44.88</v>
      </c>
      <c r="E16" s="72">
        <f t="shared" si="3"/>
        <v>340</v>
      </c>
      <c r="F16" s="27">
        <f t="shared" si="3"/>
        <v>0.13200000000000001</v>
      </c>
      <c r="G16" s="21">
        <f>E16*F16</f>
        <v>44.88</v>
      </c>
      <c r="H16" s="21">
        <f t="shared" si="1"/>
        <v>0</v>
      </c>
      <c r="I16" s="22">
        <f t="shared" si="2"/>
        <v>0</v>
      </c>
      <c r="J16" s="22"/>
      <c r="K16" s="107">
        <f t="shared" si="4"/>
        <v>0.11259247400143065</v>
      </c>
    </row>
    <row r="17" spans="1:11" s="1" customFormat="1" x14ac:dyDescent="0.2">
      <c r="A17" s="108" t="s">
        <v>36</v>
      </c>
      <c r="B17" s="74">
        <f>B4*0.18</f>
        <v>360</v>
      </c>
      <c r="C17" s="27">
        <v>0.18</v>
      </c>
      <c r="D17" s="21">
        <f>B17*C17</f>
        <v>64.8</v>
      </c>
      <c r="E17" s="72">
        <f t="shared" si="3"/>
        <v>360</v>
      </c>
      <c r="F17" s="27">
        <f t="shared" si="3"/>
        <v>0.18</v>
      </c>
      <c r="G17" s="21">
        <f>E17*F17</f>
        <v>64.8</v>
      </c>
      <c r="H17" s="21">
        <f t="shared" si="1"/>
        <v>0</v>
      </c>
      <c r="I17" s="22">
        <f t="shared" si="2"/>
        <v>0</v>
      </c>
      <c r="J17" s="22"/>
      <c r="K17" s="107">
        <f t="shared" si="4"/>
        <v>0.16256667369190519</v>
      </c>
    </row>
    <row r="18" spans="1:11" s="1" customFormat="1" x14ac:dyDescent="0.2">
      <c r="A18" s="60" t="s">
        <v>37</v>
      </c>
      <c r="B18" s="28"/>
      <c r="C18" s="29"/>
      <c r="D18" s="29">
        <f>SUM(D15:D17)</f>
        <v>222.77999999999997</v>
      </c>
      <c r="E18" s="76"/>
      <c r="F18" s="29"/>
      <c r="G18" s="29">
        <f>SUM(G15:G17)</f>
        <v>222.77999999999997</v>
      </c>
      <c r="H18" s="30">
        <f t="shared" si="1"/>
        <v>0</v>
      </c>
      <c r="I18" s="31">
        <f t="shared" si="2"/>
        <v>0</v>
      </c>
      <c r="J18" s="32">
        <f t="shared" ref="J18:J23" si="5">G18/$G$46</f>
        <v>0.54876812787819684</v>
      </c>
      <c r="K18" s="61">
        <f t="shared" si="4"/>
        <v>0.5588982031648555</v>
      </c>
    </row>
    <row r="19" spans="1:11" x14ac:dyDescent="0.2">
      <c r="A19" s="106" t="s">
        <v>38</v>
      </c>
      <c r="B19" s="72">
        <v>1</v>
      </c>
      <c r="C19" s="77">
        <f>VLOOKUP($B$3,'Data for Bill Impacts'!$A$3:$Y$15,7,0)</f>
        <v>25.6</v>
      </c>
      <c r="D19" s="21">
        <f>B19*C19</f>
        <v>25.6</v>
      </c>
      <c r="E19" s="72">
        <f t="shared" ref="E19:E41" si="6">B19</f>
        <v>1</v>
      </c>
      <c r="F19" s="77">
        <f>VLOOKUP($B$3,'Data for Bill Impacts'!$A$3:$Y$15,17,0)</f>
        <v>26.15</v>
      </c>
      <c r="G19" s="21">
        <f>E19*F19</f>
        <v>26.15</v>
      </c>
      <c r="H19" s="21">
        <f t="shared" si="1"/>
        <v>0.54999999999999716</v>
      </c>
      <c r="I19" s="22">
        <f t="shared" si="2"/>
        <v>2.1484374999999889E-2</v>
      </c>
      <c r="J19" s="22">
        <f t="shared" si="5"/>
        <v>6.4414608780028942E-2</v>
      </c>
      <c r="K19" s="107">
        <f t="shared" si="4"/>
        <v>6.5603680818569765E-2</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2.4632737583185064E-5</v>
      </c>
      <c r="K22" s="107">
        <f t="shared" si="4"/>
        <v>2.5087449643812529E-5</v>
      </c>
    </row>
    <row r="23" spans="1:11" x14ac:dyDescent="0.2">
      <c r="A23" s="106" t="s">
        <v>39</v>
      </c>
      <c r="B23" s="72">
        <f>IF($B$9="kWh",$B$4,$B$5)</f>
        <v>2000</v>
      </c>
      <c r="C23" s="125">
        <f>VLOOKUP($B$3,'Data for Bill Impacts'!$A$3:$Y$15,10,0)</f>
        <v>3.0800000000000001E-2</v>
      </c>
      <c r="D23" s="21">
        <f>B23*C23</f>
        <v>61.6</v>
      </c>
      <c r="E23" s="72">
        <f t="shared" si="6"/>
        <v>2000</v>
      </c>
      <c r="F23" s="77">
        <f>VLOOKUP($B$3,'Data for Bill Impacts'!$A$3:$Y$15,19,0)</f>
        <v>3.1699999999999999E-2</v>
      </c>
      <c r="G23" s="21">
        <f>E23*F23</f>
        <v>63.4</v>
      </c>
      <c r="H23" s="21">
        <f t="shared" si="1"/>
        <v>1.7999999999999972</v>
      </c>
      <c r="I23" s="22">
        <f t="shared" si="2"/>
        <v>2.9220779220779175E-2</v>
      </c>
      <c r="J23" s="22">
        <f t="shared" si="5"/>
        <v>0.15617155627739332</v>
      </c>
      <c r="K23" s="107">
        <f t="shared" si="4"/>
        <v>0.15905443074177145</v>
      </c>
    </row>
    <row r="24" spans="1:11" x14ac:dyDescent="0.2">
      <c r="A24" s="106" t="s">
        <v>129</v>
      </c>
      <c r="B24" s="72">
        <f>IF($B$9="kWh",$B$4,$B$5)</f>
        <v>2000</v>
      </c>
      <c r="C24" s="77">
        <f>VLOOKUP($B$3,'Data for Bill Impacts'!$A$3:$Y$15,14,0)</f>
        <v>2.0000000000000001E-4</v>
      </c>
      <c r="D24" s="33">
        <f>B24*C24</f>
        <v>0.4</v>
      </c>
      <c r="E24" s="72">
        <f t="shared" si="6"/>
        <v>2000</v>
      </c>
      <c r="F24" s="77">
        <f>VLOOKUP($B$3,'Data for Bill Impacts'!$A$3:$Y$15,23,0)</f>
        <v>2.0000000000000001E-4</v>
      </c>
      <c r="G24" s="33">
        <f>E24*F24</f>
        <v>0.4</v>
      </c>
      <c r="H24" s="21">
        <f t="shared" si="1"/>
        <v>0</v>
      </c>
      <c r="I24" s="22">
        <f>IF(ISERROR(H24/D24),0,(H24/D24))</f>
        <v>0</v>
      </c>
      <c r="J24" s="22">
        <f t="shared" ref="J24" si="9">G24/$G$46</f>
        <v>9.8530950332740273E-4</v>
      </c>
      <c r="K24" s="107">
        <f t="shared" si="4"/>
        <v>1.0034979857525012E-3</v>
      </c>
    </row>
    <row r="25" spans="1:11" s="1" customFormat="1" x14ac:dyDescent="0.2">
      <c r="A25" s="109" t="s">
        <v>72</v>
      </c>
      <c r="B25" s="73"/>
      <c r="C25" s="34"/>
      <c r="D25" s="34">
        <f>SUM(D19:D24)</f>
        <v>87.610000000000014</v>
      </c>
      <c r="E25" s="72"/>
      <c r="F25" s="34"/>
      <c r="G25" s="34">
        <f>SUM(G19:G24)</f>
        <v>89.960000000000008</v>
      </c>
      <c r="H25" s="34">
        <f t="shared" si="1"/>
        <v>2.3499999999999943</v>
      </c>
      <c r="I25" s="35">
        <f t="shared" si="2"/>
        <v>2.6823421983791736E-2</v>
      </c>
      <c r="J25" s="35">
        <f>G25/$G$46</f>
        <v>0.22159610729833287</v>
      </c>
      <c r="K25" s="110">
        <f t="shared" si="4"/>
        <v>0.22568669699573754</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1.9459862690716203E-3</v>
      </c>
      <c r="K26" s="107">
        <f t="shared" si="4"/>
        <v>1.9819085218611898E-3</v>
      </c>
    </row>
    <row r="27" spans="1:11" s="1" customFormat="1" x14ac:dyDescent="0.2">
      <c r="A27" s="118" t="s">
        <v>75</v>
      </c>
      <c r="B27" s="119">
        <f>B8-B4</f>
        <v>134</v>
      </c>
      <c r="C27" s="120">
        <f>IF(B4&gt;B7,C13,C12)</f>
        <v>0.121</v>
      </c>
      <c r="D27" s="21">
        <f>B27*C27</f>
        <v>16.213999999999999</v>
      </c>
      <c r="E27" s="72">
        <f>B27</f>
        <v>134</v>
      </c>
      <c r="F27" s="120">
        <f>C27</f>
        <v>0.121</v>
      </c>
      <c r="G27" s="21">
        <f>E27*F27</f>
        <v>16.213999999999999</v>
      </c>
      <c r="H27" s="21">
        <f t="shared" si="1"/>
        <v>0</v>
      </c>
      <c r="I27" s="22">
        <f>IF(ISERROR(H27/D27),0,(H27/D27))</f>
        <v>0</v>
      </c>
      <c r="J27" s="22">
        <f t="shared" ref="J27:J46" si="10">G27/$G$46</f>
        <v>3.9939520717376262E-2</v>
      </c>
      <c r="K27" s="107">
        <f t="shared" ref="K27:K41" si="11">G27/$G$51</f>
        <v>4.0676790852477634E-2</v>
      </c>
    </row>
    <row r="28" spans="1:11" s="1" customFormat="1" x14ac:dyDescent="0.2">
      <c r="A28" s="118" t="s">
        <v>74</v>
      </c>
      <c r="B28" s="119">
        <f>B8-B4</f>
        <v>134</v>
      </c>
      <c r="C28" s="120">
        <f>0.65*C15+0.17*C16+0.18*C17</f>
        <v>0.11139</v>
      </c>
      <c r="D28" s="21">
        <f>B28*C28</f>
        <v>14.926260000000001</v>
      </c>
      <c r="E28" s="72">
        <f>B28</f>
        <v>134</v>
      </c>
      <c r="F28" s="120">
        <f>C28</f>
        <v>0.11139</v>
      </c>
      <c r="G28" s="21">
        <f>E28*F28</f>
        <v>14.926260000000001</v>
      </c>
      <c r="H28" s="21">
        <f t="shared" si="1"/>
        <v>0</v>
      </c>
      <c r="I28" s="22">
        <f>IF(ISERROR(H28/D28),0,(H28/D28))</f>
        <v>0</v>
      </c>
      <c r="J28" s="22">
        <f t="shared" si="10"/>
        <v>3.6767464567839192E-2</v>
      </c>
      <c r="K28" s="107">
        <f t="shared" si="11"/>
        <v>3.744617961204532E-2</v>
      </c>
    </row>
    <row r="29" spans="1:11" s="1" customFormat="1" x14ac:dyDescent="0.2">
      <c r="A29" s="109" t="s">
        <v>78</v>
      </c>
      <c r="B29" s="73"/>
      <c r="C29" s="34"/>
      <c r="D29" s="34">
        <f>SUM(D25,D26:D27)</f>
        <v>104.61400000000002</v>
      </c>
      <c r="E29" s="72"/>
      <c r="F29" s="34"/>
      <c r="G29" s="34">
        <f>SUM(G25,G26:G27)</f>
        <v>106.96400000000001</v>
      </c>
      <c r="H29" s="34">
        <f t="shared" si="1"/>
        <v>2.3499999999999943</v>
      </c>
      <c r="I29" s="35">
        <f>IF(ISERROR(H29/D29),0,(H29/D29))</f>
        <v>2.2463532605578544E-2</v>
      </c>
      <c r="J29" s="35">
        <f t="shared" si="10"/>
        <v>0.26348161428478079</v>
      </c>
      <c r="K29" s="110">
        <f t="shared" si="11"/>
        <v>0.26834539637007637</v>
      </c>
    </row>
    <row r="30" spans="1:11" s="1" customFormat="1" x14ac:dyDescent="0.2">
      <c r="A30" s="109" t="s">
        <v>77</v>
      </c>
      <c r="B30" s="73"/>
      <c r="C30" s="34"/>
      <c r="D30" s="34">
        <f>SUM(D25,D26,D28)</f>
        <v>103.32626000000002</v>
      </c>
      <c r="E30" s="72"/>
      <c r="F30" s="34"/>
      <c r="G30" s="34">
        <f>SUM(G25,G26,G28)</f>
        <v>105.67626000000001</v>
      </c>
      <c r="H30" s="34">
        <f t="shared" si="1"/>
        <v>2.3499999999999943</v>
      </c>
      <c r="I30" s="35">
        <f>IF(ISERROR(H30/D30),0,(H30/D30))</f>
        <v>2.2743492312602757E-2</v>
      </c>
      <c r="J30" s="35">
        <f t="shared" si="10"/>
        <v>0.2603095581352437</v>
      </c>
      <c r="K30" s="110">
        <f t="shared" si="11"/>
        <v>0.26511478512964404</v>
      </c>
    </row>
    <row r="31" spans="1:11" x14ac:dyDescent="0.2">
      <c r="A31" s="106" t="s">
        <v>40</v>
      </c>
      <c r="B31" s="72">
        <f>B8</f>
        <v>2134</v>
      </c>
      <c r="C31" s="125">
        <f>VLOOKUP($B$3,'Data for Bill Impacts'!$A$3:$Y$15,15,0)</f>
        <v>5.7999999999999996E-3</v>
      </c>
      <c r="D31" s="21">
        <f>B31*C31</f>
        <v>12.377199999999998</v>
      </c>
      <c r="E31" s="72">
        <f t="shared" si="6"/>
        <v>2134</v>
      </c>
      <c r="F31" s="77">
        <f>VLOOKUP($B$3,'Data for Bill Impacts'!$A$3:$Y$15,24,0)</f>
        <v>5.7999999999999996E-3</v>
      </c>
      <c r="G31" s="21">
        <f>E31*F31</f>
        <v>12.377199999999998</v>
      </c>
      <c r="H31" s="21">
        <f t="shared" si="1"/>
        <v>0</v>
      </c>
      <c r="I31" s="22">
        <f t="shared" si="2"/>
        <v>0</v>
      </c>
      <c r="J31" s="22">
        <f t="shared" si="10"/>
        <v>3.0488431961459814E-2</v>
      </c>
      <c r="K31" s="107">
        <f t="shared" si="11"/>
        <v>3.105123817313964E-2</v>
      </c>
    </row>
    <row r="32" spans="1:11" x14ac:dyDescent="0.2">
      <c r="A32" s="106" t="s">
        <v>41</v>
      </c>
      <c r="B32" s="72">
        <f>B8</f>
        <v>2134</v>
      </c>
      <c r="C32" s="125">
        <f>VLOOKUP($B$3,'Data for Bill Impacts'!$A$3:$Y$15,16,0)</f>
        <v>4.7000000000000002E-3</v>
      </c>
      <c r="D32" s="21">
        <f>B32*C32</f>
        <v>10.0298</v>
      </c>
      <c r="E32" s="72">
        <f t="shared" si="6"/>
        <v>2134</v>
      </c>
      <c r="F32" s="77">
        <f>VLOOKUP($B$3,'Data for Bill Impacts'!$A$3:$Y$15,25,0)</f>
        <v>4.7000000000000002E-3</v>
      </c>
      <c r="G32" s="21">
        <f>E32*F32</f>
        <v>10.0298</v>
      </c>
      <c r="H32" s="21">
        <f t="shared" si="1"/>
        <v>0</v>
      </c>
      <c r="I32" s="22">
        <f t="shared" si="2"/>
        <v>0</v>
      </c>
      <c r="J32" s="22">
        <f t="shared" si="10"/>
        <v>2.4706143141182958E-2</v>
      </c>
      <c r="K32" s="107">
        <f t="shared" si="11"/>
        <v>2.516221024375109E-2</v>
      </c>
    </row>
    <row r="33" spans="1:11" s="1" customFormat="1" x14ac:dyDescent="0.2">
      <c r="A33" s="109" t="s">
        <v>76</v>
      </c>
      <c r="B33" s="73"/>
      <c r="C33" s="34"/>
      <c r="D33" s="34">
        <f>SUM(D31:D32)</f>
        <v>22.406999999999996</v>
      </c>
      <c r="E33" s="72"/>
      <c r="F33" s="34"/>
      <c r="G33" s="34">
        <f>SUM(G31:G32)</f>
        <v>22.406999999999996</v>
      </c>
      <c r="H33" s="34">
        <f t="shared" si="1"/>
        <v>0</v>
      </c>
      <c r="I33" s="35">
        <f t="shared" si="2"/>
        <v>0</v>
      </c>
      <c r="J33" s="35">
        <f t="shared" si="10"/>
        <v>5.5194575102642765E-2</v>
      </c>
      <c r="K33" s="110">
        <f t="shared" si="11"/>
        <v>5.6213448416890723E-2</v>
      </c>
    </row>
    <row r="34" spans="1:11" s="1" customFormat="1" ht="13.5" customHeight="1" x14ac:dyDescent="0.2">
      <c r="A34" s="109" t="s">
        <v>93</v>
      </c>
      <c r="B34" s="73"/>
      <c r="C34" s="34"/>
      <c r="D34" s="34">
        <f>D29+D33</f>
        <v>127.02100000000002</v>
      </c>
      <c r="E34" s="72"/>
      <c r="F34" s="34"/>
      <c r="G34" s="34">
        <f>G29+G33</f>
        <v>129.37100000000001</v>
      </c>
      <c r="H34" s="34">
        <f t="shared" si="1"/>
        <v>2.3499999999999943</v>
      </c>
      <c r="I34" s="35">
        <f t="shared" si="2"/>
        <v>1.8500877807606571E-2</v>
      </c>
      <c r="J34" s="35">
        <f t="shared" si="10"/>
        <v>0.31867618938742354</v>
      </c>
      <c r="K34" s="110">
        <f t="shared" si="11"/>
        <v>0.32455884478696712</v>
      </c>
    </row>
    <row r="35" spans="1:11" s="1" customFormat="1" ht="13.5" customHeight="1" x14ac:dyDescent="0.2">
      <c r="A35" s="109" t="s">
        <v>94</v>
      </c>
      <c r="B35" s="73"/>
      <c r="C35" s="34"/>
      <c r="D35" s="34">
        <f>D30+D33</f>
        <v>125.73326000000002</v>
      </c>
      <c r="E35" s="72"/>
      <c r="F35" s="34"/>
      <c r="G35" s="34">
        <f>G30+G33</f>
        <v>128.08326</v>
      </c>
      <c r="H35" s="34">
        <f t="shared" si="1"/>
        <v>2.3499999999999801</v>
      </c>
      <c r="I35" s="35">
        <f t="shared" si="2"/>
        <v>1.8690360848036391E-2</v>
      </c>
      <c r="J35" s="35">
        <f t="shared" si="10"/>
        <v>0.3155041332378864</v>
      </c>
      <c r="K35" s="110">
        <f t="shared" si="11"/>
        <v>0.32132823354653473</v>
      </c>
    </row>
    <row r="36" spans="1:11" x14ac:dyDescent="0.2">
      <c r="A36" s="106" t="s">
        <v>42</v>
      </c>
      <c r="B36" s="72">
        <f>B8</f>
        <v>2134</v>
      </c>
      <c r="C36" s="33">
        <v>3.5999999999999999E-3</v>
      </c>
      <c r="D36" s="21">
        <f>B36*C36</f>
        <v>7.6823999999999995</v>
      </c>
      <c r="E36" s="72">
        <f t="shared" si="6"/>
        <v>2134</v>
      </c>
      <c r="F36" s="33">
        <v>3.5999999999999999E-3</v>
      </c>
      <c r="G36" s="21">
        <f>E36*F36</f>
        <v>7.6823999999999995</v>
      </c>
      <c r="H36" s="21">
        <f t="shared" si="1"/>
        <v>0</v>
      </c>
      <c r="I36" s="22">
        <f t="shared" si="2"/>
        <v>0</v>
      </c>
      <c r="J36" s="22">
        <f t="shared" si="10"/>
        <v>1.8923854320906094E-2</v>
      </c>
      <c r="K36" s="107">
        <f t="shared" si="11"/>
        <v>1.9273182314362536E-2</v>
      </c>
    </row>
    <row r="37" spans="1:11" x14ac:dyDescent="0.2">
      <c r="A37" s="106" t="s">
        <v>43</v>
      </c>
      <c r="B37" s="72">
        <f>B8</f>
        <v>2134</v>
      </c>
      <c r="C37" s="33">
        <v>2.0999999999999999E-3</v>
      </c>
      <c r="D37" s="21">
        <f>B37*C37</f>
        <v>4.4813999999999998</v>
      </c>
      <c r="E37" s="72">
        <f t="shared" si="6"/>
        <v>2134</v>
      </c>
      <c r="F37" s="33">
        <v>2.0999999999999999E-3</v>
      </c>
      <c r="G37" s="21">
        <f>E37*F37</f>
        <v>4.4813999999999998</v>
      </c>
      <c r="H37" s="21">
        <f>G37-D37</f>
        <v>0</v>
      </c>
      <c r="I37" s="22">
        <f t="shared" si="2"/>
        <v>0</v>
      </c>
      <c r="J37" s="22">
        <f t="shared" si="10"/>
        <v>1.1038915020528554E-2</v>
      </c>
      <c r="K37" s="107">
        <f t="shared" si="11"/>
        <v>1.1242689683378146E-2</v>
      </c>
    </row>
    <row r="38" spans="1:11" x14ac:dyDescent="0.2">
      <c r="A38" s="106" t="s">
        <v>99</v>
      </c>
      <c r="B38" s="72">
        <f>B8</f>
        <v>2134</v>
      </c>
      <c r="C38" s="33">
        <v>1.1000000000000001E-3</v>
      </c>
      <c r="D38" s="21">
        <f>B38*C38</f>
        <v>2.3473999999999999</v>
      </c>
      <c r="E38" s="72">
        <f t="shared" si="6"/>
        <v>2134</v>
      </c>
      <c r="F38" s="33">
        <v>1.1000000000000001E-3</v>
      </c>
      <c r="G38" s="21">
        <f>E38*F38</f>
        <v>2.3473999999999999</v>
      </c>
      <c r="H38" s="21">
        <f>G38-D38</f>
        <v>0</v>
      </c>
      <c r="I38" s="22">
        <f t="shared" ref="I38" si="12">IF(ISERROR(H38/D38),0,(H38/D38))</f>
        <v>0</v>
      </c>
      <c r="J38" s="22">
        <f t="shared" ref="J38" si="13">G38/$G$46</f>
        <v>5.7822888202768621E-3</v>
      </c>
      <c r="K38" s="107">
        <f t="shared" ref="K38" si="14">G38/$G$51</f>
        <v>5.8890279293885529E-3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6.1581843957962657E-4</v>
      </c>
      <c r="K39" s="107">
        <f t="shared" si="11"/>
        <v>6.2718624109531326E-4</v>
      </c>
    </row>
    <row r="40" spans="1:11" s="1" customFormat="1" x14ac:dyDescent="0.2">
      <c r="A40" s="109" t="s">
        <v>45</v>
      </c>
      <c r="B40" s="73"/>
      <c r="C40" s="34"/>
      <c r="D40" s="34">
        <f>SUM(D36:D39)</f>
        <v>14.761199999999999</v>
      </c>
      <c r="E40" s="72"/>
      <c r="F40" s="34"/>
      <c r="G40" s="34">
        <f>SUM(G36:G39)</f>
        <v>14.761199999999999</v>
      </c>
      <c r="H40" s="34">
        <f t="shared" si="1"/>
        <v>0</v>
      </c>
      <c r="I40" s="35">
        <f t="shared" si="2"/>
        <v>0</v>
      </c>
      <c r="J40" s="35">
        <f t="shared" si="10"/>
        <v>3.6360876601291135E-2</v>
      </c>
      <c r="K40" s="110">
        <f t="shared" si="11"/>
        <v>3.7032086168224551E-2</v>
      </c>
    </row>
    <row r="41" spans="1:11" s="1" customFormat="1" ht="13.5" thickBot="1" x14ac:dyDescent="0.25">
      <c r="A41" s="111" t="s">
        <v>46</v>
      </c>
      <c r="B41" s="112">
        <f>B4</f>
        <v>2000</v>
      </c>
      <c r="C41" s="113">
        <v>7.0000000000000001E-3</v>
      </c>
      <c r="D41" s="114">
        <f>B41*C41</f>
        <v>14</v>
      </c>
      <c r="E41" s="115">
        <f t="shared" si="6"/>
        <v>2000</v>
      </c>
      <c r="F41" s="113">
        <f>C41</f>
        <v>7.0000000000000001E-3</v>
      </c>
      <c r="G41" s="114">
        <f>E41*F41</f>
        <v>14</v>
      </c>
      <c r="H41" s="114">
        <f t="shared" si="1"/>
        <v>0</v>
      </c>
      <c r="I41" s="116">
        <f t="shared" si="2"/>
        <v>0</v>
      </c>
      <c r="J41" s="116">
        <f t="shared" si="10"/>
        <v>3.4485832616459093E-2</v>
      </c>
      <c r="K41" s="117">
        <f t="shared" si="11"/>
        <v>3.5122429501337545E-2</v>
      </c>
    </row>
    <row r="42" spans="1:11" s="1" customFormat="1" x14ac:dyDescent="0.2">
      <c r="A42" s="36" t="s">
        <v>107</v>
      </c>
      <c r="B42" s="37"/>
      <c r="C42" s="38"/>
      <c r="D42" s="38">
        <f>SUM(D14,D25,D26,D27,D33,D40,D41)</f>
        <v>384.28219999999999</v>
      </c>
      <c r="E42" s="37"/>
      <c r="F42" s="38"/>
      <c r="G42" s="38">
        <f>SUM(G14,G25,G26,G27,G33,G40,G41)</f>
        <v>386.63220000000001</v>
      </c>
      <c r="H42" s="38">
        <f t="shared" si="1"/>
        <v>2.3500000000000227</v>
      </c>
      <c r="I42" s="39">
        <f>IF(ISERROR(H42/D42),0,(H42/D42))</f>
        <v>6.1152975599703101E-3</v>
      </c>
      <c r="J42" s="39">
        <f t="shared" si="10"/>
        <v>0.95238095238095244</v>
      </c>
      <c r="K42" s="40"/>
    </row>
    <row r="43" spans="1:11" x14ac:dyDescent="0.2">
      <c r="A43" s="143" t="s">
        <v>108</v>
      </c>
      <c r="B43" s="42"/>
      <c r="C43" s="25">
        <v>0.13</v>
      </c>
      <c r="D43" s="25">
        <f>D42*C43</f>
        <v>49.956685999999998</v>
      </c>
      <c r="E43" s="25"/>
      <c r="F43" s="25">
        <f>C43</f>
        <v>0.13</v>
      </c>
      <c r="G43" s="25">
        <f>G42*F43</f>
        <v>50.262186</v>
      </c>
      <c r="H43" s="25">
        <f t="shared" si="1"/>
        <v>0.3055000000000021</v>
      </c>
      <c r="I43" s="43">
        <f t="shared" si="2"/>
        <v>6.1152975599702937E-3</v>
      </c>
      <c r="J43" s="43">
        <f t="shared" si="10"/>
        <v>0.12380952380952381</v>
      </c>
      <c r="K43" s="44"/>
    </row>
    <row r="44" spans="1:11" s="1" customFormat="1" x14ac:dyDescent="0.2">
      <c r="A44" s="45" t="s">
        <v>109</v>
      </c>
      <c r="B44" s="23"/>
      <c r="C44" s="24"/>
      <c r="D44" s="24">
        <f>SUM(D42:D43)</f>
        <v>434.23888599999998</v>
      </c>
      <c r="E44" s="24"/>
      <c r="F44" s="24"/>
      <c r="G44" s="24">
        <f>SUM(G42:G43)</f>
        <v>436.894386</v>
      </c>
      <c r="H44" s="24">
        <f t="shared" si="1"/>
        <v>2.6555000000000177</v>
      </c>
      <c r="I44" s="26">
        <f t="shared" si="2"/>
        <v>6.1152975599702919E-3</v>
      </c>
      <c r="J44" s="26">
        <f t="shared" si="10"/>
        <v>1.0761904761904764</v>
      </c>
      <c r="K44" s="46"/>
    </row>
    <row r="45" spans="1:11" x14ac:dyDescent="0.2">
      <c r="A45" s="41" t="s">
        <v>110</v>
      </c>
      <c r="B45" s="42"/>
      <c r="C45" s="25">
        <v>-0.08</v>
      </c>
      <c r="D45" s="25">
        <f>D42*C45</f>
        <v>-30.742576</v>
      </c>
      <c r="E45" s="25"/>
      <c r="F45" s="25">
        <f>C45</f>
        <v>-0.08</v>
      </c>
      <c r="G45" s="25">
        <f>G42*F45</f>
        <v>-30.930576000000002</v>
      </c>
      <c r="H45" s="25">
        <f t="shared" si="1"/>
        <v>-0.18800000000000239</v>
      </c>
      <c r="I45" s="43">
        <f t="shared" si="2"/>
        <v>6.1152975599703284E-3</v>
      </c>
      <c r="J45" s="43">
        <f t="shared" si="10"/>
        <v>-7.6190476190476197E-2</v>
      </c>
      <c r="K45" s="44"/>
    </row>
    <row r="46" spans="1:11" s="1" customFormat="1" ht="13.5" thickBot="1" x14ac:dyDescent="0.25">
      <c r="A46" s="47" t="s">
        <v>111</v>
      </c>
      <c r="B46" s="48"/>
      <c r="C46" s="49"/>
      <c r="D46" s="49">
        <f>SUM(D44:D45)</f>
        <v>403.49630999999999</v>
      </c>
      <c r="E46" s="49"/>
      <c r="F46" s="49"/>
      <c r="G46" s="49">
        <f>SUM(G44:G45)</f>
        <v>405.96380999999997</v>
      </c>
      <c r="H46" s="49">
        <f t="shared" si="1"/>
        <v>2.4674999999999727</v>
      </c>
      <c r="I46" s="50">
        <f t="shared" si="2"/>
        <v>6.1152975599701835E-3</v>
      </c>
      <c r="J46" s="50">
        <f t="shared" si="10"/>
        <v>1</v>
      </c>
      <c r="K46" s="51"/>
    </row>
    <row r="47" spans="1:11" x14ac:dyDescent="0.2">
      <c r="A47" s="52" t="s">
        <v>112</v>
      </c>
      <c r="B47" s="53"/>
      <c r="C47" s="54"/>
      <c r="D47" s="54">
        <f>SUM(D18,D25,D26,D28,D33,D40,D41)</f>
        <v>377.27445999999998</v>
      </c>
      <c r="E47" s="54"/>
      <c r="F47" s="54"/>
      <c r="G47" s="54">
        <f>SUM(G18,G25,G26,G28,G33,G40,G41)</f>
        <v>379.62446</v>
      </c>
      <c r="H47" s="54">
        <f>G47-D47</f>
        <v>2.3500000000000227</v>
      </c>
      <c r="I47" s="55">
        <f>IF(ISERROR(H47/D47),0,(H47/D47))</f>
        <v>6.2288870547983098E-3</v>
      </c>
      <c r="J47" s="55"/>
      <c r="K47" s="56">
        <f>G47/$G$51</f>
        <v>0.95238095238095233</v>
      </c>
    </row>
    <row r="48" spans="1:11" x14ac:dyDescent="0.2">
      <c r="A48" s="57" t="s">
        <v>108</v>
      </c>
      <c r="B48" s="58"/>
      <c r="C48" s="30">
        <v>0.13</v>
      </c>
      <c r="D48" s="30">
        <f>D47*C48</f>
        <v>49.045679800000002</v>
      </c>
      <c r="E48" s="30"/>
      <c r="F48" s="30">
        <f>C48</f>
        <v>0.13</v>
      </c>
      <c r="G48" s="30">
        <f>G47*F48</f>
        <v>49.351179800000004</v>
      </c>
      <c r="H48" s="30">
        <f>G48-D48</f>
        <v>0.3055000000000021</v>
      </c>
      <c r="I48" s="31">
        <f>IF(ISERROR(H48/D48),0,(H48/D48))</f>
        <v>6.2288870547982924E-3</v>
      </c>
      <c r="J48" s="31"/>
      <c r="K48" s="59">
        <f>G48/$G$51</f>
        <v>0.12380952380952381</v>
      </c>
    </row>
    <row r="49" spans="1:11" x14ac:dyDescent="0.2">
      <c r="A49" s="136" t="s">
        <v>113</v>
      </c>
      <c r="B49" s="28"/>
      <c r="C49" s="29"/>
      <c r="D49" s="29">
        <f>SUM(D47:D48)</f>
        <v>426.32013979999999</v>
      </c>
      <c r="E49" s="29"/>
      <c r="F49" s="29"/>
      <c r="G49" s="29">
        <f>SUM(G47:G48)</f>
        <v>428.97563980000001</v>
      </c>
      <c r="H49" s="29">
        <f>G49-D49</f>
        <v>2.6555000000000177</v>
      </c>
      <c r="I49" s="32">
        <f>IF(ISERROR(H49/D49),0,(H49/D49))</f>
        <v>6.2288870547982916E-3</v>
      </c>
      <c r="J49" s="32"/>
      <c r="K49" s="61">
        <f>G49/$G$51</f>
        <v>1.0761904761904761</v>
      </c>
    </row>
    <row r="50" spans="1:11" x14ac:dyDescent="0.2">
      <c r="A50" s="57" t="s">
        <v>110</v>
      </c>
      <c r="B50" s="58"/>
      <c r="C50" s="30">
        <v>-0.08</v>
      </c>
      <c r="D50" s="30">
        <f>D47*C50</f>
        <v>-30.181956799999998</v>
      </c>
      <c r="E50" s="30"/>
      <c r="F50" s="30">
        <f>C50</f>
        <v>-0.08</v>
      </c>
      <c r="G50" s="30">
        <f>G47*F50</f>
        <v>-30.369956800000001</v>
      </c>
      <c r="H50" s="30">
        <f>G50-D50</f>
        <v>-0.18800000000000239</v>
      </c>
      <c r="I50" s="31">
        <f>IF(ISERROR(H50/D50),0,(H50/D50))</f>
        <v>6.2288870547983289E-3</v>
      </c>
      <c r="J50" s="31"/>
      <c r="K50" s="59">
        <f>G50/$G$51</f>
        <v>-7.6190476190476197E-2</v>
      </c>
    </row>
    <row r="51" spans="1:11" ht="13.5" thickBot="1" x14ac:dyDescent="0.25">
      <c r="A51" s="62" t="s">
        <v>114</v>
      </c>
      <c r="B51" s="63"/>
      <c r="C51" s="64"/>
      <c r="D51" s="64">
        <f>SUM(D49:D50)</f>
        <v>396.13818299999997</v>
      </c>
      <c r="E51" s="64"/>
      <c r="F51" s="64"/>
      <c r="G51" s="64">
        <f>SUM(G49:G50)</f>
        <v>398.605683</v>
      </c>
      <c r="H51" s="64">
        <f>G51-D51</f>
        <v>2.4675000000000296</v>
      </c>
      <c r="I51" s="65">
        <f>IF(ISERROR(H51/D51),0,(H51/D51))</f>
        <v>6.2288870547983245E-3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theme="1" tint="0.499984740745262"/>
    <pageSetUpPr fitToPage="1"/>
  </sheetPr>
  <dimension ref="A1:K68"/>
  <sheetViews>
    <sheetView tabSelected="1" topLeftCell="A13"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6</v>
      </c>
    </row>
    <row r="4" spans="1:11" x14ac:dyDescent="0.2">
      <c r="A4" s="14" t="s">
        <v>62</v>
      </c>
      <c r="B4" s="78">
        <f>'Data for Bill Impacts_HONI Avg '!C8</f>
        <v>2759</v>
      </c>
    </row>
    <row r="5" spans="1:11" x14ac:dyDescent="0.2">
      <c r="A5" s="14" t="s">
        <v>16</v>
      </c>
      <c r="B5" s="14">
        <f>VLOOKUP($B$3,'Data for Bill Impacts'!$A$3:$Y$15,5,0)</f>
        <v>0</v>
      </c>
    </row>
    <row r="6" spans="1:11" x14ac:dyDescent="0.2">
      <c r="A6" s="14" t="s">
        <v>20</v>
      </c>
      <c r="B6" s="14">
        <f>VLOOKUP($B$3,'Data for Bill Impacts'!$A$3:$Y$15,2,0)</f>
        <v>1.0669999999999999</v>
      </c>
    </row>
    <row r="7" spans="1:11" x14ac:dyDescent="0.2">
      <c r="A7" s="14" t="s">
        <v>15</v>
      </c>
      <c r="B7" s="14">
        <f>VLOOKUP($B$3,'Data for Bill Impacts'!$A$3:$Y$15,4,0)</f>
        <v>750</v>
      </c>
    </row>
    <row r="8" spans="1:11" x14ac:dyDescent="0.2">
      <c r="A8" s="14" t="s">
        <v>82</v>
      </c>
      <c r="B8" s="14">
        <f>B4*B6</f>
        <v>2943.8530000000001</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0.13929762337982243</v>
      </c>
      <c r="K12" s="105"/>
    </row>
    <row r="13" spans="1:11" x14ac:dyDescent="0.2">
      <c r="A13" s="106" t="s">
        <v>32</v>
      </c>
      <c r="B13" s="72">
        <f>IF(B4&gt;B7,(B4)-B7,0)</f>
        <v>2009</v>
      </c>
      <c r="C13" s="20">
        <v>0.121</v>
      </c>
      <c r="D13" s="21">
        <f>B13*C13</f>
        <v>243.089</v>
      </c>
      <c r="E13" s="72">
        <f t="shared" ref="E13" si="0">B13</f>
        <v>2009</v>
      </c>
      <c r="F13" s="20">
        <f>C13</f>
        <v>0.121</v>
      </c>
      <c r="G13" s="21">
        <f>E13*F13</f>
        <v>243.089</v>
      </c>
      <c r="H13" s="21">
        <f t="shared" ref="H13:H46" si="1">G13-D13</f>
        <v>0</v>
      </c>
      <c r="I13" s="22">
        <f t="shared" ref="I13:I46" si="2">IF(ISERROR(H13/D13),0,(H13/D13))</f>
        <v>0</v>
      </c>
      <c r="J13" s="22">
        <f>G13/$G$46</f>
        <v>0.43833941708450042</v>
      </c>
      <c r="K13" s="107"/>
    </row>
    <row r="14" spans="1:11" s="1" customFormat="1" x14ac:dyDescent="0.2">
      <c r="A14" s="45" t="s">
        <v>33</v>
      </c>
      <c r="B14" s="23"/>
      <c r="C14" s="24"/>
      <c r="D14" s="24">
        <f>SUM(D12:D13)</f>
        <v>320.339</v>
      </c>
      <c r="E14" s="75"/>
      <c r="F14" s="24"/>
      <c r="G14" s="24">
        <f>SUM(G12:G13)</f>
        <v>320.339</v>
      </c>
      <c r="H14" s="24">
        <f t="shared" si="1"/>
        <v>0</v>
      </c>
      <c r="I14" s="26">
        <f t="shared" si="2"/>
        <v>0</v>
      </c>
      <c r="J14" s="26">
        <f>G14/$G$46</f>
        <v>0.57763704046432285</v>
      </c>
      <c r="K14" s="107"/>
    </row>
    <row r="15" spans="1:11" s="1" customFormat="1" x14ac:dyDescent="0.2">
      <c r="A15" s="108" t="s">
        <v>34</v>
      </c>
      <c r="B15" s="74">
        <f>B4*0.65</f>
        <v>1793.3500000000001</v>
      </c>
      <c r="C15" s="27">
        <v>8.6999999999999994E-2</v>
      </c>
      <c r="D15" s="21">
        <f>B15*C15</f>
        <v>156.02144999999999</v>
      </c>
      <c r="E15" s="72">
        <f t="shared" ref="E15:F17" si="3">B15</f>
        <v>1793.3500000000001</v>
      </c>
      <c r="F15" s="27">
        <f t="shared" si="3"/>
        <v>8.6999999999999994E-2</v>
      </c>
      <c r="G15" s="21">
        <f>E15*F15</f>
        <v>156.02144999999999</v>
      </c>
      <c r="H15" s="21">
        <f t="shared" si="1"/>
        <v>0</v>
      </c>
      <c r="I15" s="22">
        <f t="shared" si="2"/>
        <v>0</v>
      </c>
      <c r="J15" s="22"/>
      <c r="K15" s="107">
        <f t="shared" ref="K15:K26" si="4">G15/$G$51</f>
        <v>0.2894442401062311</v>
      </c>
    </row>
    <row r="16" spans="1:11" s="1" customFormat="1" x14ac:dyDescent="0.2">
      <c r="A16" s="108" t="s">
        <v>35</v>
      </c>
      <c r="B16" s="74">
        <f>B4*0.17</f>
        <v>469.03000000000003</v>
      </c>
      <c r="C16" s="27">
        <v>0.13200000000000001</v>
      </c>
      <c r="D16" s="21">
        <f>B16*C16</f>
        <v>61.911960000000008</v>
      </c>
      <c r="E16" s="72">
        <f t="shared" si="3"/>
        <v>469.03000000000003</v>
      </c>
      <c r="F16" s="27">
        <f t="shared" si="3"/>
        <v>0.13200000000000001</v>
      </c>
      <c r="G16" s="21">
        <f>E16*F16</f>
        <v>61.911960000000008</v>
      </c>
      <c r="H16" s="21">
        <f t="shared" si="1"/>
        <v>0</v>
      </c>
      <c r="I16" s="22">
        <f t="shared" si="2"/>
        <v>0</v>
      </c>
      <c r="J16" s="22"/>
      <c r="K16" s="107">
        <f t="shared" si="4"/>
        <v>0.11485638811642489</v>
      </c>
    </row>
    <row r="17" spans="1:11" s="1" customFormat="1" x14ac:dyDescent="0.2">
      <c r="A17" s="108" t="s">
        <v>36</v>
      </c>
      <c r="B17" s="74">
        <f>B4*0.18</f>
        <v>496.62</v>
      </c>
      <c r="C17" s="27">
        <v>0.18</v>
      </c>
      <c r="D17" s="21">
        <f>B17*C17</f>
        <v>89.391599999999997</v>
      </c>
      <c r="E17" s="72">
        <f t="shared" si="3"/>
        <v>496.62</v>
      </c>
      <c r="F17" s="27">
        <f t="shared" si="3"/>
        <v>0.18</v>
      </c>
      <c r="G17" s="21">
        <f>E17*F17</f>
        <v>89.391599999999997</v>
      </c>
      <c r="H17" s="21">
        <f t="shared" si="1"/>
        <v>0</v>
      </c>
      <c r="I17" s="22">
        <f t="shared" si="2"/>
        <v>0</v>
      </c>
      <c r="J17" s="22"/>
      <c r="K17" s="107">
        <f t="shared" si="4"/>
        <v>0.16583542669216425</v>
      </c>
    </row>
    <row r="18" spans="1:11" s="1" customFormat="1" x14ac:dyDescent="0.2">
      <c r="A18" s="60" t="s">
        <v>37</v>
      </c>
      <c r="B18" s="28"/>
      <c r="C18" s="29"/>
      <c r="D18" s="29">
        <f>SUM(D15:D17)</f>
        <v>307.32500999999996</v>
      </c>
      <c r="E18" s="76"/>
      <c r="F18" s="29"/>
      <c r="G18" s="29">
        <f>SUM(G15:G17)</f>
        <v>307.32500999999996</v>
      </c>
      <c r="H18" s="30">
        <f t="shared" si="1"/>
        <v>0</v>
      </c>
      <c r="I18" s="31">
        <f t="shared" si="2"/>
        <v>0</v>
      </c>
      <c r="J18" s="32">
        <f t="shared" ref="J18:J23" si="5">G18/$G$46</f>
        <v>0.55417014237126427</v>
      </c>
      <c r="K18" s="61">
        <f t="shared" si="4"/>
        <v>0.57013605491482022</v>
      </c>
    </row>
    <row r="19" spans="1:11" x14ac:dyDescent="0.2">
      <c r="A19" s="106" t="s">
        <v>38</v>
      </c>
      <c r="B19" s="72">
        <v>1</v>
      </c>
      <c r="C19" s="77">
        <f>VLOOKUP($B$3,'Data for Bill Impacts'!$A$3:$Y$15,7,0)</f>
        <v>25.6</v>
      </c>
      <c r="D19" s="21">
        <f>B19*C19</f>
        <v>25.6</v>
      </c>
      <c r="E19" s="72">
        <f t="shared" ref="E19:E41" si="6">B19</f>
        <v>1</v>
      </c>
      <c r="F19" s="77">
        <f>VLOOKUP($B$3,'Data for Bill Impacts'!$A$3:$Y$15,17,0)</f>
        <v>26.15</v>
      </c>
      <c r="G19" s="21">
        <f>E19*F19</f>
        <v>26.15</v>
      </c>
      <c r="H19" s="21">
        <f t="shared" si="1"/>
        <v>0.54999999999999716</v>
      </c>
      <c r="I19" s="22">
        <f t="shared" si="2"/>
        <v>2.1484374999999889E-2</v>
      </c>
      <c r="J19" s="22">
        <f t="shared" si="5"/>
        <v>4.7153823318865459E-2</v>
      </c>
      <c r="K19" s="107">
        <f t="shared" si="4"/>
        <v>4.851234800585396E-2</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1.8032054806449509E-5</v>
      </c>
      <c r="K22" s="107">
        <f t="shared" si="4"/>
        <v>1.8551567115049317E-5</v>
      </c>
    </row>
    <row r="23" spans="1:11" x14ac:dyDescent="0.2">
      <c r="A23" s="106" t="s">
        <v>39</v>
      </c>
      <c r="B23" s="72">
        <f>IF($B$9="kWh",$B$4,$B$5)</f>
        <v>2759</v>
      </c>
      <c r="C23" s="125">
        <f>VLOOKUP($B$3,'Data for Bill Impacts'!$A$3:$Y$15,10,0)</f>
        <v>3.0800000000000001E-2</v>
      </c>
      <c r="D23" s="21">
        <f>B23*C23</f>
        <v>84.977199999999996</v>
      </c>
      <c r="E23" s="72">
        <f t="shared" si="6"/>
        <v>2759</v>
      </c>
      <c r="F23" s="77">
        <f>VLOOKUP($B$3,'Data for Bill Impacts'!$A$3:$Y$15,19,0)</f>
        <v>3.1699999999999999E-2</v>
      </c>
      <c r="G23" s="21">
        <f>E23*F23</f>
        <v>87.460300000000004</v>
      </c>
      <c r="H23" s="21">
        <f t="shared" si="1"/>
        <v>2.4831000000000074</v>
      </c>
      <c r="I23" s="22">
        <f t="shared" si="2"/>
        <v>2.922077922077931E-2</v>
      </c>
      <c r="J23" s="22">
        <f t="shared" si="5"/>
        <v>0.1577088922988516</v>
      </c>
      <c r="K23" s="107">
        <f t="shared" si="4"/>
        <v>0.16225256253523479</v>
      </c>
    </row>
    <row r="24" spans="1:11" x14ac:dyDescent="0.2">
      <c r="A24" s="106" t="s">
        <v>129</v>
      </c>
      <c r="B24" s="72">
        <f>IF($B$9="kWh",$B$4,$B$5)</f>
        <v>2759</v>
      </c>
      <c r="C24" s="77">
        <f>VLOOKUP($B$3,'Data for Bill Impacts'!$A$3:$Y$15,14,0)</f>
        <v>2.0000000000000001E-4</v>
      </c>
      <c r="D24" s="33">
        <f>B24*C24</f>
        <v>0.55180000000000007</v>
      </c>
      <c r="E24" s="72">
        <f t="shared" si="6"/>
        <v>2759</v>
      </c>
      <c r="F24" s="77">
        <f>VLOOKUP($B$3,'Data for Bill Impacts'!$A$3:$Y$15,23,0)</f>
        <v>2.0000000000000001E-4</v>
      </c>
      <c r="G24" s="33">
        <f>E24*F24</f>
        <v>0.55180000000000007</v>
      </c>
      <c r="H24" s="21">
        <f t="shared" si="1"/>
        <v>0</v>
      </c>
      <c r="I24" s="22">
        <f>IF(ISERROR(H24/D24),0,(H24/D24))</f>
        <v>0</v>
      </c>
      <c r="J24" s="22">
        <f t="shared" ref="J24" si="9">G24/$G$46</f>
        <v>9.9500878421988404E-4</v>
      </c>
      <c r="K24" s="107">
        <f t="shared" si="4"/>
        <v>1.0236754734084213E-3</v>
      </c>
    </row>
    <row r="25" spans="1:11" s="1" customFormat="1" x14ac:dyDescent="0.2">
      <c r="A25" s="109" t="s">
        <v>72</v>
      </c>
      <c r="B25" s="73"/>
      <c r="C25" s="34"/>
      <c r="D25" s="34">
        <f>SUM(D19:D24)</f>
        <v>111.139</v>
      </c>
      <c r="E25" s="72"/>
      <c r="F25" s="34"/>
      <c r="G25" s="34">
        <f>SUM(G19:G24)</f>
        <v>114.1721</v>
      </c>
      <c r="H25" s="34">
        <f t="shared" si="1"/>
        <v>3.0331000000000046</v>
      </c>
      <c r="I25" s="35">
        <f t="shared" si="2"/>
        <v>2.7291049946463478E-2</v>
      </c>
      <c r="J25" s="35">
        <f>G25/$G$46</f>
        <v>0.20587575645674339</v>
      </c>
      <c r="K25" s="110">
        <f t="shared" si="4"/>
        <v>0.21180713758161221</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1.4245323297095111E-3</v>
      </c>
      <c r="K26" s="107">
        <f t="shared" si="4"/>
        <v>1.4655738020888961E-3</v>
      </c>
    </row>
    <row r="27" spans="1:11" s="1" customFormat="1" x14ac:dyDescent="0.2">
      <c r="A27" s="118" t="s">
        <v>75</v>
      </c>
      <c r="B27" s="119">
        <f>B8-B4</f>
        <v>184.85300000000007</v>
      </c>
      <c r="C27" s="120">
        <f>IF(B4&gt;B7,C13,C12)</f>
        <v>0.121</v>
      </c>
      <c r="D27" s="21">
        <f>B27*C27</f>
        <v>22.367213000000007</v>
      </c>
      <c r="E27" s="72">
        <f>B27</f>
        <v>184.85300000000007</v>
      </c>
      <c r="F27" s="120">
        <f>C27</f>
        <v>0.121</v>
      </c>
      <c r="G27" s="21">
        <f>E27*F27</f>
        <v>22.367213000000007</v>
      </c>
      <c r="H27" s="21">
        <f t="shared" si="1"/>
        <v>0</v>
      </c>
      <c r="I27" s="22">
        <f>IF(ISERROR(H27/D27),0,(H27/D27))</f>
        <v>0</v>
      </c>
      <c r="J27" s="22">
        <f t="shared" ref="J27:J46" si="10">G27/$G$46</f>
        <v>4.0332681068353006E-2</v>
      </c>
      <c r="K27" s="107">
        <f t="shared" ref="K27:K41" si="11">G27/$G$51</f>
        <v>4.1494685314610369E-2</v>
      </c>
    </row>
    <row r="28" spans="1:11" s="1" customFormat="1" x14ac:dyDescent="0.2">
      <c r="A28" s="118" t="s">
        <v>74</v>
      </c>
      <c r="B28" s="119">
        <f>B8-B4</f>
        <v>184.85300000000007</v>
      </c>
      <c r="C28" s="120">
        <f>0.65*C15+0.17*C16+0.18*C17</f>
        <v>0.11139</v>
      </c>
      <c r="D28" s="21">
        <f>B28*C28</f>
        <v>20.590775670000006</v>
      </c>
      <c r="E28" s="72">
        <f>B28</f>
        <v>184.85300000000007</v>
      </c>
      <c r="F28" s="120">
        <f>C28</f>
        <v>0.11139</v>
      </c>
      <c r="G28" s="21">
        <f>E28*F28</f>
        <v>20.590775670000006</v>
      </c>
      <c r="H28" s="21">
        <f t="shared" si="1"/>
        <v>0</v>
      </c>
      <c r="I28" s="22">
        <f>IF(ISERROR(H28/D28),0,(H28/D28))</f>
        <v>0</v>
      </c>
      <c r="J28" s="22">
        <f t="shared" si="10"/>
        <v>3.7129399538874716E-2</v>
      </c>
      <c r="K28" s="107">
        <f t="shared" si="11"/>
        <v>3.8199115679292968E-2</v>
      </c>
    </row>
    <row r="29" spans="1:11" s="1" customFormat="1" x14ac:dyDescent="0.2">
      <c r="A29" s="109" t="s">
        <v>78</v>
      </c>
      <c r="B29" s="73"/>
      <c r="C29" s="34"/>
      <c r="D29" s="34">
        <f>SUM(D25,D26:D27)</f>
        <v>134.29621300000002</v>
      </c>
      <c r="E29" s="72"/>
      <c r="F29" s="34"/>
      <c r="G29" s="34">
        <f>SUM(G25,G26:G27)</f>
        <v>137.32931300000001</v>
      </c>
      <c r="H29" s="34">
        <f t="shared" si="1"/>
        <v>3.0330999999999904</v>
      </c>
      <c r="I29" s="35">
        <f>IF(ISERROR(H29/D29),0,(H29/D29))</f>
        <v>2.2585149143408756E-2</v>
      </c>
      <c r="J29" s="35">
        <f t="shared" si="10"/>
        <v>0.2476329698548059</v>
      </c>
      <c r="K29" s="110">
        <f t="shared" si="11"/>
        <v>0.2547673966983115</v>
      </c>
    </row>
    <row r="30" spans="1:11" s="1" customFormat="1" x14ac:dyDescent="0.2">
      <c r="A30" s="109" t="s">
        <v>77</v>
      </c>
      <c r="B30" s="73"/>
      <c r="C30" s="34"/>
      <c r="D30" s="34">
        <f>SUM(D25,D26,D28)</f>
        <v>132.51977567</v>
      </c>
      <c r="E30" s="72"/>
      <c r="F30" s="34"/>
      <c r="G30" s="34">
        <f>SUM(G25,G26,G28)</f>
        <v>135.55287567000002</v>
      </c>
      <c r="H30" s="34">
        <f t="shared" si="1"/>
        <v>3.0331000000000188</v>
      </c>
      <c r="I30" s="35">
        <f>IF(ISERROR(H30/D30),0,(H30/D30))</f>
        <v>2.2887904727163344E-2</v>
      </c>
      <c r="J30" s="35">
        <f t="shared" si="10"/>
        <v>0.24442968832532763</v>
      </c>
      <c r="K30" s="110">
        <f t="shared" si="11"/>
        <v>0.25147182706299409</v>
      </c>
    </row>
    <row r="31" spans="1:11" x14ac:dyDescent="0.2">
      <c r="A31" s="106" t="s">
        <v>40</v>
      </c>
      <c r="B31" s="72">
        <f>B8</f>
        <v>2943.8530000000001</v>
      </c>
      <c r="C31" s="125">
        <f>VLOOKUP($B$3,'Data for Bill Impacts'!$A$3:$Y$15,15,0)</f>
        <v>5.7999999999999996E-3</v>
      </c>
      <c r="D31" s="21">
        <f>B31*C31</f>
        <v>17.074347400000001</v>
      </c>
      <c r="E31" s="72">
        <f t="shared" si="6"/>
        <v>2943.8530000000001</v>
      </c>
      <c r="F31" s="77">
        <f>VLOOKUP($B$3,'Data for Bill Impacts'!$A$3:$Y$15,24,0)</f>
        <v>5.7999999999999996E-3</v>
      </c>
      <c r="G31" s="21">
        <f>E31*F31</f>
        <v>17.074347400000001</v>
      </c>
      <c r="H31" s="21">
        <f t="shared" si="1"/>
        <v>0</v>
      </c>
      <c r="I31" s="22">
        <f t="shared" si="2"/>
        <v>0</v>
      </c>
      <c r="J31" s="22">
        <f t="shared" si="10"/>
        <v>3.0788556810115865E-2</v>
      </c>
      <c r="K31" s="107">
        <f t="shared" si="11"/>
        <v>3.1675590173676785E-2</v>
      </c>
    </row>
    <row r="32" spans="1:11" x14ac:dyDescent="0.2">
      <c r="A32" s="106" t="s">
        <v>41</v>
      </c>
      <c r="B32" s="72">
        <f>B8</f>
        <v>2943.8530000000001</v>
      </c>
      <c r="C32" s="125">
        <f>VLOOKUP($B$3,'Data for Bill Impacts'!$A$3:$Y$15,16,0)</f>
        <v>4.7000000000000002E-3</v>
      </c>
      <c r="D32" s="21">
        <f>B32*C32</f>
        <v>13.836109100000002</v>
      </c>
      <c r="E32" s="72">
        <f t="shared" si="6"/>
        <v>2943.8530000000001</v>
      </c>
      <c r="F32" s="77">
        <f>VLOOKUP($B$3,'Data for Bill Impacts'!$A$3:$Y$15,25,0)</f>
        <v>4.7000000000000002E-3</v>
      </c>
      <c r="G32" s="21">
        <f>E32*F32</f>
        <v>13.836109100000002</v>
      </c>
      <c r="H32" s="21">
        <f t="shared" si="1"/>
        <v>0</v>
      </c>
      <c r="I32" s="22">
        <f t="shared" si="2"/>
        <v>0</v>
      </c>
      <c r="J32" s="22">
        <f t="shared" si="10"/>
        <v>2.494934775992148E-2</v>
      </c>
      <c r="K32" s="107">
        <f t="shared" si="11"/>
        <v>2.5668150657979463E-2</v>
      </c>
    </row>
    <row r="33" spans="1:11" s="1" customFormat="1" x14ac:dyDescent="0.2">
      <c r="A33" s="109" t="s">
        <v>76</v>
      </c>
      <c r="B33" s="73"/>
      <c r="C33" s="34"/>
      <c r="D33" s="34">
        <f>SUM(D31:D32)</f>
        <v>30.910456500000002</v>
      </c>
      <c r="E33" s="72"/>
      <c r="F33" s="34"/>
      <c r="G33" s="34">
        <f>SUM(G31:G32)</f>
        <v>30.910456500000002</v>
      </c>
      <c r="H33" s="34">
        <f t="shared" si="1"/>
        <v>0</v>
      </c>
      <c r="I33" s="35">
        <f t="shared" si="2"/>
        <v>0</v>
      </c>
      <c r="J33" s="35">
        <f t="shared" si="10"/>
        <v>5.5737904570037348E-2</v>
      </c>
      <c r="K33" s="110">
        <f t="shared" si="11"/>
        <v>5.7343740831656248E-2</v>
      </c>
    </row>
    <row r="34" spans="1:11" s="1" customFormat="1" ht="13.5" customHeight="1" x14ac:dyDescent="0.2">
      <c r="A34" s="109" t="s">
        <v>93</v>
      </c>
      <c r="B34" s="73"/>
      <c r="C34" s="34"/>
      <c r="D34" s="34">
        <f>D29+D33</f>
        <v>165.20666950000003</v>
      </c>
      <c r="E34" s="72"/>
      <c r="F34" s="34"/>
      <c r="G34" s="34">
        <f>G29+G33</f>
        <v>168.23976950000002</v>
      </c>
      <c r="H34" s="34">
        <f t="shared" si="1"/>
        <v>3.0330999999999904</v>
      </c>
      <c r="I34" s="35">
        <f t="shared" si="2"/>
        <v>1.835942827961912E-2</v>
      </c>
      <c r="J34" s="35">
        <f t="shared" si="10"/>
        <v>0.30337087442484328</v>
      </c>
      <c r="K34" s="110">
        <f t="shared" si="11"/>
        <v>0.31211113752996777</v>
      </c>
    </row>
    <row r="35" spans="1:11" s="1" customFormat="1" ht="13.5" customHeight="1" x14ac:dyDescent="0.2">
      <c r="A35" s="109" t="s">
        <v>94</v>
      </c>
      <c r="B35" s="73"/>
      <c r="C35" s="34"/>
      <c r="D35" s="34">
        <f>D30+D33</f>
        <v>163.43023217000001</v>
      </c>
      <c r="E35" s="72"/>
      <c r="F35" s="34"/>
      <c r="G35" s="34">
        <f>G30+G33</f>
        <v>166.46333217000003</v>
      </c>
      <c r="H35" s="34">
        <f t="shared" si="1"/>
        <v>3.0331000000000188</v>
      </c>
      <c r="I35" s="35">
        <f t="shared" si="2"/>
        <v>1.8558989727463584E-2</v>
      </c>
      <c r="J35" s="35">
        <f t="shared" si="10"/>
        <v>0.30016759289536499</v>
      </c>
      <c r="K35" s="110">
        <f t="shared" si="11"/>
        <v>0.30881556789465037</v>
      </c>
    </row>
    <row r="36" spans="1:11" x14ac:dyDescent="0.2">
      <c r="A36" s="106" t="s">
        <v>42</v>
      </c>
      <c r="B36" s="72">
        <f>B8</f>
        <v>2943.8530000000001</v>
      </c>
      <c r="C36" s="33">
        <v>3.5999999999999999E-3</v>
      </c>
      <c r="D36" s="21">
        <f>B36*C36</f>
        <v>10.597870800000001</v>
      </c>
      <c r="E36" s="72">
        <f t="shared" si="6"/>
        <v>2943.8530000000001</v>
      </c>
      <c r="F36" s="33">
        <v>3.5999999999999999E-3</v>
      </c>
      <c r="G36" s="21">
        <f>E36*F36</f>
        <v>10.597870800000001</v>
      </c>
      <c r="H36" s="21">
        <f t="shared" si="1"/>
        <v>0</v>
      </c>
      <c r="I36" s="22">
        <f t="shared" si="2"/>
        <v>0</v>
      </c>
      <c r="J36" s="22">
        <f t="shared" si="10"/>
        <v>1.9110138709727092E-2</v>
      </c>
      <c r="K36" s="107">
        <f t="shared" si="11"/>
        <v>1.9660711142282142E-2</v>
      </c>
    </row>
    <row r="37" spans="1:11" x14ac:dyDescent="0.2">
      <c r="A37" s="106" t="s">
        <v>43</v>
      </c>
      <c r="B37" s="72">
        <f>B8</f>
        <v>2943.8530000000001</v>
      </c>
      <c r="C37" s="33">
        <v>2.0999999999999999E-3</v>
      </c>
      <c r="D37" s="21">
        <f>B37*C37</f>
        <v>6.1820912999999997</v>
      </c>
      <c r="E37" s="72">
        <f t="shared" si="6"/>
        <v>2943.8530000000001</v>
      </c>
      <c r="F37" s="33">
        <v>2.0999999999999999E-3</v>
      </c>
      <c r="G37" s="21">
        <f>E37*F37</f>
        <v>6.1820912999999997</v>
      </c>
      <c r="H37" s="21">
        <f>G37-D37</f>
        <v>0</v>
      </c>
      <c r="I37" s="22">
        <f t="shared" si="2"/>
        <v>0</v>
      </c>
      <c r="J37" s="22">
        <f t="shared" si="10"/>
        <v>1.1147580914007468E-2</v>
      </c>
      <c r="K37" s="107">
        <f t="shared" si="11"/>
        <v>1.1468748166331248E-2</v>
      </c>
    </row>
    <row r="38" spans="1:11" x14ac:dyDescent="0.2">
      <c r="A38" s="106" t="s">
        <v>99</v>
      </c>
      <c r="B38" s="72">
        <f>B8</f>
        <v>2943.8530000000001</v>
      </c>
      <c r="C38" s="33">
        <v>1.1000000000000001E-3</v>
      </c>
      <c r="D38" s="21">
        <f>B38*C38</f>
        <v>3.2382383000000003</v>
      </c>
      <c r="E38" s="72">
        <f t="shared" si="6"/>
        <v>2943.8530000000001</v>
      </c>
      <c r="F38" s="33">
        <v>1.1000000000000001E-3</v>
      </c>
      <c r="G38" s="21">
        <f>E38*F38</f>
        <v>3.2382383000000003</v>
      </c>
      <c r="H38" s="21">
        <f>G38-D38</f>
        <v>0</v>
      </c>
      <c r="I38" s="22">
        <f t="shared" si="2"/>
        <v>0</v>
      </c>
      <c r="J38" s="22">
        <f t="shared" si="10"/>
        <v>5.8392090501943892E-3</v>
      </c>
      <c r="K38" s="107">
        <f t="shared" si="11"/>
        <v>6.0074395156973215E-3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4.5080137016123768E-4</v>
      </c>
      <c r="K39" s="107">
        <f t="shared" si="11"/>
        <v>4.6378917787623294E-4</v>
      </c>
    </row>
    <row r="40" spans="1:11" s="1" customFormat="1" x14ac:dyDescent="0.2">
      <c r="A40" s="109" t="s">
        <v>45</v>
      </c>
      <c r="B40" s="73"/>
      <c r="C40" s="34"/>
      <c r="D40" s="34">
        <f>SUM(D36:D39)</f>
        <v>20.268200399999998</v>
      </c>
      <c r="E40" s="72"/>
      <c r="F40" s="34"/>
      <c r="G40" s="34">
        <f>SUM(G36:G39)</f>
        <v>20.268200399999998</v>
      </c>
      <c r="H40" s="34">
        <f t="shared" si="1"/>
        <v>0</v>
      </c>
      <c r="I40" s="35">
        <f t="shared" si="2"/>
        <v>0</v>
      </c>
      <c r="J40" s="35">
        <f t="shared" si="10"/>
        <v>3.6547730044090176E-2</v>
      </c>
      <c r="K40" s="110">
        <f t="shared" si="11"/>
        <v>3.7600688002186938E-2</v>
      </c>
    </row>
    <row r="41" spans="1:11" s="1" customFormat="1" ht="13.5" thickBot="1" x14ac:dyDescent="0.25">
      <c r="A41" s="111" t="s">
        <v>46</v>
      </c>
      <c r="B41" s="112">
        <f>B4</f>
        <v>2759</v>
      </c>
      <c r="C41" s="113">
        <v>7.0000000000000001E-3</v>
      </c>
      <c r="D41" s="114">
        <f>B41*C41</f>
        <v>19.312999999999999</v>
      </c>
      <c r="E41" s="115">
        <f t="shared" si="6"/>
        <v>2759</v>
      </c>
      <c r="F41" s="113">
        <f>C41</f>
        <v>7.0000000000000001E-3</v>
      </c>
      <c r="G41" s="114">
        <f>E41*F41</f>
        <v>19.312999999999999</v>
      </c>
      <c r="H41" s="114">
        <f t="shared" si="1"/>
        <v>0</v>
      </c>
      <c r="I41" s="116">
        <f t="shared" si="2"/>
        <v>0</v>
      </c>
      <c r="J41" s="116">
        <f t="shared" si="10"/>
        <v>3.4825307447695929E-2</v>
      </c>
      <c r="K41" s="117">
        <f t="shared" si="11"/>
        <v>3.5828641569294745E-2</v>
      </c>
    </row>
    <row r="42" spans="1:11" s="1" customFormat="1" x14ac:dyDescent="0.2">
      <c r="A42" s="36" t="s">
        <v>107</v>
      </c>
      <c r="B42" s="37"/>
      <c r="C42" s="38"/>
      <c r="D42" s="38">
        <f>SUM(D14,D25,D26,D27,D33,D40,D41)</f>
        <v>525.12686990000009</v>
      </c>
      <c r="E42" s="37"/>
      <c r="F42" s="38"/>
      <c r="G42" s="38">
        <f>SUM(G14,G25,G26,G27,G33,G40,G41)</f>
        <v>528.15996990000008</v>
      </c>
      <c r="H42" s="38">
        <f t="shared" si="1"/>
        <v>3.0330999999999904</v>
      </c>
      <c r="I42" s="39">
        <f>IF(ISERROR(H42/D42),0,(H42/D42))</f>
        <v>5.7759375378707697E-3</v>
      </c>
      <c r="J42" s="39">
        <f t="shared" si="10"/>
        <v>0.95238095238095233</v>
      </c>
      <c r="K42" s="40"/>
    </row>
    <row r="43" spans="1:11" x14ac:dyDescent="0.2">
      <c r="A43" s="143" t="s">
        <v>108</v>
      </c>
      <c r="B43" s="42"/>
      <c r="C43" s="25">
        <v>0.13</v>
      </c>
      <c r="D43" s="25">
        <f>D42*C43</f>
        <v>68.266493087000015</v>
      </c>
      <c r="E43" s="25"/>
      <c r="F43" s="25">
        <f>C43</f>
        <v>0.13</v>
      </c>
      <c r="G43" s="25">
        <f>G42*F43</f>
        <v>68.660796087000008</v>
      </c>
      <c r="H43" s="25">
        <f t="shared" si="1"/>
        <v>0.39430299999999363</v>
      </c>
      <c r="I43" s="43">
        <f t="shared" si="2"/>
        <v>5.7759375378706942E-3</v>
      </c>
      <c r="J43" s="43">
        <f t="shared" si="10"/>
        <v>0.1238095238095238</v>
      </c>
      <c r="K43" s="44"/>
    </row>
    <row r="44" spans="1:11" s="1" customFormat="1" x14ac:dyDescent="0.2">
      <c r="A44" s="45" t="s">
        <v>109</v>
      </c>
      <c r="B44" s="23"/>
      <c r="C44" s="24"/>
      <c r="D44" s="24">
        <f>SUM(D42:D43)</f>
        <v>593.39336298700005</v>
      </c>
      <c r="E44" s="24"/>
      <c r="F44" s="24"/>
      <c r="G44" s="24">
        <f>SUM(G42:G43)</f>
        <v>596.82076598700007</v>
      </c>
      <c r="H44" s="24">
        <f t="shared" si="1"/>
        <v>3.4274030000000266</v>
      </c>
      <c r="I44" s="26">
        <f t="shared" si="2"/>
        <v>5.775937537870833E-3</v>
      </c>
      <c r="J44" s="26">
        <f t="shared" si="10"/>
        <v>1.0761904761904761</v>
      </c>
      <c r="K44" s="46"/>
    </row>
    <row r="45" spans="1:11" x14ac:dyDescent="0.2">
      <c r="A45" s="41" t="s">
        <v>110</v>
      </c>
      <c r="B45" s="42"/>
      <c r="C45" s="25">
        <v>-0.08</v>
      </c>
      <c r="D45" s="25">
        <f>D42*C45</f>
        <v>-42.010149592000005</v>
      </c>
      <c r="E45" s="25"/>
      <c r="F45" s="25">
        <f>C45</f>
        <v>-0.08</v>
      </c>
      <c r="G45" s="25">
        <f>G42*F45</f>
        <v>-42.252797592000007</v>
      </c>
      <c r="H45" s="25">
        <f t="shared" si="1"/>
        <v>-0.24264800000000264</v>
      </c>
      <c r="I45" s="43">
        <f t="shared" si="2"/>
        <v>5.7759375378708512E-3</v>
      </c>
      <c r="J45" s="43">
        <f t="shared" si="10"/>
        <v>-7.6190476190476197E-2</v>
      </c>
      <c r="K45" s="44"/>
    </row>
    <row r="46" spans="1:11" s="1" customFormat="1" ht="13.5" thickBot="1" x14ac:dyDescent="0.25">
      <c r="A46" s="47" t="s">
        <v>111</v>
      </c>
      <c r="B46" s="48"/>
      <c r="C46" s="49"/>
      <c r="D46" s="49">
        <f>SUM(D44:D45)</f>
        <v>551.38321339499998</v>
      </c>
      <c r="E46" s="49"/>
      <c r="F46" s="49"/>
      <c r="G46" s="49">
        <f>SUM(G44:G45)</f>
        <v>554.56796839500009</v>
      </c>
      <c r="H46" s="49">
        <f t="shared" si="1"/>
        <v>3.1847550000001092</v>
      </c>
      <c r="I46" s="50">
        <f t="shared" si="2"/>
        <v>5.7759375378709874E-3</v>
      </c>
      <c r="J46" s="50">
        <f t="shared" si="10"/>
        <v>1</v>
      </c>
      <c r="K46" s="51"/>
    </row>
    <row r="47" spans="1:11" x14ac:dyDescent="0.2">
      <c r="A47" s="52" t="s">
        <v>112</v>
      </c>
      <c r="B47" s="53"/>
      <c r="C47" s="54"/>
      <c r="D47" s="54">
        <f>SUM(D18,D25,D26,D28,D33,D40,D41)</f>
        <v>510.33644257000003</v>
      </c>
      <c r="E47" s="54"/>
      <c r="F47" s="54"/>
      <c r="G47" s="54">
        <f>SUM(G18,G25,G26,G28,G33,G40,G41)</f>
        <v>513.36954257000002</v>
      </c>
      <c r="H47" s="54">
        <f>G47-D47</f>
        <v>3.0330999999999904</v>
      </c>
      <c r="I47" s="55">
        <f>IF(ISERROR(H47/D47),0,(H47/D47))</f>
        <v>5.9433341360566406E-3</v>
      </c>
      <c r="J47" s="55"/>
      <c r="K47" s="56">
        <f>G47/$G$51</f>
        <v>0.95238095238095233</v>
      </c>
    </row>
    <row r="48" spans="1:11" x14ac:dyDescent="0.2">
      <c r="A48" s="57" t="s">
        <v>108</v>
      </c>
      <c r="B48" s="58"/>
      <c r="C48" s="30">
        <v>0.13</v>
      </c>
      <c r="D48" s="30">
        <f>D47*C48</f>
        <v>66.343737534100001</v>
      </c>
      <c r="E48" s="30"/>
      <c r="F48" s="30">
        <f>C48</f>
        <v>0.13</v>
      </c>
      <c r="G48" s="30">
        <f>G47*F48</f>
        <v>66.738040534100008</v>
      </c>
      <c r="H48" s="30">
        <f>G48-D48</f>
        <v>0.39430300000000784</v>
      </c>
      <c r="I48" s="31">
        <f>IF(ISERROR(H48/D48),0,(H48/D48))</f>
        <v>5.9433341360567776E-3</v>
      </c>
      <c r="J48" s="31"/>
      <c r="K48" s="59">
        <f>G48/$G$51</f>
        <v>0.12380952380952381</v>
      </c>
    </row>
    <row r="49" spans="1:11" x14ac:dyDescent="0.2">
      <c r="A49" s="136" t="s">
        <v>113</v>
      </c>
      <c r="B49" s="28"/>
      <c r="C49" s="29"/>
      <c r="D49" s="29">
        <f>SUM(D47:D48)</f>
        <v>576.68018010410003</v>
      </c>
      <c r="E49" s="29"/>
      <c r="F49" s="29"/>
      <c r="G49" s="29">
        <f>SUM(G47:G48)</f>
        <v>580.10758310410006</v>
      </c>
      <c r="H49" s="29">
        <f>G49-D49</f>
        <v>3.4274030000000266</v>
      </c>
      <c r="I49" s="32">
        <f>IF(ISERROR(H49/D49),0,(H49/D49))</f>
        <v>5.9433341360567056E-3</v>
      </c>
      <c r="J49" s="32"/>
      <c r="K49" s="61">
        <f>G49/$G$51</f>
        <v>1.0761904761904761</v>
      </c>
    </row>
    <row r="50" spans="1:11" x14ac:dyDescent="0.2">
      <c r="A50" s="57" t="s">
        <v>110</v>
      </c>
      <c r="B50" s="58"/>
      <c r="C50" s="30">
        <v>-0.08</v>
      </c>
      <c r="D50" s="30">
        <f>D47*C50</f>
        <v>-40.826915405600005</v>
      </c>
      <c r="E50" s="30"/>
      <c r="F50" s="30">
        <f>C50</f>
        <v>-0.08</v>
      </c>
      <c r="G50" s="30">
        <f>G47*F50</f>
        <v>-41.0695634056</v>
      </c>
      <c r="H50" s="30">
        <f>G50-D50</f>
        <v>-0.24264799999999553</v>
      </c>
      <c r="I50" s="31">
        <f>IF(ISERROR(H50/D50),0,(H50/D50))</f>
        <v>5.9433341360565495E-3</v>
      </c>
      <c r="J50" s="31"/>
      <c r="K50" s="59">
        <f>G50/$G$51</f>
        <v>-7.6190476190476183E-2</v>
      </c>
    </row>
    <row r="51" spans="1:11" ht="13.5" thickBot="1" x14ac:dyDescent="0.25">
      <c r="A51" s="62" t="s">
        <v>114</v>
      </c>
      <c r="B51" s="63"/>
      <c r="C51" s="64"/>
      <c r="D51" s="64">
        <f>SUM(D49:D50)</f>
        <v>535.85326469849997</v>
      </c>
      <c r="E51" s="64"/>
      <c r="F51" s="64"/>
      <c r="G51" s="64">
        <f>SUM(G49:G50)</f>
        <v>539.03801969850008</v>
      </c>
      <c r="H51" s="64">
        <f>G51-D51</f>
        <v>3.1847550000001092</v>
      </c>
      <c r="I51" s="65">
        <f>IF(ISERROR(H51/D51),0,(H51/D51))</f>
        <v>5.9433341360568635E-3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6</v>
      </c>
    </row>
    <row r="4" spans="1:11" x14ac:dyDescent="0.2">
      <c r="A4" s="14" t="s">
        <v>62</v>
      </c>
      <c r="B4" s="14">
        <v>15000</v>
      </c>
    </row>
    <row r="5" spans="1:11" x14ac:dyDescent="0.2">
      <c r="A5" s="14" t="s">
        <v>16</v>
      </c>
      <c r="B5" s="14">
        <f>VLOOKUP($B$3,'Data for Bill Impacts'!$A$3:$Y$15,5,0)</f>
        <v>0</v>
      </c>
    </row>
    <row r="6" spans="1:11" x14ac:dyDescent="0.2">
      <c r="A6" s="14" t="s">
        <v>20</v>
      </c>
      <c r="B6" s="14">
        <f>VLOOKUP($B$3,'Data for Bill Impacts'!$A$3:$Y$15,2,0)</f>
        <v>1.0669999999999999</v>
      </c>
    </row>
    <row r="7" spans="1:11" x14ac:dyDescent="0.2">
      <c r="A7" s="14" t="s">
        <v>15</v>
      </c>
      <c r="B7" s="14">
        <f>VLOOKUP($B$3,'Data for Bill Impacts'!$A$3:$Y$15,4,0)</f>
        <v>750</v>
      </c>
    </row>
    <row r="8" spans="1:11" x14ac:dyDescent="0.2">
      <c r="A8" s="14" t="s">
        <v>82</v>
      </c>
      <c r="B8" s="14">
        <f>B4*B6</f>
        <v>16005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2.6175561626535167E-2</v>
      </c>
      <c r="K12" s="105"/>
    </row>
    <row r="13" spans="1:11" x14ac:dyDescent="0.2">
      <c r="A13" s="106" t="s">
        <v>32</v>
      </c>
      <c r="B13" s="72">
        <f>IF(B4&gt;B7,(B4)-B7,0)</f>
        <v>14250</v>
      </c>
      <c r="C13" s="20">
        <v>0.121</v>
      </c>
      <c r="D13" s="21">
        <f>B13*C13</f>
        <v>1724.25</v>
      </c>
      <c r="E13" s="72">
        <f t="shared" ref="E13" si="0">B13</f>
        <v>14250</v>
      </c>
      <c r="F13" s="20">
        <f>C13</f>
        <v>0.121</v>
      </c>
      <c r="G13" s="21">
        <f>E13*F13</f>
        <v>1724.25</v>
      </c>
      <c r="H13" s="21">
        <f t="shared" ref="H13:H46" si="1">G13-D13</f>
        <v>0</v>
      </c>
      <c r="I13" s="22">
        <f t="shared" ref="I13:I46" si="2">IF(ISERROR(H13/D13),0,(H13/D13))</f>
        <v>0</v>
      </c>
      <c r="J13" s="22">
        <f>G13/$G$46</f>
        <v>0.58424870077091606</v>
      </c>
      <c r="K13" s="107"/>
    </row>
    <row r="14" spans="1:11" s="1" customFormat="1" x14ac:dyDescent="0.2">
      <c r="A14" s="45" t="s">
        <v>33</v>
      </c>
      <c r="B14" s="23"/>
      <c r="C14" s="24"/>
      <c r="D14" s="24">
        <f>SUM(D12:D13)</f>
        <v>1801.5</v>
      </c>
      <c r="E14" s="75"/>
      <c r="F14" s="24"/>
      <c r="G14" s="24">
        <f>SUM(G12:G13)</f>
        <v>1801.5</v>
      </c>
      <c r="H14" s="24">
        <f t="shared" si="1"/>
        <v>0</v>
      </c>
      <c r="I14" s="26">
        <f t="shared" si="2"/>
        <v>0</v>
      </c>
      <c r="J14" s="26">
        <f>G14/$G$46</f>
        <v>0.61042426239745118</v>
      </c>
      <c r="K14" s="107"/>
    </row>
    <row r="15" spans="1:11" s="1" customFormat="1" x14ac:dyDescent="0.2">
      <c r="A15" s="108" t="s">
        <v>34</v>
      </c>
      <c r="B15" s="74">
        <f>B4*0.65</f>
        <v>9750</v>
      </c>
      <c r="C15" s="27">
        <v>8.6999999999999994E-2</v>
      </c>
      <c r="D15" s="21">
        <f>B15*C15</f>
        <v>848.24999999999989</v>
      </c>
      <c r="E15" s="72">
        <f t="shared" ref="E15:F17" si="3">B15</f>
        <v>9750</v>
      </c>
      <c r="F15" s="27">
        <f t="shared" si="3"/>
        <v>8.6999999999999994E-2</v>
      </c>
      <c r="G15" s="21">
        <f>E15*F15</f>
        <v>848.24999999999989</v>
      </c>
      <c r="H15" s="21">
        <f t="shared" si="1"/>
        <v>0</v>
      </c>
      <c r="I15" s="22">
        <f t="shared" si="2"/>
        <v>0</v>
      </c>
      <c r="J15" s="22"/>
      <c r="K15" s="107">
        <f t="shared" ref="K15:K26" si="4">G15/$G$51</f>
        <v>0.30252477143578121</v>
      </c>
    </row>
    <row r="16" spans="1:11" s="1" customFormat="1" x14ac:dyDescent="0.2">
      <c r="A16" s="108" t="s">
        <v>35</v>
      </c>
      <c r="B16" s="74">
        <f>B4*0.17</f>
        <v>2550</v>
      </c>
      <c r="C16" s="27">
        <v>0.13200000000000001</v>
      </c>
      <c r="D16" s="21">
        <f>B16*C16</f>
        <v>336.6</v>
      </c>
      <c r="E16" s="72">
        <f t="shared" si="3"/>
        <v>2550</v>
      </c>
      <c r="F16" s="27">
        <f t="shared" si="3"/>
        <v>0.13200000000000001</v>
      </c>
      <c r="G16" s="21">
        <f>E16*F16</f>
        <v>336.6</v>
      </c>
      <c r="H16" s="21">
        <f t="shared" si="1"/>
        <v>0</v>
      </c>
      <c r="I16" s="22">
        <f t="shared" si="2"/>
        <v>0</v>
      </c>
      <c r="J16" s="22"/>
      <c r="K16" s="107">
        <f t="shared" si="4"/>
        <v>0.12004696500475566</v>
      </c>
    </row>
    <row r="17" spans="1:11" s="1" customFormat="1" x14ac:dyDescent="0.2">
      <c r="A17" s="108" t="s">
        <v>36</v>
      </c>
      <c r="B17" s="74">
        <f>B4*0.18</f>
        <v>2700</v>
      </c>
      <c r="C17" s="27">
        <v>0.18</v>
      </c>
      <c r="D17" s="21">
        <f>B17*C17</f>
        <v>486</v>
      </c>
      <c r="E17" s="72">
        <f t="shared" si="3"/>
        <v>2700</v>
      </c>
      <c r="F17" s="27">
        <f t="shared" si="3"/>
        <v>0.18</v>
      </c>
      <c r="G17" s="21">
        <f>E17*F17</f>
        <v>486</v>
      </c>
      <c r="H17" s="21">
        <f t="shared" si="1"/>
        <v>0</v>
      </c>
      <c r="I17" s="22">
        <f t="shared" si="2"/>
        <v>0</v>
      </c>
      <c r="J17" s="22"/>
      <c r="K17" s="107">
        <f t="shared" si="4"/>
        <v>0.17332984252023542</v>
      </c>
    </row>
    <row r="18" spans="1:11" s="1" customFormat="1" x14ac:dyDescent="0.2">
      <c r="A18" s="60" t="s">
        <v>37</v>
      </c>
      <c r="B18" s="28"/>
      <c r="C18" s="29"/>
      <c r="D18" s="29">
        <f>SUM(D15:D17)</f>
        <v>1670.85</v>
      </c>
      <c r="E18" s="76"/>
      <c r="F18" s="29"/>
      <c r="G18" s="29">
        <f>SUM(G15:G17)</f>
        <v>1670.85</v>
      </c>
      <c r="H18" s="30">
        <f t="shared" si="1"/>
        <v>0</v>
      </c>
      <c r="I18" s="31">
        <f t="shared" si="2"/>
        <v>0</v>
      </c>
      <c r="J18" s="32">
        <f t="shared" ref="J18:J23" si="5">G18/$G$46</f>
        <v>0.56615452613199069</v>
      </c>
      <c r="K18" s="61">
        <f t="shared" si="4"/>
        <v>0.59590157896077234</v>
      </c>
    </row>
    <row r="19" spans="1:11" x14ac:dyDescent="0.2">
      <c r="A19" s="106" t="s">
        <v>38</v>
      </c>
      <c r="B19" s="72">
        <v>1</v>
      </c>
      <c r="C19" s="77">
        <f>VLOOKUP($B$3,'Data for Bill Impacts'!$A$3:$Y$15,7,0)</f>
        <v>25.6</v>
      </c>
      <c r="D19" s="21">
        <f>B19*C19</f>
        <v>25.6</v>
      </c>
      <c r="E19" s="72">
        <f t="shared" ref="E19:E41" si="6">B19</f>
        <v>1</v>
      </c>
      <c r="F19" s="77">
        <f>VLOOKUP($B$3,'Data for Bill Impacts'!$A$3:$Y$15,17,0)</f>
        <v>26.15</v>
      </c>
      <c r="G19" s="21">
        <f>E19*F19</f>
        <v>26.15</v>
      </c>
      <c r="H19" s="21">
        <f t="shared" si="1"/>
        <v>0.54999999999999716</v>
      </c>
      <c r="I19" s="22">
        <f t="shared" si="2"/>
        <v>2.1484374999999889E-2</v>
      </c>
      <c r="J19" s="22">
        <f t="shared" si="5"/>
        <v>8.8607240975261438E-3</v>
      </c>
      <c r="K19" s="107">
        <f t="shared" si="4"/>
        <v>9.3262867940414728E-3</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3.3884222170272063E-6</v>
      </c>
      <c r="K22" s="107">
        <f t="shared" si="4"/>
        <v>3.5664576650254204E-6</v>
      </c>
    </row>
    <row r="23" spans="1:11" x14ac:dyDescent="0.2">
      <c r="A23" s="106" t="s">
        <v>39</v>
      </c>
      <c r="B23" s="72">
        <f>IF($B$9="kWh",$B$4,$B$5)</f>
        <v>15000</v>
      </c>
      <c r="C23" s="125">
        <f>VLOOKUP($B$3,'Data for Bill Impacts'!$A$3:$Y$15,10,0)</f>
        <v>3.0800000000000001E-2</v>
      </c>
      <c r="D23" s="21">
        <f>B23*C23</f>
        <v>462</v>
      </c>
      <c r="E23" s="72">
        <f t="shared" si="6"/>
        <v>15000</v>
      </c>
      <c r="F23" s="77">
        <f>VLOOKUP($B$3,'Data for Bill Impacts'!$A$3:$Y$15,19,0)</f>
        <v>3.1699999999999999E-2</v>
      </c>
      <c r="G23" s="21">
        <f>E23*F23</f>
        <v>475.5</v>
      </c>
      <c r="H23" s="21">
        <f t="shared" si="1"/>
        <v>13.5</v>
      </c>
      <c r="I23" s="22">
        <f t="shared" si="2"/>
        <v>2.922077922077922E-2</v>
      </c>
      <c r="J23" s="22">
        <f t="shared" si="5"/>
        <v>0.16111947641964366</v>
      </c>
      <c r="K23" s="107">
        <f t="shared" si="4"/>
        <v>0.16958506197195874</v>
      </c>
    </row>
    <row r="24" spans="1:11" x14ac:dyDescent="0.2">
      <c r="A24" s="106" t="s">
        <v>129</v>
      </c>
      <c r="B24" s="72">
        <f>IF($B$9="kWh",$B$4,$B$5)</f>
        <v>15000</v>
      </c>
      <c r="C24" s="77">
        <f>VLOOKUP($B$3,'Data for Bill Impacts'!$A$3:$Y$15,14,0)</f>
        <v>2.0000000000000001E-4</v>
      </c>
      <c r="D24" s="33">
        <f>B24*C24</f>
        <v>3</v>
      </c>
      <c r="E24" s="72">
        <f t="shared" si="6"/>
        <v>15000</v>
      </c>
      <c r="F24" s="77">
        <f>VLOOKUP($B$3,'Data for Bill Impacts'!$A$3:$Y$15,23,0)</f>
        <v>2.0000000000000001E-4</v>
      </c>
      <c r="G24" s="33">
        <f>E24*F24</f>
        <v>3</v>
      </c>
      <c r="H24" s="21">
        <f t="shared" si="1"/>
        <v>0</v>
      </c>
      <c r="I24" s="22">
        <f>IF(ISERROR(H24/D24),0,(H24/D24))</f>
        <v>0</v>
      </c>
      <c r="J24" s="22">
        <f t="shared" ref="J24" si="9">G24/$G$46</f>
        <v>1.0165266651081619E-3</v>
      </c>
      <c r="K24" s="107">
        <f t="shared" si="4"/>
        <v>1.0699372995076261E-3</v>
      </c>
    </row>
    <row r="25" spans="1:11" s="1" customFormat="1" x14ac:dyDescent="0.2">
      <c r="A25" s="109" t="s">
        <v>72</v>
      </c>
      <c r="B25" s="73"/>
      <c r="C25" s="34"/>
      <c r="D25" s="34">
        <f>SUM(D19:D24)</f>
        <v>490.61</v>
      </c>
      <c r="E25" s="72"/>
      <c r="F25" s="34"/>
      <c r="G25" s="34">
        <f>SUM(G19:G24)</f>
        <v>504.66</v>
      </c>
      <c r="H25" s="34">
        <f t="shared" si="1"/>
        <v>14.050000000000011</v>
      </c>
      <c r="I25" s="35">
        <f t="shared" si="2"/>
        <v>2.8637818226289743E-2</v>
      </c>
      <c r="J25" s="35">
        <f>G25/$G$46</f>
        <v>0.17100011560449499</v>
      </c>
      <c r="K25" s="110">
        <f t="shared" si="4"/>
        <v>0.17998485252317287</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2.6768535514514927E-4</v>
      </c>
      <c r="K26" s="107">
        <f t="shared" si="4"/>
        <v>2.8175015553700823E-4</v>
      </c>
    </row>
    <row r="27" spans="1:11" s="1" customFormat="1" x14ac:dyDescent="0.2">
      <c r="A27" s="118" t="s">
        <v>75</v>
      </c>
      <c r="B27" s="119">
        <f>B8-B4</f>
        <v>1005</v>
      </c>
      <c r="C27" s="120">
        <f>IF(B4&gt;B7,C13,C12)</f>
        <v>0.121</v>
      </c>
      <c r="D27" s="21">
        <f>B27*C27</f>
        <v>121.60499999999999</v>
      </c>
      <c r="E27" s="72">
        <f>B27</f>
        <v>1005</v>
      </c>
      <c r="F27" s="120">
        <f>C27</f>
        <v>0.121</v>
      </c>
      <c r="G27" s="21">
        <f>E27*F27</f>
        <v>121.60499999999999</v>
      </c>
      <c r="H27" s="21">
        <f t="shared" si="1"/>
        <v>0</v>
      </c>
      <c r="I27" s="22">
        <f>IF(ISERROR(H27/D27),0,(H27/D27))</f>
        <v>0</v>
      </c>
      <c r="J27" s="22">
        <f t="shared" ref="J27:J46" si="10">G27/$G$46</f>
        <v>4.1204908370159339E-2</v>
      </c>
      <c r="K27" s="107">
        <f t="shared" ref="K27:K41" si="11">G27/$G$51</f>
        <v>4.3369908435541622E-2</v>
      </c>
    </row>
    <row r="28" spans="1:11" s="1" customFormat="1" x14ac:dyDescent="0.2">
      <c r="A28" s="118" t="s">
        <v>74</v>
      </c>
      <c r="B28" s="119">
        <f>B8-B4</f>
        <v>1005</v>
      </c>
      <c r="C28" s="120">
        <f>0.65*C15+0.17*C16+0.18*C17</f>
        <v>0.11139</v>
      </c>
      <c r="D28" s="21">
        <f>B28*C28</f>
        <v>111.94695</v>
      </c>
      <c r="E28" s="72">
        <f>B28</f>
        <v>1005</v>
      </c>
      <c r="F28" s="120">
        <f>C28</f>
        <v>0.11139</v>
      </c>
      <c r="G28" s="21">
        <f>E28*F28</f>
        <v>111.94695</v>
      </c>
      <c r="H28" s="21">
        <f t="shared" si="1"/>
        <v>0</v>
      </c>
      <c r="I28" s="22">
        <f>IF(ISERROR(H28/D28),0,(H28/D28))</f>
        <v>0</v>
      </c>
      <c r="J28" s="22">
        <f t="shared" si="10"/>
        <v>3.7932353250843383E-2</v>
      </c>
      <c r="K28" s="107">
        <f t="shared" si="11"/>
        <v>3.9925405790371744E-2</v>
      </c>
    </row>
    <row r="29" spans="1:11" s="1" customFormat="1" x14ac:dyDescent="0.2">
      <c r="A29" s="109" t="s">
        <v>78</v>
      </c>
      <c r="B29" s="73"/>
      <c r="C29" s="34"/>
      <c r="D29" s="34">
        <f>SUM(D25,D26:D27)</f>
        <v>613.005</v>
      </c>
      <c r="E29" s="72"/>
      <c r="F29" s="34"/>
      <c r="G29" s="34">
        <f>SUM(G25,G26:G27)</f>
        <v>627.05500000000006</v>
      </c>
      <c r="H29" s="34">
        <f t="shared" si="1"/>
        <v>14.050000000000068</v>
      </c>
      <c r="I29" s="35">
        <f>IF(ISERROR(H29/D29),0,(H29/D29))</f>
        <v>2.2919878304418509E-2</v>
      </c>
      <c r="J29" s="35">
        <f t="shared" si="10"/>
        <v>0.2124727093297995</v>
      </c>
      <c r="K29" s="110">
        <f t="shared" si="11"/>
        <v>0.22363651111425151</v>
      </c>
    </row>
    <row r="30" spans="1:11" s="1" customFormat="1" x14ac:dyDescent="0.2">
      <c r="A30" s="109" t="s">
        <v>77</v>
      </c>
      <c r="B30" s="73"/>
      <c r="C30" s="34"/>
      <c r="D30" s="34">
        <f>SUM(D25,D26,D28)</f>
        <v>603.34694999999999</v>
      </c>
      <c r="E30" s="72"/>
      <c r="F30" s="34"/>
      <c r="G30" s="34">
        <f>SUM(G25,G26,G28)</f>
        <v>617.39695000000006</v>
      </c>
      <c r="H30" s="34">
        <f t="shared" si="1"/>
        <v>14.050000000000068</v>
      </c>
      <c r="I30" s="35">
        <f>IF(ISERROR(H30/D30),0,(H30/D30))</f>
        <v>2.3286767257214225E-2</v>
      </c>
      <c r="J30" s="35">
        <f t="shared" si="10"/>
        <v>0.20920015421048355</v>
      </c>
      <c r="K30" s="110">
        <f t="shared" si="11"/>
        <v>0.22019200846908163</v>
      </c>
    </row>
    <row r="31" spans="1:11" x14ac:dyDescent="0.2">
      <c r="A31" s="106" t="s">
        <v>40</v>
      </c>
      <c r="B31" s="72">
        <f>B8</f>
        <v>16005</v>
      </c>
      <c r="C31" s="125">
        <f>VLOOKUP($B$3,'Data for Bill Impacts'!$A$3:$Y$15,15,0)</f>
        <v>5.7999999999999996E-3</v>
      </c>
      <c r="D31" s="21">
        <f>B31*C31</f>
        <v>92.828999999999994</v>
      </c>
      <c r="E31" s="72">
        <f t="shared" si="6"/>
        <v>16005</v>
      </c>
      <c r="F31" s="77">
        <f>VLOOKUP($B$3,'Data for Bill Impacts'!$A$3:$Y$15,24,0)</f>
        <v>5.7999999999999996E-3</v>
      </c>
      <c r="G31" s="21">
        <f>E31*F31</f>
        <v>92.828999999999994</v>
      </c>
      <c r="H31" s="21">
        <f t="shared" si="1"/>
        <v>0</v>
      </c>
      <c r="I31" s="22">
        <f t="shared" si="2"/>
        <v>0</v>
      </c>
      <c r="J31" s="22">
        <f t="shared" si="10"/>
        <v>3.1454384598441854E-2</v>
      </c>
      <c r="K31" s="107">
        <f t="shared" si="11"/>
        <v>3.3107069858664469E-2</v>
      </c>
    </row>
    <row r="32" spans="1:11" x14ac:dyDescent="0.2">
      <c r="A32" s="106" t="s">
        <v>41</v>
      </c>
      <c r="B32" s="72">
        <f>B8</f>
        <v>16005</v>
      </c>
      <c r="C32" s="125">
        <f>VLOOKUP($B$3,'Data for Bill Impacts'!$A$3:$Y$15,16,0)</f>
        <v>4.7000000000000002E-3</v>
      </c>
      <c r="D32" s="21">
        <f>B32*C32</f>
        <v>75.223500000000001</v>
      </c>
      <c r="E32" s="72">
        <f t="shared" si="6"/>
        <v>16005</v>
      </c>
      <c r="F32" s="77">
        <f>VLOOKUP($B$3,'Data for Bill Impacts'!$A$3:$Y$15,25,0)</f>
        <v>4.7000000000000002E-3</v>
      </c>
      <c r="G32" s="21">
        <f>E32*F32</f>
        <v>75.223500000000001</v>
      </c>
      <c r="H32" s="21">
        <f t="shared" si="1"/>
        <v>0</v>
      </c>
      <c r="I32" s="22">
        <f t="shared" si="2"/>
        <v>0</v>
      </c>
      <c r="J32" s="22">
        <f t="shared" si="10"/>
        <v>2.5488897864254605E-2</v>
      </c>
      <c r="K32" s="107">
        <f t="shared" si="11"/>
        <v>2.6828142816503971E-2</v>
      </c>
    </row>
    <row r="33" spans="1:11" s="1" customFormat="1" x14ac:dyDescent="0.2">
      <c r="A33" s="109" t="s">
        <v>76</v>
      </c>
      <c r="B33" s="73"/>
      <c r="C33" s="34"/>
      <c r="D33" s="34">
        <f>SUM(D31:D32)</f>
        <v>168.05250000000001</v>
      </c>
      <c r="E33" s="72"/>
      <c r="F33" s="34"/>
      <c r="G33" s="34">
        <f>SUM(G31:G32)</f>
        <v>168.05250000000001</v>
      </c>
      <c r="H33" s="34">
        <f t="shared" si="1"/>
        <v>0</v>
      </c>
      <c r="I33" s="35">
        <f t="shared" si="2"/>
        <v>0</v>
      </c>
      <c r="J33" s="35">
        <f t="shared" si="10"/>
        <v>5.6943282462696462E-2</v>
      </c>
      <c r="K33" s="110">
        <f t="shared" si="11"/>
        <v>5.9935212675168451E-2</v>
      </c>
    </row>
    <row r="34" spans="1:11" s="1" customFormat="1" ht="13.5" customHeight="1" x14ac:dyDescent="0.2">
      <c r="A34" s="109" t="s">
        <v>93</v>
      </c>
      <c r="B34" s="73"/>
      <c r="C34" s="34"/>
      <c r="D34" s="34">
        <f>D29+D33</f>
        <v>781.0575</v>
      </c>
      <c r="E34" s="72"/>
      <c r="F34" s="34"/>
      <c r="G34" s="34">
        <f>G29+G33</f>
        <v>795.10750000000007</v>
      </c>
      <c r="H34" s="34">
        <f t="shared" si="1"/>
        <v>14.050000000000068</v>
      </c>
      <c r="I34" s="35">
        <f t="shared" si="2"/>
        <v>1.7988432349731062E-2</v>
      </c>
      <c r="J34" s="35">
        <f t="shared" si="10"/>
        <v>0.26941599179249598</v>
      </c>
      <c r="K34" s="110">
        <f t="shared" si="11"/>
        <v>0.28357172378941997</v>
      </c>
    </row>
    <row r="35" spans="1:11" s="1" customFormat="1" ht="13.5" customHeight="1" x14ac:dyDescent="0.2">
      <c r="A35" s="109" t="s">
        <v>94</v>
      </c>
      <c r="B35" s="73"/>
      <c r="C35" s="34"/>
      <c r="D35" s="34">
        <f>D30+D33</f>
        <v>771.39945</v>
      </c>
      <c r="E35" s="72"/>
      <c r="F35" s="34"/>
      <c r="G35" s="34">
        <f>G30+G33</f>
        <v>785.44945000000007</v>
      </c>
      <c r="H35" s="34">
        <f t="shared" si="1"/>
        <v>14.050000000000068</v>
      </c>
      <c r="I35" s="35">
        <f t="shared" si="2"/>
        <v>1.8213650528270495E-2</v>
      </c>
      <c r="J35" s="35">
        <f t="shared" si="10"/>
        <v>0.26614343667318002</v>
      </c>
      <c r="K35" s="110">
        <f t="shared" si="11"/>
        <v>0.28012722114425009</v>
      </c>
    </row>
    <row r="36" spans="1:11" x14ac:dyDescent="0.2">
      <c r="A36" s="106" t="s">
        <v>42</v>
      </c>
      <c r="B36" s="72">
        <f>B8</f>
        <v>16005</v>
      </c>
      <c r="C36" s="33">
        <v>3.5999999999999999E-3</v>
      </c>
      <c r="D36" s="21">
        <f>B36*C36</f>
        <v>57.617999999999995</v>
      </c>
      <c r="E36" s="72">
        <f t="shared" si="6"/>
        <v>16005</v>
      </c>
      <c r="F36" s="33">
        <v>3.5999999999999999E-3</v>
      </c>
      <c r="G36" s="21">
        <f>E36*F36</f>
        <v>57.617999999999995</v>
      </c>
      <c r="H36" s="21">
        <f t="shared" si="1"/>
        <v>0</v>
      </c>
      <c r="I36" s="22">
        <f t="shared" si="2"/>
        <v>0</v>
      </c>
      <c r="J36" s="22">
        <f t="shared" si="10"/>
        <v>1.9523411130067354E-2</v>
      </c>
      <c r="K36" s="107">
        <f t="shared" si="11"/>
        <v>2.0549215774343463E-2</v>
      </c>
    </row>
    <row r="37" spans="1:11" x14ac:dyDescent="0.2">
      <c r="A37" s="106" t="s">
        <v>43</v>
      </c>
      <c r="B37" s="72">
        <f>B8</f>
        <v>16005</v>
      </c>
      <c r="C37" s="33">
        <v>2.0999999999999999E-3</v>
      </c>
      <c r="D37" s="21">
        <f>B37*C37</f>
        <v>33.610499999999995</v>
      </c>
      <c r="E37" s="72">
        <f t="shared" si="6"/>
        <v>16005</v>
      </c>
      <c r="F37" s="33">
        <v>2.0999999999999999E-3</v>
      </c>
      <c r="G37" s="21">
        <f>E37*F37</f>
        <v>33.610499999999995</v>
      </c>
      <c r="H37" s="21">
        <f>G37-D37</f>
        <v>0</v>
      </c>
      <c r="I37" s="22">
        <f t="shared" si="2"/>
        <v>0</v>
      </c>
      <c r="J37" s="22">
        <f t="shared" si="10"/>
        <v>1.1388656492539289E-2</v>
      </c>
      <c r="K37" s="107">
        <f t="shared" si="11"/>
        <v>1.1987042535033687E-2</v>
      </c>
    </row>
    <row r="38" spans="1:11" x14ac:dyDescent="0.2">
      <c r="A38" s="106" t="s">
        <v>99</v>
      </c>
      <c r="B38" s="72">
        <f>B8</f>
        <v>16005</v>
      </c>
      <c r="C38" s="33">
        <v>1.1000000000000001E-3</v>
      </c>
      <c r="D38" s="21">
        <f>B38*C38</f>
        <v>17.605500000000003</v>
      </c>
      <c r="E38" s="72">
        <f t="shared" si="6"/>
        <v>16005</v>
      </c>
      <c r="F38" s="33">
        <v>1.1000000000000001E-3</v>
      </c>
      <c r="G38" s="21">
        <f>E38*F38</f>
        <v>17.605500000000003</v>
      </c>
      <c r="H38" s="21">
        <f>G38-D38</f>
        <v>0</v>
      </c>
      <c r="I38" s="22">
        <f t="shared" ref="I38" si="12">IF(ISERROR(H38/D38),0,(H38/D38))</f>
        <v>0</v>
      </c>
      <c r="J38" s="22">
        <f t="shared" ref="J38" si="13">G38/$G$46</f>
        <v>5.9654867341872491E-3</v>
      </c>
      <c r="K38" s="107">
        <f t="shared" ref="K38" si="14">G38/$G$51</f>
        <v>6.2789270421605044E-3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8.471055542568016E-5</v>
      </c>
      <c r="K39" s="107">
        <f t="shared" si="11"/>
        <v>8.9161441625635511E-5</v>
      </c>
    </row>
    <row r="40" spans="1:11" s="1" customFormat="1" x14ac:dyDescent="0.2">
      <c r="A40" s="109" t="s">
        <v>45</v>
      </c>
      <c r="B40" s="73"/>
      <c r="C40" s="34"/>
      <c r="D40" s="34">
        <f>SUM(D36:D39)</f>
        <v>109.084</v>
      </c>
      <c r="E40" s="72"/>
      <c r="F40" s="34"/>
      <c r="G40" s="34">
        <f>SUM(G36:G39)</f>
        <v>109.084</v>
      </c>
      <c r="H40" s="34">
        <f t="shared" si="1"/>
        <v>0</v>
      </c>
      <c r="I40" s="35">
        <f t="shared" si="2"/>
        <v>0</v>
      </c>
      <c r="J40" s="35">
        <f t="shared" si="10"/>
        <v>3.6962264912219579E-2</v>
      </c>
      <c r="K40" s="110">
        <f t="shared" si="11"/>
        <v>3.8904346793163298E-2</v>
      </c>
    </row>
    <row r="41" spans="1:11" s="1" customFormat="1" ht="13.5" thickBot="1" x14ac:dyDescent="0.25">
      <c r="A41" s="111" t="s">
        <v>46</v>
      </c>
      <c r="B41" s="112">
        <f>B4</f>
        <v>15000</v>
      </c>
      <c r="C41" s="113">
        <v>7.0000000000000001E-3</v>
      </c>
      <c r="D41" s="114">
        <f>B41*C41</f>
        <v>105</v>
      </c>
      <c r="E41" s="115">
        <f t="shared" si="6"/>
        <v>15000</v>
      </c>
      <c r="F41" s="113">
        <f>C41</f>
        <v>7.0000000000000001E-3</v>
      </c>
      <c r="G41" s="114">
        <f>E41*F41</f>
        <v>105</v>
      </c>
      <c r="H41" s="114">
        <f t="shared" si="1"/>
        <v>0</v>
      </c>
      <c r="I41" s="116">
        <f t="shared" si="2"/>
        <v>0</v>
      </c>
      <c r="J41" s="116">
        <f t="shared" si="10"/>
        <v>3.5578433278785668E-2</v>
      </c>
      <c r="K41" s="117">
        <f t="shared" si="11"/>
        <v>3.744780548276691E-2</v>
      </c>
    </row>
    <row r="42" spans="1:11" s="1" customFormat="1" x14ac:dyDescent="0.2">
      <c r="A42" s="36" t="s">
        <v>107</v>
      </c>
      <c r="B42" s="37"/>
      <c r="C42" s="38"/>
      <c r="D42" s="38">
        <f>SUM(D14,D25,D26,D27,D33,D40,D41)</f>
        <v>2796.6414999999997</v>
      </c>
      <c r="E42" s="37"/>
      <c r="F42" s="38"/>
      <c r="G42" s="38">
        <f>SUM(G14,G25,G26,G27,G33,G40,G41)</f>
        <v>2810.6914999999999</v>
      </c>
      <c r="H42" s="38">
        <f t="shared" si="1"/>
        <v>14.050000000000182</v>
      </c>
      <c r="I42" s="39">
        <f>IF(ISERROR(H42/D42),0,(H42/D42))</f>
        <v>5.0238831112247254E-3</v>
      </c>
      <c r="J42" s="39">
        <f t="shared" si="10"/>
        <v>0.95238095238095233</v>
      </c>
      <c r="K42" s="40"/>
    </row>
    <row r="43" spans="1:11" x14ac:dyDescent="0.2">
      <c r="A43" s="143" t="s">
        <v>108</v>
      </c>
      <c r="B43" s="42"/>
      <c r="C43" s="25">
        <v>0.13</v>
      </c>
      <c r="D43" s="25">
        <f>D42*C43</f>
        <v>363.56339499999996</v>
      </c>
      <c r="E43" s="25"/>
      <c r="F43" s="25">
        <f>C43</f>
        <v>0.13</v>
      </c>
      <c r="G43" s="25">
        <f>G42*F43</f>
        <v>365.38989500000002</v>
      </c>
      <c r="H43" s="25">
        <f t="shared" si="1"/>
        <v>1.8265000000000668</v>
      </c>
      <c r="I43" s="43">
        <f t="shared" si="2"/>
        <v>5.0238831112248443E-3</v>
      </c>
      <c r="J43" s="43">
        <f t="shared" si="10"/>
        <v>0.12380952380952381</v>
      </c>
      <c r="K43" s="44"/>
    </row>
    <row r="44" spans="1:11" s="1" customFormat="1" x14ac:dyDescent="0.2">
      <c r="A44" s="45" t="s">
        <v>109</v>
      </c>
      <c r="B44" s="23"/>
      <c r="C44" s="24"/>
      <c r="D44" s="24">
        <f>SUM(D42:D43)</f>
        <v>3160.2048949999999</v>
      </c>
      <c r="E44" s="24"/>
      <c r="F44" s="24"/>
      <c r="G44" s="24">
        <f>SUM(G42:G43)</f>
        <v>3176.0813950000002</v>
      </c>
      <c r="H44" s="24">
        <f t="shared" si="1"/>
        <v>15.876500000000306</v>
      </c>
      <c r="I44" s="26">
        <f t="shared" si="2"/>
        <v>5.0238831112247567E-3</v>
      </c>
      <c r="J44" s="26">
        <f t="shared" si="10"/>
        <v>1.0761904761904761</v>
      </c>
      <c r="K44" s="46"/>
    </row>
    <row r="45" spans="1:11" x14ac:dyDescent="0.2">
      <c r="A45" s="41" t="s">
        <v>110</v>
      </c>
      <c r="B45" s="42"/>
      <c r="C45" s="25">
        <v>-0.08</v>
      </c>
      <c r="D45" s="25">
        <f>D42*C45</f>
        <v>-223.73131999999998</v>
      </c>
      <c r="E45" s="25"/>
      <c r="F45" s="25">
        <f>C45</f>
        <v>-0.08</v>
      </c>
      <c r="G45" s="25">
        <f>G42*F45</f>
        <v>-224.85532000000001</v>
      </c>
      <c r="H45" s="25">
        <f t="shared" si="1"/>
        <v>-1.1240000000000236</v>
      </c>
      <c r="I45" s="43">
        <f t="shared" si="2"/>
        <v>5.0238831112247662E-3</v>
      </c>
      <c r="J45" s="43">
        <f t="shared" si="10"/>
        <v>-7.6190476190476197E-2</v>
      </c>
      <c r="K45" s="44"/>
    </row>
    <row r="46" spans="1:11" s="1" customFormat="1" ht="13.5" thickBot="1" x14ac:dyDescent="0.25">
      <c r="A46" s="47" t="s">
        <v>111</v>
      </c>
      <c r="B46" s="48"/>
      <c r="C46" s="49"/>
      <c r="D46" s="49">
        <f>SUM(D44:D45)</f>
        <v>2936.473575</v>
      </c>
      <c r="E46" s="49"/>
      <c r="F46" s="49"/>
      <c r="G46" s="49">
        <f>SUM(G44:G45)</f>
        <v>2951.226075</v>
      </c>
      <c r="H46" s="49">
        <f t="shared" si="1"/>
        <v>14.752500000000055</v>
      </c>
      <c r="I46" s="50">
        <f t="shared" si="2"/>
        <v>5.0238831112246786E-3</v>
      </c>
      <c r="J46" s="50">
        <f t="shared" si="10"/>
        <v>1</v>
      </c>
      <c r="K46" s="51"/>
    </row>
    <row r="47" spans="1:11" x14ac:dyDescent="0.2">
      <c r="A47" s="52" t="s">
        <v>112</v>
      </c>
      <c r="B47" s="53"/>
      <c r="C47" s="54"/>
      <c r="D47" s="54">
        <f>SUM(D18,D25,D26,D28,D33,D40,D41)</f>
        <v>2656.3334500000001</v>
      </c>
      <c r="E47" s="54"/>
      <c r="F47" s="54"/>
      <c r="G47" s="54">
        <f>SUM(G18,G25,G26,G28,G33,G40,G41)</f>
        <v>2670.3834499999994</v>
      </c>
      <c r="H47" s="54">
        <f>G47-D47</f>
        <v>14.049999999999272</v>
      </c>
      <c r="I47" s="55">
        <f>IF(ISERROR(H47/D47),0,(H47/D47))</f>
        <v>5.2892455952769299E-3</v>
      </c>
      <c r="J47" s="55"/>
      <c r="K47" s="56">
        <f>G47/$G$51</f>
        <v>0.95238095238095233</v>
      </c>
    </row>
    <row r="48" spans="1:11" x14ac:dyDescent="0.2">
      <c r="A48" s="57" t="s">
        <v>108</v>
      </c>
      <c r="B48" s="58"/>
      <c r="C48" s="30">
        <v>0.13</v>
      </c>
      <c r="D48" s="30">
        <f>D47*C48</f>
        <v>345.32334850000001</v>
      </c>
      <c r="E48" s="30"/>
      <c r="F48" s="30">
        <f>C48</f>
        <v>0.13</v>
      </c>
      <c r="G48" s="30">
        <f>G47*F48</f>
        <v>347.14984849999991</v>
      </c>
      <c r="H48" s="30">
        <f>G48-D48</f>
        <v>1.8264999999998963</v>
      </c>
      <c r="I48" s="31">
        <f>IF(ISERROR(H48/D48),0,(H48/D48))</f>
        <v>5.2892455952769039E-3</v>
      </c>
      <c r="J48" s="31"/>
      <c r="K48" s="59">
        <f>G48/$G$51</f>
        <v>0.1238095238095238</v>
      </c>
    </row>
    <row r="49" spans="1:11" x14ac:dyDescent="0.2">
      <c r="A49" s="136" t="s">
        <v>113</v>
      </c>
      <c r="B49" s="28"/>
      <c r="C49" s="29"/>
      <c r="D49" s="29">
        <f>SUM(D47:D48)</f>
        <v>3001.6567985000001</v>
      </c>
      <c r="E49" s="29"/>
      <c r="F49" s="29"/>
      <c r="G49" s="29">
        <f>SUM(G47:G48)</f>
        <v>3017.5332984999991</v>
      </c>
      <c r="H49" s="29">
        <f>G49-D49</f>
        <v>15.876499999998941</v>
      </c>
      <c r="I49" s="32">
        <f>IF(ISERROR(H49/D49),0,(H49/D49))</f>
        <v>5.2892455952768518E-3</v>
      </c>
      <c r="J49" s="32"/>
      <c r="K49" s="61">
        <f>G49/$G$51</f>
        <v>1.0761904761904761</v>
      </c>
    </row>
    <row r="50" spans="1:11" x14ac:dyDescent="0.2">
      <c r="A50" s="57" t="s">
        <v>110</v>
      </c>
      <c r="B50" s="58"/>
      <c r="C50" s="30">
        <v>-0.08</v>
      </c>
      <c r="D50" s="30">
        <f>D47*C50</f>
        <v>-212.506676</v>
      </c>
      <c r="E50" s="30"/>
      <c r="F50" s="30">
        <f>C50</f>
        <v>-0.08</v>
      </c>
      <c r="G50" s="30">
        <f>G47*F50</f>
        <v>-213.63067599999997</v>
      </c>
      <c r="H50" s="30">
        <f>G50-D50</f>
        <v>-1.1239999999999668</v>
      </c>
      <c r="I50" s="31">
        <f>IF(ISERROR(H50/D50),0,(H50/D50))</f>
        <v>5.2892455952770479E-3</v>
      </c>
      <c r="J50" s="31"/>
      <c r="K50" s="59">
        <f>G50/$G$51</f>
        <v>-7.6190476190476197E-2</v>
      </c>
    </row>
    <row r="51" spans="1:11" ht="13.5" thickBot="1" x14ac:dyDescent="0.25">
      <c r="A51" s="62" t="s">
        <v>114</v>
      </c>
      <c r="B51" s="63"/>
      <c r="C51" s="64"/>
      <c r="D51" s="64">
        <f>SUM(D49:D50)</f>
        <v>2789.1501225000002</v>
      </c>
      <c r="E51" s="64"/>
      <c r="F51" s="64"/>
      <c r="G51" s="64">
        <f>SUM(G49:G50)</f>
        <v>2803.9026224999993</v>
      </c>
      <c r="H51" s="64">
        <f>G51-D51</f>
        <v>14.752499999999145</v>
      </c>
      <c r="I51" s="65">
        <f>IF(ISERROR(H51/D51),0,(H51/D51))</f>
        <v>5.2892455952768978E-3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4</v>
      </c>
    </row>
    <row r="4" spans="1:11" x14ac:dyDescent="0.2">
      <c r="A4" s="14" t="s">
        <v>62</v>
      </c>
      <c r="B4" s="14">
        <v>1000</v>
      </c>
    </row>
    <row r="5" spans="1:11" x14ac:dyDescent="0.2">
      <c r="A5" s="14" t="s">
        <v>16</v>
      </c>
      <c r="B5" s="14">
        <f>VLOOKUP($B$3,'Data for Bill Impacts'!$A$3:$Y$15,5,0)</f>
        <v>0</v>
      </c>
    </row>
    <row r="6" spans="1:11" x14ac:dyDescent="0.2">
      <c r="A6" s="14" t="s">
        <v>20</v>
      </c>
      <c r="B6" s="14">
        <f>VLOOKUP($B$3,'Data for Bill Impacts'!$A$3:$Y$15,2,0)</f>
        <v>1.0960000000000001</v>
      </c>
    </row>
    <row r="7" spans="1:11" x14ac:dyDescent="0.2">
      <c r="A7" s="14" t="s">
        <v>15</v>
      </c>
      <c r="B7" s="14">
        <f>VLOOKUP($B$3,'Data for Bill Impacts'!$A$3:$Y$15,4,0)</f>
        <v>750</v>
      </c>
    </row>
    <row r="8" spans="1:11" x14ac:dyDescent="0.2">
      <c r="A8" s="14" t="s">
        <v>82</v>
      </c>
      <c r="B8" s="14">
        <f>B4*B6</f>
        <v>1096</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0.30045244053725323</v>
      </c>
      <c r="K12" s="105"/>
    </row>
    <row r="13" spans="1:11" x14ac:dyDescent="0.2">
      <c r="A13" s="106" t="s">
        <v>32</v>
      </c>
      <c r="B13" s="72">
        <f>IF(B4&gt;B7,(B4)-B7,0)</f>
        <v>250</v>
      </c>
      <c r="C13" s="20">
        <v>0.121</v>
      </c>
      <c r="D13" s="21">
        <f>B13*C13</f>
        <v>30.25</v>
      </c>
      <c r="E13" s="72">
        <f t="shared" ref="E13" si="0">B13</f>
        <v>250</v>
      </c>
      <c r="F13" s="20">
        <f>C13</f>
        <v>0.121</v>
      </c>
      <c r="G13" s="21">
        <f>E13*F13</f>
        <v>30.25</v>
      </c>
      <c r="H13" s="21">
        <f t="shared" ref="H13:H46" si="1">G13-D13</f>
        <v>0</v>
      </c>
      <c r="I13" s="22">
        <f t="shared" ref="I13:I46" si="2">IF(ISERROR(H13/D13),0,(H13/D13))</f>
        <v>0</v>
      </c>
      <c r="J13" s="22">
        <f>G13/$G$46</f>
        <v>0.1176528974272092</v>
      </c>
      <c r="K13" s="107"/>
    </row>
    <row r="14" spans="1:11" s="1" customFormat="1" x14ac:dyDescent="0.2">
      <c r="A14" s="45" t="s">
        <v>33</v>
      </c>
      <c r="B14" s="23"/>
      <c r="C14" s="24"/>
      <c r="D14" s="24">
        <f>SUM(D12:D13)</f>
        <v>107.5</v>
      </c>
      <c r="E14" s="75"/>
      <c r="F14" s="24"/>
      <c r="G14" s="24">
        <f>SUM(G12:G13)</f>
        <v>107.5</v>
      </c>
      <c r="H14" s="24">
        <f t="shared" si="1"/>
        <v>0</v>
      </c>
      <c r="I14" s="26">
        <f t="shared" si="2"/>
        <v>0</v>
      </c>
      <c r="J14" s="26">
        <f>G14/$G$46</f>
        <v>0.41810533796446248</v>
      </c>
      <c r="K14" s="107"/>
    </row>
    <row r="15" spans="1:11" s="1" customFormat="1" x14ac:dyDescent="0.2">
      <c r="A15" s="108" t="s">
        <v>34</v>
      </c>
      <c r="B15" s="74">
        <f>B4*0.65</f>
        <v>650</v>
      </c>
      <c r="C15" s="27">
        <v>8.6999999999999994E-2</v>
      </c>
      <c r="D15" s="21">
        <f>B15*C15</f>
        <v>56.55</v>
      </c>
      <c r="E15" s="72">
        <f t="shared" ref="E15:F17" si="3">B15</f>
        <v>650</v>
      </c>
      <c r="F15" s="27">
        <f t="shared" si="3"/>
        <v>8.6999999999999994E-2</v>
      </c>
      <c r="G15" s="21">
        <f>E15*F15</f>
        <v>56.55</v>
      </c>
      <c r="H15" s="21">
        <f t="shared" si="1"/>
        <v>0</v>
      </c>
      <c r="I15" s="22">
        <f t="shared" si="2"/>
        <v>0</v>
      </c>
      <c r="J15" s="22"/>
      <c r="K15" s="107">
        <f t="shared" ref="K15:K26" si="4">G15/$G$51</f>
        <v>0.21730939291664067</v>
      </c>
    </row>
    <row r="16" spans="1:11" s="1" customFormat="1" x14ac:dyDescent="0.2">
      <c r="A16" s="108" t="s">
        <v>35</v>
      </c>
      <c r="B16" s="74">
        <f>B4*0.17</f>
        <v>170</v>
      </c>
      <c r="C16" s="27">
        <v>0.13200000000000001</v>
      </c>
      <c r="D16" s="21">
        <f>B16*C16</f>
        <v>22.44</v>
      </c>
      <c r="E16" s="72">
        <f t="shared" si="3"/>
        <v>170</v>
      </c>
      <c r="F16" s="27">
        <f t="shared" si="3"/>
        <v>0.13200000000000001</v>
      </c>
      <c r="G16" s="21">
        <f>E16*F16</f>
        <v>22.44</v>
      </c>
      <c r="H16" s="21">
        <f t="shared" si="1"/>
        <v>0</v>
      </c>
      <c r="I16" s="22">
        <f t="shared" si="2"/>
        <v>0</v>
      </c>
      <c r="J16" s="22"/>
      <c r="K16" s="107">
        <f t="shared" si="4"/>
        <v>8.6232056181245215E-2</v>
      </c>
    </row>
    <row r="17" spans="1:11" s="1" customFormat="1" x14ac:dyDescent="0.2">
      <c r="A17" s="108" t="s">
        <v>36</v>
      </c>
      <c r="B17" s="74">
        <f>B4*0.18</f>
        <v>180</v>
      </c>
      <c r="C17" s="27">
        <v>0.18</v>
      </c>
      <c r="D17" s="21">
        <f>B17*C17</f>
        <v>32.4</v>
      </c>
      <c r="E17" s="72">
        <f t="shared" si="3"/>
        <v>180</v>
      </c>
      <c r="F17" s="27">
        <f t="shared" si="3"/>
        <v>0.18</v>
      </c>
      <c r="G17" s="21">
        <f>E17*F17</f>
        <v>32.4</v>
      </c>
      <c r="H17" s="21">
        <f t="shared" si="1"/>
        <v>0</v>
      </c>
      <c r="I17" s="22">
        <f t="shared" si="2"/>
        <v>0</v>
      </c>
      <c r="J17" s="22"/>
      <c r="K17" s="107">
        <f t="shared" si="4"/>
        <v>0.1245061773739904</v>
      </c>
    </row>
    <row r="18" spans="1:11" s="1" customFormat="1" x14ac:dyDescent="0.2">
      <c r="A18" s="60" t="s">
        <v>37</v>
      </c>
      <c r="B18" s="28"/>
      <c r="C18" s="29"/>
      <c r="D18" s="29">
        <f>SUM(D15:D17)</f>
        <v>111.38999999999999</v>
      </c>
      <c r="E18" s="76"/>
      <c r="F18" s="29"/>
      <c r="G18" s="29">
        <f>SUM(G15:G17)</f>
        <v>111.38999999999999</v>
      </c>
      <c r="H18" s="30">
        <f t="shared" si="1"/>
        <v>0</v>
      </c>
      <c r="I18" s="31">
        <f t="shared" si="2"/>
        <v>0</v>
      </c>
      <c r="J18" s="32">
        <f t="shared" ref="J18:J23" si="5">G18/$G$46</f>
        <v>0.43323491717080437</v>
      </c>
      <c r="K18" s="61">
        <f t="shared" si="4"/>
        <v>0.42804762647187627</v>
      </c>
    </row>
    <row r="19" spans="1:11" x14ac:dyDescent="0.2">
      <c r="A19" s="106" t="s">
        <v>38</v>
      </c>
      <c r="B19" s="72">
        <v>1</v>
      </c>
      <c r="C19" s="77">
        <f>VLOOKUP($B$3,'Data for Bill Impacts'!$A$3:$Y$15,7,0)</f>
        <v>31.41</v>
      </c>
      <c r="D19" s="21">
        <f>B19*C19</f>
        <v>31.41</v>
      </c>
      <c r="E19" s="72">
        <f t="shared" ref="E19:E41" si="6">B19</f>
        <v>1</v>
      </c>
      <c r="F19" s="77">
        <f>VLOOKUP($B$3,'Data for Bill Impacts'!$A$3:$Y$15,17,0)</f>
        <v>32</v>
      </c>
      <c r="G19" s="21">
        <f>E19*F19</f>
        <v>32</v>
      </c>
      <c r="H19" s="21">
        <f t="shared" si="1"/>
        <v>0.58999999999999986</v>
      </c>
      <c r="I19" s="22">
        <f t="shared" si="2"/>
        <v>1.8783826806749438E-2</v>
      </c>
      <c r="J19" s="22">
        <f t="shared" si="5"/>
        <v>0.12445926339407254</v>
      </c>
      <c r="K19" s="107">
        <f t="shared" si="4"/>
        <v>0.12296906407307695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1000</v>
      </c>
      <c r="C23" s="125">
        <f>VLOOKUP($B$3,'Data for Bill Impacts'!$A$3:$Y$15,10,0)</f>
        <v>6.5199999999999994E-2</v>
      </c>
      <c r="D23" s="21">
        <f>B23*C23</f>
        <v>65.199999999999989</v>
      </c>
      <c r="E23" s="72">
        <f t="shared" si="6"/>
        <v>1000</v>
      </c>
      <c r="F23" s="77">
        <f>VLOOKUP($B$3,'Data for Bill Impacts'!$A$3:$Y$15,19,0)</f>
        <v>6.7100000000000007E-2</v>
      </c>
      <c r="G23" s="21">
        <f>E23*F23</f>
        <v>67.100000000000009</v>
      </c>
      <c r="H23" s="21">
        <f t="shared" si="1"/>
        <v>1.9000000000000199</v>
      </c>
      <c r="I23" s="22">
        <f t="shared" si="2"/>
        <v>2.9141104294478838E-2</v>
      </c>
      <c r="J23" s="22">
        <f t="shared" si="5"/>
        <v>0.2609755179294459</v>
      </c>
      <c r="K23" s="107">
        <f t="shared" si="4"/>
        <v>0.25785075622823328</v>
      </c>
    </row>
    <row r="24" spans="1:11" x14ac:dyDescent="0.2">
      <c r="A24" s="106" t="s">
        <v>129</v>
      </c>
      <c r="B24" s="72">
        <f>IF($B$9="kWh",$B$4,$B$5)</f>
        <v>1000</v>
      </c>
      <c r="C24" s="77">
        <f>VLOOKUP($B$3,'Data for Bill Impacts'!$A$3:$Y$15,14,0)</f>
        <v>2.0000000000000001E-4</v>
      </c>
      <c r="D24" s="33">
        <f>B24*C24</f>
        <v>0.2</v>
      </c>
      <c r="E24" s="72">
        <f t="shared" si="6"/>
        <v>1000</v>
      </c>
      <c r="F24" s="77">
        <f>VLOOKUP($B$3,'Data for Bill Impacts'!$A$3:$Y$15,23,0)</f>
        <v>2.0000000000000001E-4</v>
      </c>
      <c r="G24" s="33">
        <f>E24*F24</f>
        <v>0.2</v>
      </c>
      <c r="H24" s="21">
        <f t="shared" si="1"/>
        <v>0</v>
      </c>
      <c r="I24" s="22">
        <f>IF(ISERROR(H24/D24),0,(H24/D24))</f>
        <v>0</v>
      </c>
      <c r="J24" s="22">
        <f t="shared" ref="J24" si="9">G24/$G$46</f>
        <v>7.7787039621295346E-4</v>
      </c>
      <c r="K24" s="107">
        <f t="shared" si="4"/>
        <v>7.68556650456731E-4</v>
      </c>
    </row>
    <row r="25" spans="1:11" s="1" customFormat="1" x14ac:dyDescent="0.2">
      <c r="A25" s="109" t="s">
        <v>72</v>
      </c>
      <c r="B25" s="73"/>
      <c r="C25" s="34"/>
      <c r="D25" s="34">
        <f>SUM(D19:D24)</f>
        <v>96.809999999999988</v>
      </c>
      <c r="E25" s="72"/>
      <c r="F25" s="34"/>
      <c r="G25" s="34">
        <f>SUM(G19:G24)</f>
        <v>99.300000000000011</v>
      </c>
      <c r="H25" s="34">
        <f t="shared" si="1"/>
        <v>2.4900000000000233</v>
      </c>
      <c r="I25" s="35">
        <f t="shared" si="2"/>
        <v>2.5720483421134425E-2</v>
      </c>
      <c r="J25" s="35">
        <f>G25/$G$46</f>
        <v>0.3862126517197314</v>
      </c>
      <c r="K25" s="110">
        <f t="shared" si="4"/>
        <v>0.38158837695176695</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3.0725880650411663E-3</v>
      </c>
      <c r="K26" s="107">
        <f t="shared" si="4"/>
        <v>3.0357987693040876E-3</v>
      </c>
    </row>
    <row r="27" spans="1:11" s="1" customFormat="1" x14ac:dyDescent="0.2">
      <c r="A27" s="118" t="s">
        <v>75</v>
      </c>
      <c r="B27" s="119">
        <f>B8-B4</f>
        <v>96</v>
      </c>
      <c r="C27" s="120">
        <f>IF(B4&gt;B7,C13,C12)</f>
        <v>0.121</v>
      </c>
      <c r="D27" s="21">
        <f>B27*C27</f>
        <v>11.616</v>
      </c>
      <c r="E27" s="72">
        <f>B27</f>
        <v>96</v>
      </c>
      <c r="F27" s="120">
        <f>C27</f>
        <v>0.121</v>
      </c>
      <c r="G27" s="21">
        <f>E27*F27</f>
        <v>11.616</v>
      </c>
      <c r="H27" s="21">
        <f t="shared" si="1"/>
        <v>0</v>
      </c>
      <c r="I27" s="22">
        <f>IF(ISERROR(H27/D27),0,(H27/D27))</f>
        <v>0</v>
      </c>
      <c r="J27" s="22">
        <f t="shared" ref="J27:J46" si="10">G27/$G$46</f>
        <v>4.5178712612048331E-2</v>
      </c>
      <c r="K27" s="107">
        <f t="shared" ref="K27:K41" si="11">G27/$G$51</f>
        <v>4.4637770258526929E-2</v>
      </c>
    </row>
    <row r="28" spans="1:11" s="1" customFormat="1" x14ac:dyDescent="0.2">
      <c r="A28" s="118" t="s">
        <v>74</v>
      </c>
      <c r="B28" s="119">
        <f>B8-B4</f>
        <v>96</v>
      </c>
      <c r="C28" s="120">
        <f>0.65*C15+0.17*C16+0.18*C17</f>
        <v>0.11139</v>
      </c>
      <c r="D28" s="21">
        <f>B28*C28</f>
        <v>10.693440000000001</v>
      </c>
      <c r="E28" s="72">
        <f>B28</f>
        <v>96</v>
      </c>
      <c r="F28" s="120">
        <f>C28</f>
        <v>0.11139</v>
      </c>
      <c r="G28" s="21">
        <f>E28*F28</f>
        <v>10.693440000000001</v>
      </c>
      <c r="H28" s="21">
        <f t="shared" si="1"/>
        <v>0</v>
      </c>
      <c r="I28" s="22">
        <f>IF(ISERROR(H28/D28),0,(H28/D28))</f>
        <v>0</v>
      </c>
      <c r="J28" s="22">
        <f t="shared" si="10"/>
        <v>4.1590552048397227E-2</v>
      </c>
      <c r="K28" s="107">
        <f t="shared" si="11"/>
        <v>4.1092572141300125E-2</v>
      </c>
    </row>
    <row r="29" spans="1:11" s="1" customFormat="1" x14ac:dyDescent="0.2">
      <c r="A29" s="109" t="s">
        <v>78</v>
      </c>
      <c r="B29" s="73"/>
      <c r="C29" s="34"/>
      <c r="D29" s="34">
        <f>SUM(D25,D26:D27)</f>
        <v>109.21599999999999</v>
      </c>
      <c r="E29" s="72"/>
      <c r="F29" s="34"/>
      <c r="G29" s="34">
        <f>SUM(G25,G26:G27)</f>
        <v>111.70600000000002</v>
      </c>
      <c r="H29" s="34">
        <f t="shared" si="1"/>
        <v>2.4900000000000233</v>
      </c>
      <c r="I29" s="35">
        <f>IF(ISERROR(H29/D29),0,(H29/D29))</f>
        <v>2.2798857310284422E-2</v>
      </c>
      <c r="J29" s="35">
        <f t="shared" si="10"/>
        <v>0.43446395239682095</v>
      </c>
      <c r="K29" s="110">
        <f t="shared" si="11"/>
        <v>0.42926194597959799</v>
      </c>
    </row>
    <row r="30" spans="1:11" s="1" customFormat="1" x14ac:dyDescent="0.2">
      <c r="A30" s="109" t="s">
        <v>77</v>
      </c>
      <c r="B30" s="73"/>
      <c r="C30" s="34"/>
      <c r="D30" s="34">
        <f>SUM(D25,D26,D28)</f>
        <v>108.29343999999999</v>
      </c>
      <c r="E30" s="72"/>
      <c r="F30" s="34"/>
      <c r="G30" s="34">
        <f>SUM(G25,G26,G28)</f>
        <v>110.78344000000001</v>
      </c>
      <c r="H30" s="34">
        <f t="shared" si="1"/>
        <v>2.4900000000000233</v>
      </c>
      <c r="I30" s="35">
        <f>IF(ISERROR(H30/D30),0,(H30/D30))</f>
        <v>2.2993082498810855E-2</v>
      </c>
      <c r="J30" s="35">
        <f t="shared" si="10"/>
        <v>0.43087579183316982</v>
      </c>
      <c r="K30" s="110">
        <f t="shared" si="11"/>
        <v>0.42571674786237118</v>
      </c>
    </row>
    <row r="31" spans="1:11" x14ac:dyDescent="0.2">
      <c r="A31" s="106" t="s">
        <v>40</v>
      </c>
      <c r="B31" s="72">
        <f>B8</f>
        <v>1096</v>
      </c>
      <c r="C31" s="125">
        <f>VLOOKUP($B$3,'Data for Bill Impacts'!$A$3:$Y$15,15,0)</f>
        <v>5.4999999999999997E-3</v>
      </c>
      <c r="D31" s="21">
        <f>B31*C31</f>
        <v>6.0279999999999996</v>
      </c>
      <c r="E31" s="72">
        <f t="shared" si="6"/>
        <v>1096</v>
      </c>
      <c r="F31" s="77">
        <f>VLOOKUP($B$3,'Data for Bill Impacts'!$A$3:$Y$15,24,0)</f>
        <v>5.4999999999999997E-3</v>
      </c>
      <c r="G31" s="21">
        <f>E31*F31</f>
        <v>6.0279999999999996</v>
      </c>
      <c r="H31" s="21">
        <f t="shared" si="1"/>
        <v>0</v>
      </c>
      <c r="I31" s="22">
        <f t="shared" si="2"/>
        <v>0</v>
      </c>
      <c r="J31" s="22">
        <f t="shared" si="10"/>
        <v>2.3445013741858416E-2</v>
      </c>
      <c r="K31" s="107">
        <f t="shared" si="11"/>
        <v>2.316429744476587E-2</v>
      </c>
    </row>
    <row r="32" spans="1:11" x14ac:dyDescent="0.2">
      <c r="A32" s="106" t="s">
        <v>41</v>
      </c>
      <c r="B32" s="72">
        <f>B8</f>
        <v>1096</v>
      </c>
      <c r="C32" s="125">
        <f>VLOOKUP($B$3,'Data for Bill Impacts'!$A$3:$Y$15,16,0)</f>
        <v>4.4999999999999997E-3</v>
      </c>
      <c r="D32" s="21">
        <f>B32*C32</f>
        <v>4.9319999999999995</v>
      </c>
      <c r="E32" s="72">
        <f t="shared" si="6"/>
        <v>1096</v>
      </c>
      <c r="F32" s="77">
        <f>VLOOKUP($B$3,'Data for Bill Impacts'!$A$3:$Y$15,25,0)</f>
        <v>4.4999999999999997E-3</v>
      </c>
      <c r="G32" s="21">
        <f>E32*F32</f>
        <v>4.9319999999999995</v>
      </c>
      <c r="H32" s="21">
        <f t="shared" si="1"/>
        <v>0</v>
      </c>
      <c r="I32" s="22">
        <f t="shared" si="2"/>
        <v>0</v>
      </c>
      <c r="J32" s="22">
        <f t="shared" si="10"/>
        <v>1.9182283970611429E-2</v>
      </c>
      <c r="K32" s="107">
        <f t="shared" si="11"/>
        <v>1.8952607000262984E-2</v>
      </c>
    </row>
    <row r="33" spans="1:11" s="1" customFormat="1" x14ac:dyDescent="0.2">
      <c r="A33" s="109" t="s">
        <v>76</v>
      </c>
      <c r="B33" s="73"/>
      <c r="C33" s="34"/>
      <c r="D33" s="34">
        <f>SUM(D31:D32)</f>
        <v>10.959999999999999</v>
      </c>
      <c r="E33" s="72"/>
      <c r="F33" s="34"/>
      <c r="G33" s="34">
        <f>SUM(G31:G32)</f>
        <v>10.959999999999999</v>
      </c>
      <c r="H33" s="34">
        <f t="shared" si="1"/>
        <v>0</v>
      </c>
      <c r="I33" s="35">
        <f t="shared" si="2"/>
        <v>0</v>
      </c>
      <c r="J33" s="35">
        <f t="shared" si="10"/>
        <v>4.2627297712469842E-2</v>
      </c>
      <c r="K33" s="110">
        <f t="shared" si="11"/>
        <v>4.2116904445028851E-2</v>
      </c>
    </row>
    <row r="34" spans="1:11" s="1" customFormat="1" x14ac:dyDescent="0.2">
      <c r="A34" s="109" t="s">
        <v>93</v>
      </c>
      <c r="B34" s="73"/>
      <c r="C34" s="34"/>
      <c r="D34" s="34">
        <f>D29+D33</f>
        <v>120.17599999999999</v>
      </c>
      <c r="E34" s="72"/>
      <c r="F34" s="34"/>
      <c r="G34" s="34">
        <f>G29+G33</f>
        <v>122.66600000000001</v>
      </c>
      <c r="H34" s="34">
        <f t="shared" si="1"/>
        <v>2.4900000000000233</v>
      </c>
      <c r="I34" s="35">
        <f t="shared" si="2"/>
        <v>2.0719611236852811E-2</v>
      </c>
      <c r="J34" s="35">
        <f t="shared" si="10"/>
        <v>0.47709125010929077</v>
      </c>
      <c r="K34" s="110">
        <f t="shared" si="11"/>
        <v>0.47137885042462685</v>
      </c>
    </row>
    <row r="35" spans="1:11" s="1" customFormat="1" x14ac:dyDescent="0.2">
      <c r="A35" s="109" t="s">
        <v>94</v>
      </c>
      <c r="B35" s="73"/>
      <c r="C35" s="34"/>
      <c r="D35" s="34">
        <f>D30+D33</f>
        <v>119.25343999999998</v>
      </c>
      <c r="E35" s="72"/>
      <c r="F35" s="34"/>
      <c r="G35" s="34">
        <f>G30+G33</f>
        <v>121.74344000000001</v>
      </c>
      <c r="H35" s="34">
        <f t="shared" si="1"/>
        <v>2.4900000000000233</v>
      </c>
      <c r="I35" s="35">
        <f t="shared" si="2"/>
        <v>2.0879900822986939E-2</v>
      </c>
      <c r="J35" s="35">
        <f t="shared" si="10"/>
        <v>0.47350308954563963</v>
      </c>
      <c r="K35" s="110">
        <f t="shared" si="11"/>
        <v>0.46783365230740004</v>
      </c>
    </row>
    <row r="36" spans="1:11" x14ac:dyDescent="0.2">
      <c r="A36" s="106" t="s">
        <v>42</v>
      </c>
      <c r="B36" s="72">
        <f>B8</f>
        <v>1096</v>
      </c>
      <c r="C36" s="33">
        <v>3.5999999999999999E-3</v>
      </c>
      <c r="D36" s="21">
        <f>B36*C36</f>
        <v>3.9455999999999998</v>
      </c>
      <c r="E36" s="72">
        <f t="shared" si="6"/>
        <v>1096</v>
      </c>
      <c r="F36" s="33">
        <v>3.5999999999999999E-3</v>
      </c>
      <c r="G36" s="21">
        <f>E36*F36</f>
        <v>3.9455999999999998</v>
      </c>
      <c r="H36" s="21">
        <f t="shared" si="1"/>
        <v>0</v>
      </c>
      <c r="I36" s="22">
        <f t="shared" si="2"/>
        <v>0</v>
      </c>
      <c r="J36" s="22">
        <f t="shared" si="10"/>
        <v>1.5345827176489144E-2</v>
      </c>
      <c r="K36" s="107">
        <f t="shared" si="11"/>
        <v>1.5162085600210387E-2</v>
      </c>
    </row>
    <row r="37" spans="1:11" x14ac:dyDescent="0.2">
      <c r="A37" s="106" t="s">
        <v>43</v>
      </c>
      <c r="B37" s="72">
        <f>B8</f>
        <v>1096</v>
      </c>
      <c r="C37" s="33">
        <v>2.0999999999999999E-3</v>
      </c>
      <c r="D37" s="21">
        <f>B37*C37</f>
        <v>2.3015999999999996</v>
      </c>
      <c r="E37" s="72">
        <f t="shared" si="6"/>
        <v>1096</v>
      </c>
      <c r="F37" s="33">
        <v>2.0999999999999999E-3</v>
      </c>
      <c r="G37" s="21">
        <f>E37*F37</f>
        <v>2.3015999999999996</v>
      </c>
      <c r="H37" s="21">
        <f>G37-D37</f>
        <v>0</v>
      </c>
      <c r="I37" s="22">
        <f t="shared" si="2"/>
        <v>0</v>
      </c>
      <c r="J37" s="22">
        <f t="shared" si="10"/>
        <v>8.9517325196186662E-3</v>
      </c>
      <c r="K37" s="107">
        <f t="shared" si="11"/>
        <v>8.8445499334560591E-3</v>
      </c>
    </row>
    <row r="38" spans="1:11" x14ac:dyDescent="0.2">
      <c r="A38" s="106" t="s">
        <v>99</v>
      </c>
      <c r="B38" s="72">
        <f>B8</f>
        <v>1096</v>
      </c>
      <c r="C38" s="33">
        <v>1.1000000000000001E-3</v>
      </c>
      <c r="D38" s="21">
        <f>B38*C38</f>
        <v>1.2056</v>
      </c>
      <c r="E38" s="72">
        <f t="shared" si="6"/>
        <v>1096</v>
      </c>
      <c r="F38" s="33">
        <v>1.1000000000000001E-3</v>
      </c>
      <c r="G38" s="21">
        <f>E38*F38</f>
        <v>1.2056</v>
      </c>
      <c r="H38" s="21">
        <f>G38-D38</f>
        <v>0</v>
      </c>
      <c r="I38" s="22">
        <f t="shared" ref="I38" si="12">IF(ISERROR(H38/D38),0,(H38/D38))</f>
        <v>0</v>
      </c>
      <c r="J38" s="22">
        <f t="shared" ref="J38" si="13">G38/$G$46</f>
        <v>4.6890027483716835E-3</v>
      </c>
      <c r="K38" s="107">
        <f t="shared" ref="K38" si="14">G38/$G$51</f>
        <v>4.6328594889531744E-3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9.7233799526619171E-4</v>
      </c>
      <c r="K39" s="107">
        <f t="shared" si="11"/>
        <v>9.6069581307091367E-4</v>
      </c>
    </row>
    <row r="40" spans="1:11" s="1" customFormat="1" x14ac:dyDescent="0.2">
      <c r="A40" s="109" t="s">
        <v>45</v>
      </c>
      <c r="B40" s="73"/>
      <c r="C40" s="34"/>
      <c r="D40" s="34">
        <f>SUM(D36:D39)</f>
        <v>7.7027999999999999</v>
      </c>
      <c r="E40" s="72"/>
      <c r="F40" s="34"/>
      <c r="G40" s="34">
        <f>SUM(G36:G39)</f>
        <v>7.7027999999999999</v>
      </c>
      <c r="H40" s="34">
        <f t="shared" si="1"/>
        <v>0</v>
      </c>
      <c r="I40" s="35">
        <f t="shared" si="2"/>
        <v>0</v>
      </c>
      <c r="J40" s="35">
        <f t="shared" si="10"/>
        <v>2.9958900439745688E-2</v>
      </c>
      <c r="K40" s="110">
        <f t="shared" si="11"/>
        <v>2.9600190835690536E-2</v>
      </c>
    </row>
    <row r="41" spans="1:11" s="1" customFormat="1" ht="13.5" thickBot="1" x14ac:dyDescent="0.25">
      <c r="A41" s="111" t="s">
        <v>46</v>
      </c>
      <c r="B41" s="112">
        <f>B4</f>
        <v>1000</v>
      </c>
      <c r="C41" s="113">
        <v>7.0000000000000001E-3</v>
      </c>
      <c r="D41" s="114">
        <f>B41*C41</f>
        <v>7</v>
      </c>
      <c r="E41" s="115">
        <f t="shared" si="6"/>
        <v>1000</v>
      </c>
      <c r="F41" s="113">
        <f>C41</f>
        <v>7.0000000000000001E-3</v>
      </c>
      <c r="G41" s="114">
        <f>E41*F41</f>
        <v>7</v>
      </c>
      <c r="H41" s="114">
        <f t="shared" si="1"/>
        <v>0</v>
      </c>
      <c r="I41" s="116">
        <f t="shared" si="2"/>
        <v>0</v>
      </c>
      <c r="J41" s="116">
        <f t="shared" si="10"/>
        <v>2.7225463867453368E-2</v>
      </c>
      <c r="K41" s="117">
        <f t="shared" si="11"/>
        <v>2.6899482765985583E-2</v>
      </c>
    </row>
    <row r="42" spans="1:11" s="1" customFormat="1" x14ac:dyDescent="0.2">
      <c r="A42" s="36" t="s">
        <v>107</v>
      </c>
      <c r="B42" s="37"/>
      <c r="C42" s="38"/>
      <c r="D42" s="38">
        <f>SUM(D14,D25,D26,D27,D33,D40,D41)</f>
        <v>242.37880000000001</v>
      </c>
      <c r="E42" s="37"/>
      <c r="F42" s="38"/>
      <c r="G42" s="38">
        <f>SUM(G14,G25,G26,G27,G33,G40,G41)</f>
        <v>244.86880000000002</v>
      </c>
      <c r="H42" s="38">
        <f t="shared" si="1"/>
        <v>2.4900000000000091</v>
      </c>
      <c r="I42" s="39">
        <f>IF(ISERROR(H42/D42),0,(H42/D42))</f>
        <v>1.0273175706786274E-2</v>
      </c>
      <c r="J42" s="39">
        <f t="shared" si="10"/>
        <v>0.95238095238095233</v>
      </c>
      <c r="K42" s="40"/>
    </row>
    <row r="43" spans="1:11" x14ac:dyDescent="0.2">
      <c r="A43" s="143" t="s">
        <v>108</v>
      </c>
      <c r="B43" s="42"/>
      <c r="C43" s="25">
        <v>0.13</v>
      </c>
      <c r="D43" s="25">
        <f>D42*C43</f>
        <v>31.509244000000002</v>
      </c>
      <c r="E43" s="25"/>
      <c r="F43" s="25">
        <f>C43</f>
        <v>0.13</v>
      </c>
      <c r="G43" s="25">
        <f>G42*F43</f>
        <v>31.832944000000005</v>
      </c>
      <c r="H43" s="25">
        <f t="shared" si="1"/>
        <v>0.32370000000000232</v>
      </c>
      <c r="I43" s="43">
        <f t="shared" si="2"/>
        <v>1.0273175706786311E-2</v>
      </c>
      <c r="J43" s="43">
        <f t="shared" si="10"/>
        <v>0.12380952380952381</v>
      </c>
      <c r="K43" s="44"/>
    </row>
    <row r="44" spans="1:11" s="1" customFormat="1" x14ac:dyDescent="0.2">
      <c r="A44" s="45" t="s">
        <v>109</v>
      </c>
      <c r="B44" s="23"/>
      <c r="C44" s="24"/>
      <c r="D44" s="24">
        <f>SUM(D42:D43)</f>
        <v>273.88804400000004</v>
      </c>
      <c r="E44" s="24"/>
      <c r="F44" s="24"/>
      <c r="G44" s="24">
        <f>SUM(G42:G43)</f>
        <v>276.70174400000002</v>
      </c>
      <c r="H44" s="24">
        <f t="shared" si="1"/>
        <v>2.813699999999983</v>
      </c>
      <c r="I44" s="26">
        <f t="shared" si="2"/>
        <v>1.0273175706786174E-2</v>
      </c>
      <c r="J44" s="26">
        <f t="shared" si="10"/>
        <v>1.0761904761904761</v>
      </c>
      <c r="K44" s="46"/>
    </row>
    <row r="45" spans="1:11" x14ac:dyDescent="0.2">
      <c r="A45" s="41" t="s">
        <v>110</v>
      </c>
      <c r="B45" s="42"/>
      <c r="C45" s="25">
        <v>-0.08</v>
      </c>
      <c r="D45" s="25">
        <f>D42*C45</f>
        <v>-19.390304</v>
      </c>
      <c r="E45" s="25"/>
      <c r="F45" s="25">
        <f>C45</f>
        <v>-0.08</v>
      </c>
      <c r="G45" s="25">
        <f>G42*F45</f>
        <v>-19.589504000000002</v>
      </c>
      <c r="H45" s="25">
        <f t="shared" si="1"/>
        <v>-0.19920000000000115</v>
      </c>
      <c r="I45" s="43">
        <f t="shared" si="2"/>
        <v>1.0273175706786297E-2</v>
      </c>
      <c r="J45" s="43">
        <f t="shared" si="10"/>
        <v>-7.6190476190476183E-2</v>
      </c>
      <c r="K45" s="44"/>
    </row>
    <row r="46" spans="1:11" s="1" customFormat="1" ht="13.5" thickBot="1" x14ac:dyDescent="0.25">
      <c r="A46" s="47" t="s">
        <v>111</v>
      </c>
      <c r="B46" s="48"/>
      <c r="C46" s="49"/>
      <c r="D46" s="49">
        <f>SUM(D44:D45)</f>
        <v>254.49774000000002</v>
      </c>
      <c r="E46" s="49"/>
      <c r="F46" s="49"/>
      <c r="G46" s="49">
        <f>SUM(G44:G45)</f>
        <v>257.11224000000004</v>
      </c>
      <c r="H46" s="49">
        <f t="shared" si="1"/>
        <v>2.6145000000000209</v>
      </c>
      <c r="I46" s="50">
        <f t="shared" si="2"/>
        <v>1.0273175706786318E-2</v>
      </c>
      <c r="J46" s="50">
        <f t="shared" si="10"/>
        <v>1</v>
      </c>
      <c r="K46" s="51"/>
    </row>
    <row r="47" spans="1:11" x14ac:dyDescent="0.2">
      <c r="A47" s="52" t="s">
        <v>112</v>
      </c>
      <c r="B47" s="53"/>
      <c r="C47" s="54"/>
      <c r="D47" s="54">
        <f>SUM(D18,D25,D26,D28,D33,D40,D41)</f>
        <v>245.34623999999999</v>
      </c>
      <c r="E47" s="54"/>
      <c r="F47" s="54"/>
      <c r="G47" s="54">
        <f>SUM(G18,G25,G26,G28,G33,G40,G41)</f>
        <v>247.83624</v>
      </c>
      <c r="H47" s="54">
        <f>G47-D47</f>
        <v>2.4900000000000091</v>
      </c>
      <c r="I47" s="55">
        <f>IF(ISERROR(H47/D47),0,(H47/D47))</f>
        <v>1.0148922600158898E-2</v>
      </c>
      <c r="J47" s="55"/>
      <c r="K47" s="56">
        <f>G47/$G$51</f>
        <v>0.95238095238095244</v>
      </c>
    </row>
    <row r="48" spans="1:11" x14ac:dyDescent="0.2">
      <c r="A48" s="144" t="s">
        <v>108</v>
      </c>
      <c r="B48" s="58"/>
      <c r="C48" s="30">
        <v>0.13</v>
      </c>
      <c r="D48" s="30">
        <f>D47*C48</f>
        <v>31.895011199999999</v>
      </c>
      <c r="E48" s="30"/>
      <c r="F48" s="30">
        <f>C48</f>
        <v>0.13</v>
      </c>
      <c r="G48" s="30">
        <f>G47*F48</f>
        <v>32.218711200000001</v>
      </c>
      <c r="H48" s="30">
        <f>G48-D48</f>
        <v>0.32370000000000232</v>
      </c>
      <c r="I48" s="31">
        <f>IF(ISERROR(H48/D48),0,(H48/D48))</f>
        <v>1.0148922600158934E-2</v>
      </c>
      <c r="J48" s="31"/>
      <c r="K48" s="59">
        <f>G48/$G$51</f>
        <v>0.12380952380952381</v>
      </c>
    </row>
    <row r="49" spans="1:11" x14ac:dyDescent="0.2">
      <c r="A49" s="136" t="s">
        <v>113</v>
      </c>
      <c r="B49" s="28"/>
      <c r="C49" s="29"/>
      <c r="D49" s="29">
        <f>SUM(D47:D48)</f>
        <v>277.24125119999997</v>
      </c>
      <c r="E49" s="29"/>
      <c r="F49" s="29"/>
      <c r="G49" s="29">
        <f>SUM(G47:G48)</f>
        <v>280.0549512</v>
      </c>
      <c r="H49" s="29">
        <f>G49-D49</f>
        <v>2.8137000000000398</v>
      </c>
      <c r="I49" s="32">
        <f>IF(ISERROR(H49/D49),0,(H49/D49))</f>
        <v>1.0148922600159007E-2</v>
      </c>
      <c r="J49" s="32"/>
      <c r="K49" s="61">
        <f>G49/$G$51</f>
        <v>1.0761904761904761</v>
      </c>
    </row>
    <row r="50" spans="1:11" x14ac:dyDescent="0.2">
      <c r="A50" s="57" t="s">
        <v>110</v>
      </c>
      <c r="B50" s="58"/>
      <c r="C50" s="30">
        <v>-0.08</v>
      </c>
      <c r="D50" s="30">
        <f>D47*C50</f>
        <v>-19.627699199999999</v>
      </c>
      <c r="E50" s="30"/>
      <c r="F50" s="30">
        <f>C50</f>
        <v>-0.08</v>
      </c>
      <c r="G50" s="30">
        <f>G47*F50</f>
        <v>-19.8268992</v>
      </c>
      <c r="H50" s="30">
        <f>G50-D50</f>
        <v>-0.19920000000000115</v>
      </c>
      <c r="I50" s="31">
        <f>IF(ISERROR(H50/D50),0,(H50/D50))</f>
        <v>1.014892260015892E-2</v>
      </c>
      <c r="J50" s="31"/>
      <c r="K50" s="59">
        <f>G50/$G$51</f>
        <v>-7.6190476190476197E-2</v>
      </c>
    </row>
    <row r="51" spans="1:11" ht="13.5" thickBot="1" x14ac:dyDescent="0.25">
      <c r="A51" s="62" t="s">
        <v>114</v>
      </c>
      <c r="B51" s="63"/>
      <c r="C51" s="64"/>
      <c r="D51" s="64">
        <f>SUM(D49:D50)</f>
        <v>257.61355199999997</v>
      </c>
      <c r="E51" s="64"/>
      <c r="F51" s="64"/>
      <c r="G51" s="64">
        <f>SUM(G49:G50)</f>
        <v>260.22805199999999</v>
      </c>
      <c r="H51" s="64">
        <f>G51-D51</f>
        <v>2.6145000000000209</v>
      </c>
      <c r="I51" s="65">
        <f>IF(ISERROR(H51/D51),0,(H51/D51))</f>
        <v>1.0148922600158943E-2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1" tint="0.499984740745262"/>
    <pageSetUpPr fitToPage="1"/>
  </sheetPr>
  <dimension ref="A1:K68"/>
  <sheetViews>
    <sheetView tabSelected="1" topLeftCell="A19"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4</v>
      </c>
    </row>
    <row r="4" spans="1:11" x14ac:dyDescent="0.2">
      <c r="A4" s="14" t="s">
        <v>62</v>
      </c>
      <c r="B4" s="14">
        <v>2000</v>
      </c>
    </row>
    <row r="5" spans="1:11" x14ac:dyDescent="0.2">
      <c r="A5" s="14" t="s">
        <v>16</v>
      </c>
      <c r="B5" s="14">
        <f>VLOOKUP($B$3,'Data for Bill Impacts'!$A$3:$Y$15,5,0)</f>
        <v>0</v>
      </c>
    </row>
    <row r="6" spans="1:11" x14ac:dyDescent="0.2">
      <c r="A6" s="14" t="s">
        <v>20</v>
      </c>
      <c r="B6" s="14">
        <f>VLOOKUP($B$3,'Data for Bill Impacts'!$A$3:$Y$15,2,0)</f>
        <v>1.0960000000000001</v>
      </c>
    </row>
    <row r="7" spans="1:11" x14ac:dyDescent="0.2">
      <c r="A7" s="14" t="s">
        <v>15</v>
      </c>
      <c r="B7" s="14">
        <f>VLOOKUP($B$3,'Data for Bill Impacts'!$A$3:$Y$15,4,0)</f>
        <v>750</v>
      </c>
    </row>
    <row r="8" spans="1:11" x14ac:dyDescent="0.2">
      <c r="A8" s="14" t="s">
        <v>82</v>
      </c>
      <c r="B8" s="14">
        <f>B4*B6</f>
        <v>2192</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0.15646917077294434</v>
      </c>
      <c r="K12" s="105"/>
    </row>
    <row r="13" spans="1:11" x14ac:dyDescent="0.2">
      <c r="A13" s="106" t="s">
        <v>32</v>
      </c>
      <c r="B13" s="72">
        <f>IF(B4&gt;B7,(B4)-B7,0)</f>
        <v>1250</v>
      </c>
      <c r="C13" s="20">
        <v>0.121</v>
      </c>
      <c r="D13" s="21">
        <f>B13*C13</f>
        <v>151.25</v>
      </c>
      <c r="E13" s="72">
        <f t="shared" ref="E13" si="0">B13</f>
        <v>1250</v>
      </c>
      <c r="F13" s="20">
        <f>C13</f>
        <v>0.121</v>
      </c>
      <c r="G13" s="21">
        <f>E13*F13</f>
        <v>151.25</v>
      </c>
      <c r="H13" s="21">
        <f t="shared" ref="H13:H46" si="1">G13-D13</f>
        <v>0</v>
      </c>
      <c r="I13" s="22">
        <f t="shared" ref="I13:I46" si="2">IF(ISERROR(H13/D13),0,(H13/D13))</f>
        <v>0</v>
      </c>
      <c r="J13" s="22">
        <f>G13/$G$46</f>
        <v>0.30635549617356411</v>
      </c>
      <c r="K13" s="107"/>
    </row>
    <row r="14" spans="1:11" s="1" customFormat="1" x14ac:dyDescent="0.2">
      <c r="A14" s="45" t="s">
        <v>33</v>
      </c>
      <c r="B14" s="23"/>
      <c r="C14" s="24"/>
      <c r="D14" s="24">
        <f>SUM(D12:D13)</f>
        <v>228.5</v>
      </c>
      <c r="E14" s="75"/>
      <c r="F14" s="24"/>
      <c r="G14" s="24">
        <f>SUM(G12:G13)</f>
        <v>228.5</v>
      </c>
      <c r="H14" s="24">
        <f t="shared" si="1"/>
        <v>0</v>
      </c>
      <c r="I14" s="26">
        <f t="shared" si="2"/>
        <v>0</v>
      </c>
      <c r="J14" s="26">
        <f>G14/$G$46</f>
        <v>0.46282466694650848</v>
      </c>
      <c r="K14" s="107"/>
    </row>
    <row r="15" spans="1:11" s="1" customFormat="1" x14ac:dyDescent="0.2">
      <c r="A15" s="108" t="s">
        <v>34</v>
      </c>
      <c r="B15" s="74">
        <f>B4*0.65</f>
        <v>1300</v>
      </c>
      <c r="C15" s="27">
        <v>8.6999999999999994E-2</v>
      </c>
      <c r="D15" s="21">
        <f>B15*C15</f>
        <v>113.1</v>
      </c>
      <c r="E15" s="72">
        <f t="shared" ref="E15:F17" si="3">B15</f>
        <v>1300</v>
      </c>
      <c r="F15" s="27">
        <f t="shared" si="3"/>
        <v>8.6999999999999994E-2</v>
      </c>
      <c r="G15" s="21">
        <f>E15*F15</f>
        <v>113.1</v>
      </c>
      <c r="H15" s="21">
        <f t="shared" si="1"/>
        <v>0</v>
      </c>
      <c r="I15" s="22">
        <f t="shared" si="2"/>
        <v>0</v>
      </c>
      <c r="J15" s="22"/>
      <c r="K15" s="107">
        <f t="shared" ref="K15:K26" si="4">G15/$G$51</f>
        <v>0.23282906058451777</v>
      </c>
    </row>
    <row r="16" spans="1:11" s="1" customFormat="1" x14ac:dyDescent="0.2">
      <c r="A16" s="108" t="s">
        <v>35</v>
      </c>
      <c r="B16" s="74">
        <f>B4*0.17</f>
        <v>340</v>
      </c>
      <c r="C16" s="27">
        <v>0.13200000000000001</v>
      </c>
      <c r="D16" s="21">
        <f>B16*C16</f>
        <v>44.88</v>
      </c>
      <c r="E16" s="72">
        <f t="shared" si="3"/>
        <v>340</v>
      </c>
      <c r="F16" s="27">
        <f t="shared" si="3"/>
        <v>0.13200000000000001</v>
      </c>
      <c r="G16" s="21">
        <f>E16*F16</f>
        <v>44.88</v>
      </c>
      <c r="H16" s="21">
        <f t="shared" si="1"/>
        <v>0</v>
      </c>
      <c r="I16" s="22">
        <f t="shared" si="2"/>
        <v>0</v>
      </c>
      <c r="J16" s="22"/>
      <c r="K16" s="107">
        <f t="shared" si="4"/>
        <v>9.2390523775713163E-2</v>
      </c>
    </row>
    <row r="17" spans="1:11" s="1" customFormat="1" x14ac:dyDescent="0.2">
      <c r="A17" s="108" t="s">
        <v>36</v>
      </c>
      <c r="B17" s="74">
        <f>B4*0.18</f>
        <v>360</v>
      </c>
      <c r="C17" s="27">
        <v>0.18</v>
      </c>
      <c r="D17" s="21">
        <f>B17*C17</f>
        <v>64.8</v>
      </c>
      <c r="E17" s="72">
        <f t="shared" si="3"/>
        <v>360</v>
      </c>
      <c r="F17" s="27">
        <f t="shared" si="3"/>
        <v>0.18</v>
      </c>
      <c r="G17" s="21">
        <f>E17*F17</f>
        <v>64.8</v>
      </c>
      <c r="H17" s="21">
        <f t="shared" si="1"/>
        <v>0</v>
      </c>
      <c r="I17" s="22">
        <f t="shared" si="2"/>
        <v>0</v>
      </c>
      <c r="J17" s="22"/>
      <c r="K17" s="107">
        <f t="shared" si="4"/>
        <v>0.13339808245691204</v>
      </c>
    </row>
    <row r="18" spans="1:11" s="1" customFormat="1" x14ac:dyDescent="0.2">
      <c r="A18" s="60" t="s">
        <v>37</v>
      </c>
      <c r="B18" s="28"/>
      <c r="C18" s="29"/>
      <c r="D18" s="29">
        <f>SUM(D15:D17)</f>
        <v>222.77999999999997</v>
      </c>
      <c r="E18" s="76"/>
      <c r="F18" s="29"/>
      <c r="G18" s="29">
        <f>SUM(G15:G17)</f>
        <v>222.77999999999997</v>
      </c>
      <c r="H18" s="30">
        <f t="shared" si="1"/>
        <v>0</v>
      </c>
      <c r="I18" s="31">
        <f t="shared" si="2"/>
        <v>0</v>
      </c>
      <c r="J18" s="32">
        <f t="shared" ref="J18:J23" si="5">G18/$G$46</f>
        <v>0.45123885909121725</v>
      </c>
      <c r="K18" s="61">
        <f t="shared" si="4"/>
        <v>0.45861766681714289</v>
      </c>
    </row>
    <row r="19" spans="1:11" x14ac:dyDescent="0.2">
      <c r="A19" s="106" t="s">
        <v>38</v>
      </c>
      <c r="B19" s="72">
        <v>1</v>
      </c>
      <c r="C19" s="77">
        <f>VLOOKUP($B$3,'Data for Bill Impacts'!$A$3:$Y$15,7,0)</f>
        <v>31.41</v>
      </c>
      <c r="D19" s="21">
        <f>B19*C19</f>
        <v>31.41</v>
      </c>
      <c r="E19" s="72">
        <f t="shared" ref="E19:E41" si="6">B19</f>
        <v>1</v>
      </c>
      <c r="F19" s="77">
        <f>VLOOKUP($B$3,'Data for Bill Impacts'!$A$3:$Y$15,17,0)</f>
        <v>32</v>
      </c>
      <c r="G19" s="21">
        <f>E19*F19</f>
        <v>32</v>
      </c>
      <c r="H19" s="21">
        <f t="shared" si="1"/>
        <v>0.58999999999999986</v>
      </c>
      <c r="I19" s="22">
        <f t="shared" si="2"/>
        <v>1.8783826806749438E-2</v>
      </c>
      <c r="J19" s="22">
        <f t="shared" si="5"/>
        <v>6.481570828134911E-2</v>
      </c>
      <c r="K19" s="107">
        <f t="shared" si="4"/>
        <v>6.5875596275018294E-2</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2000</v>
      </c>
      <c r="C23" s="125">
        <f>VLOOKUP($B$3,'Data for Bill Impacts'!$A$3:$Y$15,10,0)</f>
        <v>6.5199999999999994E-2</v>
      </c>
      <c r="D23" s="21">
        <f>B23*C23</f>
        <v>130.39999999999998</v>
      </c>
      <c r="E23" s="72">
        <f t="shared" si="6"/>
        <v>2000</v>
      </c>
      <c r="F23" s="77">
        <f>VLOOKUP($B$3,'Data for Bill Impacts'!$A$3:$Y$15,19,0)</f>
        <v>6.7100000000000007E-2</v>
      </c>
      <c r="G23" s="21">
        <f>E23*F23</f>
        <v>134.20000000000002</v>
      </c>
      <c r="H23" s="21">
        <f t="shared" si="1"/>
        <v>3.8000000000000398</v>
      </c>
      <c r="I23" s="22">
        <f t="shared" si="2"/>
        <v>2.9141104294478838E-2</v>
      </c>
      <c r="J23" s="22">
        <f t="shared" si="5"/>
        <v>0.27182087660490784</v>
      </c>
      <c r="K23" s="107">
        <f t="shared" si="4"/>
        <v>0.27626578187835799</v>
      </c>
    </row>
    <row r="24" spans="1:11" x14ac:dyDescent="0.2">
      <c r="A24" s="106" t="s">
        <v>129</v>
      </c>
      <c r="B24" s="72">
        <f>IF($B$9="kWh",$B$4,$B$5)</f>
        <v>2000</v>
      </c>
      <c r="C24" s="77">
        <f>VLOOKUP($B$3,'Data for Bill Impacts'!$A$3:$Y$15,14,0)</f>
        <v>2.0000000000000001E-4</v>
      </c>
      <c r="D24" s="33">
        <f>B24*C24</f>
        <v>0.4</v>
      </c>
      <c r="E24" s="72">
        <f t="shared" si="6"/>
        <v>2000</v>
      </c>
      <c r="F24" s="77">
        <f>VLOOKUP($B$3,'Data for Bill Impacts'!$A$3:$Y$15,23,0)</f>
        <v>2.0000000000000001E-4</v>
      </c>
      <c r="G24" s="33">
        <f>E24*F24</f>
        <v>0.4</v>
      </c>
      <c r="H24" s="21">
        <f t="shared" si="1"/>
        <v>0</v>
      </c>
      <c r="I24" s="22">
        <f>IF(ISERROR(H24/D24),0,(H24/D24))</f>
        <v>0</v>
      </c>
      <c r="J24" s="22">
        <f t="shared" ref="J24" si="9">G24/$G$46</f>
        <v>8.101963535168639E-4</v>
      </c>
      <c r="K24" s="107">
        <f t="shared" si="4"/>
        <v>8.2344495343772872E-4</v>
      </c>
    </row>
    <row r="25" spans="1:11" s="1" customFormat="1" x14ac:dyDescent="0.2">
      <c r="A25" s="109" t="s">
        <v>72</v>
      </c>
      <c r="B25" s="73"/>
      <c r="C25" s="34"/>
      <c r="D25" s="34">
        <f>SUM(D19:D24)</f>
        <v>162.20999999999998</v>
      </c>
      <c r="E25" s="72"/>
      <c r="F25" s="34"/>
      <c r="G25" s="34">
        <f>SUM(G19:G24)</f>
        <v>166.60000000000002</v>
      </c>
      <c r="H25" s="34">
        <f t="shared" si="1"/>
        <v>4.3900000000000432</v>
      </c>
      <c r="I25" s="35">
        <f t="shared" si="2"/>
        <v>2.7063682880217273E-2</v>
      </c>
      <c r="J25" s="35">
        <f>G25/$G$46</f>
        <v>0.33744678123977384</v>
      </c>
      <c r="K25" s="110">
        <f t="shared" si="4"/>
        <v>0.34296482310681403</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1.6001377981958061E-3</v>
      </c>
      <c r="K26" s="107">
        <f t="shared" si="4"/>
        <v>1.626303783039514E-3</v>
      </c>
    </row>
    <row r="27" spans="1:11" s="1" customFormat="1" x14ac:dyDescent="0.2">
      <c r="A27" s="118" t="s">
        <v>75</v>
      </c>
      <c r="B27" s="119">
        <f>B8-B4</f>
        <v>192</v>
      </c>
      <c r="C27" s="120">
        <f>IF(B4&gt;B7,C13,C12)</f>
        <v>0.121</v>
      </c>
      <c r="D27" s="21">
        <f>B27*C27</f>
        <v>23.231999999999999</v>
      </c>
      <c r="E27" s="72">
        <f>B27</f>
        <v>192</v>
      </c>
      <c r="F27" s="120">
        <f>C27</f>
        <v>0.121</v>
      </c>
      <c r="G27" s="21">
        <f>E27*F27</f>
        <v>23.231999999999999</v>
      </c>
      <c r="H27" s="21">
        <f t="shared" si="1"/>
        <v>0</v>
      </c>
      <c r="I27" s="22">
        <f>IF(ISERROR(H27/D27),0,(H27/D27))</f>
        <v>0</v>
      </c>
      <c r="J27" s="22">
        <f t="shared" ref="J27:J46" si="10">G27/$G$46</f>
        <v>4.705620421225945E-2</v>
      </c>
      <c r="K27" s="107">
        <f t="shared" ref="K27:K41" si="11">G27/$G$51</f>
        <v>4.7825682895663281E-2</v>
      </c>
    </row>
    <row r="28" spans="1:11" s="1" customFormat="1" x14ac:dyDescent="0.2">
      <c r="A28" s="118" t="s">
        <v>74</v>
      </c>
      <c r="B28" s="119">
        <f>B8-B4</f>
        <v>192</v>
      </c>
      <c r="C28" s="120">
        <f>0.65*C15+0.17*C16+0.18*C17</f>
        <v>0.11139</v>
      </c>
      <c r="D28" s="21">
        <f>B28*C28</f>
        <v>21.386880000000001</v>
      </c>
      <c r="E28" s="72">
        <f>B28</f>
        <v>192</v>
      </c>
      <c r="F28" s="120">
        <f>C28</f>
        <v>0.11139</v>
      </c>
      <c r="G28" s="21">
        <f>E28*F28</f>
        <v>21.386880000000001</v>
      </c>
      <c r="H28" s="21">
        <f t="shared" si="1"/>
        <v>0</v>
      </c>
      <c r="I28" s="22">
        <f>IF(ISERROR(H28/D28),0,(H28/D28))</f>
        <v>0</v>
      </c>
      <c r="J28" s="22">
        <f t="shared" si="10"/>
        <v>4.3318930472756867E-2</v>
      </c>
      <c r="K28" s="107">
        <f t="shared" si="11"/>
        <v>4.402729601444573E-2</v>
      </c>
    </row>
    <row r="29" spans="1:11" s="1" customFormat="1" x14ac:dyDescent="0.2">
      <c r="A29" s="109" t="s">
        <v>78</v>
      </c>
      <c r="B29" s="73"/>
      <c r="C29" s="34"/>
      <c r="D29" s="34">
        <f>SUM(D25,D26:D27)</f>
        <v>186.23199999999997</v>
      </c>
      <c r="E29" s="72"/>
      <c r="F29" s="34"/>
      <c r="G29" s="34">
        <f>SUM(G25,G26:G27)</f>
        <v>190.62200000000001</v>
      </c>
      <c r="H29" s="34">
        <f t="shared" si="1"/>
        <v>4.3900000000000432</v>
      </c>
      <c r="I29" s="35">
        <f>IF(ISERROR(H29/D29),0,(H29/D29))</f>
        <v>2.3572747970273873E-2</v>
      </c>
      <c r="J29" s="35">
        <f t="shared" si="10"/>
        <v>0.38610312325022905</v>
      </c>
      <c r="K29" s="110">
        <f t="shared" si="11"/>
        <v>0.3924168097855168</v>
      </c>
    </row>
    <row r="30" spans="1:11" s="1" customFormat="1" x14ac:dyDescent="0.2">
      <c r="A30" s="109" t="s">
        <v>77</v>
      </c>
      <c r="B30" s="73"/>
      <c r="C30" s="34"/>
      <c r="D30" s="34">
        <f>SUM(D25,D26,D28)</f>
        <v>184.38687999999996</v>
      </c>
      <c r="E30" s="72"/>
      <c r="F30" s="34"/>
      <c r="G30" s="34">
        <f>SUM(G25,G26,G28)</f>
        <v>188.77688000000001</v>
      </c>
      <c r="H30" s="34">
        <f t="shared" si="1"/>
        <v>4.3900000000000432</v>
      </c>
      <c r="I30" s="35">
        <f>IF(ISERROR(H30/D30),0,(H30/D30))</f>
        <v>2.380863540833298E-2</v>
      </c>
      <c r="J30" s="35">
        <f t="shared" si="10"/>
        <v>0.38236584951072644</v>
      </c>
      <c r="K30" s="110">
        <f t="shared" si="11"/>
        <v>0.38861842290429921</v>
      </c>
    </row>
    <row r="31" spans="1:11" x14ac:dyDescent="0.2">
      <c r="A31" s="106" t="s">
        <v>40</v>
      </c>
      <c r="B31" s="72">
        <f>B8</f>
        <v>2192</v>
      </c>
      <c r="C31" s="125">
        <f>VLOOKUP($B$3,'Data for Bill Impacts'!$A$3:$Y$15,15,0)</f>
        <v>5.4999999999999997E-3</v>
      </c>
      <c r="D31" s="21">
        <f>B31*C31</f>
        <v>12.055999999999999</v>
      </c>
      <c r="E31" s="72">
        <f t="shared" si="6"/>
        <v>2192</v>
      </c>
      <c r="F31" s="77">
        <f>VLOOKUP($B$3,'Data for Bill Impacts'!$A$3:$Y$15,24,0)</f>
        <v>5.4999999999999997E-3</v>
      </c>
      <c r="G31" s="21">
        <f>E31*F31</f>
        <v>12.055999999999999</v>
      </c>
      <c r="H31" s="21">
        <f t="shared" si="1"/>
        <v>0</v>
      </c>
      <c r="I31" s="22">
        <f t="shared" si="2"/>
        <v>0</v>
      </c>
      <c r="J31" s="22">
        <f t="shared" si="10"/>
        <v>2.4419318094998275E-2</v>
      </c>
      <c r="K31" s="107">
        <f t="shared" si="11"/>
        <v>2.4818630896613139E-2</v>
      </c>
    </row>
    <row r="32" spans="1:11" x14ac:dyDescent="0.2">
      <c r="A32" s="106" t="s">
        <v>41</v>
      </c>
      <c r="B32" s="72">
        <f>B8</f>
        <v>2192</v>
      </c>
      <c r="C32" s="125">
        <f>VLOOKUP($B$3,'Data for Bill Impacts'!$A$3:$Y$15,16,0)</f>
        <v>4.4999999999999997E-3</v>
      </c>
      <c r="D32" s="21">
        <f>B32*C32</f>
        <v>9.863999999999999</v>
      </c>
      <c r="E32" s="72">
        <f t="shared" si="6"/>
        <v>2192</v>
      </c>
      <c r="F32" s="77">
        <f>VLOOKUP($B$3,'Data for Bill Impacts'!$A$3:$Y$15,25,0)</f>
        <v>4.4999999999999997E-3</v>
      </c>
      <c r="G32" s="21">
        <f>E32*F32</f>
        <v>9.863999999999999</v>
      </c>
      <c r="H32" s="21">
        <f t="shared" si="1"/>
        <v>0</v>
      </c>
      <c r="I32" s="22">
        <f t="shared" si="2"/>
        <v>0</v>
      </c>
      <c r="J32" s="22">
        <f t="shared" si="10"/>
        <v>1.9979442077725861E-2</v>
      </c>
      <c r="K32" s="107">
        <f t="shared" si="11"/>
        <v>2.0306152551774388E-2</v>
      </c>
    </row>
    <row r="33" spans="1:11" s="1" customFormat="1" x14ac:dyDescent="0.2">
      <c r="A33" s="109" t="s">
        <v>76</v>
      </c>
      <c r="B33" s="73"/>
      <c r="C33" s="34"/>
      <c r="D33" s="34">
        <f>SUM(D31:D32)</f>
        <v>21.919999999999998</v>
      </c>
      <c r="E33" s="72"/>
      <c r="F33" s="34"/>
      <c r="G33" s="34">
        <f>SUM(G31:G32)</f>
        <v>21.919999999999998</v>
      </c>
      <c r="H33" s="34">
        <f t="shared" si="1"/>
        <v>0</v>
      </c>
      <c r="I33" s="35">
        <f t="shared" si="2"/>
        <v>0</v>
      </c>
      <c r="J33" s="35">
        <f t="shared" si="10"/>
        <v>4.4398760172724136E-2</v>
      </c>
      <c r="K33" s="110">
        <f t="shared" si="11"/>
        <v>4.5124783448387523E-2</v>
      </c>
    </row>
    <row r="34" spans="1:11" s="1" customFormat="1" x14ac:dyDescent="0.2">
      <c r="A34" s="109" t="s">
        <v>93</v>
      </c>
      <c r="B34" s="73"/>
      <c r="C34" s="34"/>
      <c r="D34" s="34">
        <f>D29+D33</f>
        <v>208.15199999999996</v>
      </c>
      <c r="E34" s="72"/>
      <c r="F34" s="34"/>
      <c r="G34" s="34">
        <f>G29+G33</f>
        <v>212.542</v>
      </c>
      <c r="H34" s="34">
        <f t="shared" si="1"/>
        <v>4.3900000000000432</v>
      </c>
      <c r="I34" s="35">
        <f t="shared" si="2"/>
        <v>2.1090357046773724E-2</v>
      </c>
      <c r="J34" s="35">
        <f t="shared" si="10"/>
        <v>0.4305018834229532</v>
      </c>
      <c r="K34" s="110">
        <f t="shared" si="11"/>
        <v>0.43754159323390429</v>
      </c>
    </row>
    <row r="35" spans="1:11" s="1" customFormat="1" x14ac:dyDescent="0.2">
      <c r="A35" s="109" t="s">
        <v>94</v>
      </c>
      <c r="B35" s="73"/>
      <c r="C35" s="34"/>
      <c r="D35" s="34">
        <f>D30+D33</f>
        <v>206.30687999999995</v>
      </c>
      <c r="E35" s="72"/>
      <c r="F35" s="34"/>
      <c r="G35" s="34">
        <f>G30+G33</f>
        <v>210.69687999999999</v>
      </c>
      <c r="H35" s="34">
        <f t="shared" si="1"/>
        <v>4.3900000000000432</v>
      </c>
      <c r="I35" s="35">
        <f t="shared" si="2"/>
        <v>2.1278980129019662E-2</v>
      </c>
      <c r="J35" s="35">
        <f t="shared" si="10"/>
        <v>0.42676460968345059</v>
      </c>
      <c r="K35" s="110">
        <f t="shared" si="11"/>
        <v>0.43374320635268676</v>
      </c>
    </row>
    <row r="36" spans="1:11" x14ac:dyDescent="0.2">
      <c r="A36" s="106" t="s">
        <v>42</v>
      </c>
      <c r="B36" s="72">
        <f>B8</f>
        <v>2192</v>
      </c>
      <c r="C36" s="33">
        <v>3.5999999999999999E-3</v>
      </c>
      <c r="D36" s="21">
        <f>B36*C36</f>
        <v>7.8911999999999995</v>
      </c>
      <c r="E36" s="72">
        <f t="shared" si="6"/>
        <v>2192</v>
      </c>
      <c r="F36" s="33">
        <v>3.5999999999999999E-3</v>
      </c>
      <c r="G36" s="21">
        <f>E36*F36</f>
        <v>7.8911999999999995</v>
      </c>
      <c r="H36" s="21">
        <f t="shared" si="1"/>
        <v>0</v>
      </c>
      <c r="I36" s="22">
        <f t="shared" si="2"/>
        <v>0</v>
      </c>
      <c r="J36" s="22">
        <f t="shared" si="10"/>
        <v>1.598355366218069E-2</v>
      </c>
      <c r="K36" s="107">
        <f t="shared" si="11"/>
        <v>1.6244922041419509E-2</v>
      </c>
    </row>
    <row r="37" spans="1:11" x14ac:dyDescent="0.2">
      <c r="A37" s="106" t="s">
        <v>43</v>
      </c>
      <c r="B37" s="72">
        <f>B8</f>
        <v>2192</v>
      </c>
      <c r="C37" s="33">
        <v>2.0999999999999999E-3</v>
      </c>
      <c r="D37" s="21">
        <f>B37*C37</f>
        <v>4.6031999999999993</v>
      </c>
      <c r="E37" s="72">
        <f t="shared" si="6"/>
        <v>2192</v>
      </c>
      <c r="F37" s="33">
        <v>2.0999999999999999E-3</v>
      </c>
      <c r="G37" s="21">
        <f>E37*F37</f>
        <v>4.6031999999999993</v>
      </c>
      <c r="H37" s="21">
        <f>G37-D37</f>
        <v>0</v>
      </c>
      <c r="I37" s="22">
        <f t="shared" si="2"/>
        <v>0</v>
      </c>
      <c r="J37" s="22">
        <f t="shared" si="10"/>
        <v>9.3237396362720673E-3</v>
      </c>
      <c r="K37" s="107">
        <f t="shared" si="11"/>
        <v>9.4762045241613795E-3</v>
      </c>
    </row>
    <row r="38" spans="1:11" x14ac:dyDescent="0.2">
      <c r="A38" s="106" t="s">
        <v>99</v>
      </c>
      <c r="B38" s="72">
        <f>B8</f>
        <v>2192</v>
      </c>
      <c r="C38" s="33">
        <v>1.1000000000000001E-3</v>
      </c>
      <c r="D38" s="21">
        <f>B38*C38</f>
        <v>2.4112</v>
      </c>
      <c r="E38" s="72">
        <f t="shared" si="6"/>
        <v>2192</v>
      </c>
      <c r="F38" s="33">
        <v>1.1000000000000001E-3</v>
      </c>
      <c r="G38" s="21">
        <f>E38*F38</f>
        <v>2.4112</v>
      </c>
      <c r="H38" s="21">
        <f>G38-D38</f>
        <v>0</v>
      </c>
      <c r="I38" s="22">
        <f t="shared" ref="I38" si="12">IF(ISERROR(H38/D38),0,(H38/D38))</f>
        <v>0</v>
      </c>
      <c r="J38" s="22">
        <f t="shared" ref="J38" si="13">G38/$G$46</f>
        <v>4.8838636189996549E-3</v>
      </c>
      <c r="K38" s="107">
        <f t="shared" ref="K38" si="14">G38/$G$51</f>
        <v>4.9637261793226287E-3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5.0637272094803992E-4</v>
      </c>
      <c r="K39" s="107">
        <f t="shared" si="11"/>
        <v>5.1465309589858043E-4</v>
      </c>
    </row>
    <row r="40" spans="1:11" s="1" customFormat="1" x14ac:dyDescent="0.2">
      <c r="A40" s="109" t="s">
        <v>45</v>
      </c>
      <c r="B40" s="73"/>
      <c r="C40" s="34"/>
      <c r="D40" s="34">
        <f>SUM(D36:D39)</f>
        <v>15.1556</v>
      </c>
      <c r="E40" s="72"/>
      <c r="F40" s="34"/>
      <c r="G40" s="34">
        <f>SUM(G36:G39)</f>
        <v>15.1556</v>
      </c>
      <c r="H40" s="34">
        <f t="shared" si="1"/>
        <v>0</v>
      </c>
      <c r="I40" s="35">
        <f t="shared" si="2"/>
        <v>0</v>
      </c>
      <c r="J40" s="35">
        <f t="shared" si="10"/>
        <v>3.0697529638400452E-2</v>
      </c>
      <c r="K40" s="110">
        <f t="shared" si="11"/>
        <v>3.11995058408021E-2</v>
      </c>
    </row>
    <row r="41" spans="1:11" s="1" customFormat="1" ht="13.5" thickBot="1" x14ac:dyDescent="0.25">
      <c r="A41" s="111" t="s">
        <v>46</v>
      </c>
      <c r="B41" s="112">
        <f>B4</f>
        <v>2000</v>
      </c>
      <c r="C41" s="113">
        <v>7.0000000000000001E-3</v>
      </c>
      <c r="D41" s="114">
        <f>B41*C41</f>
        <v>14</v>
      </c>
      <c r="E41" s="115">
        <f t="shared" si="6"/>
        <v>2000</v>
      </c>
      <c r="F41" s="113">
        <f>C41</f>
        <v>7.0000000000000001E-3</v>
      </c>
      <c r="G41" s="114">
        <f>E41*F41</f>
        <v>14</v>
      </c>
      <c r="H41" s="114">
        <f t="shared" si="1"/>
        <v>0</v>
      </c>
      <c r="I41" s="116">
        <f t="shared" si="2"/>
        <v>0</v>
      </c>
      <c r="J41" s="116">
        <f t="shared" si="10"/>
        <v>2.8356872373090234E-2</v>
      </c>
      <c r="K41" s="117">
        <f t="shared" si="11"/>
        <v>2.8820573370320502E-2</v>
      </c>
    </row>
    <row r="42" spans="1:11" s="1" customFormat="1" x14ac:dyDescent="0.2">
      <c r="A42" s="36" t="s">
        <v>107</v>
      </c>
      <c r="B42" s="37"/>
      <c r="C42" s="38"/>
      <c r="D42" s="38">
        <f>SUM(D14,D25,D26,D27,D33,D40,D41)</f>
        <v>465.80759999999998</v>
      </c>
      <c r="E42" s="37"/>
      <c r="F42" s="38"/>
      <c r="G42" s="38">
        <f>SUM(G14,G25,G26,G27,G33,G40,G41)</f>
        <v>470.19760000000008</v>
      </c>
      <c r="H42" s="38">
        <f t="shared" si="1"/>
        <v>4.3900000000001</v>
      </c>
      <c r="I42" s="39">
        <f>IF(ISERROR(H42/D42),0,(H42/D42))</f>
        <v>9.4244920005601036E-3</v>
      </c>
      <c r="J42" s="39">
        <f t="shared" si="10"/>
        <v>0.95238095238095244</v>
      </c>
      <c r="K42" s="40"/>
    </row>
    <row r="43" spans="1:11" x14ac:dyDescent="0.2">
      <c r="A43" s="143" t="s">
        <v>108</v>
      </c>
      <c r="B43" s="42"/>
      <c r="C43" s="25">
        <v>0.13</v>
      </c>
      <c r="D43" s="25">
        <f>D42*C43</f>
        <v>60.554988000000002</v>
      </c>
      <c r="E43" s="25"/>
      <c r="F43" s="25">
        <f>C43</f>
        <v>0.13</v>
      </c>
      <c r="G43" s="25">
        <f>G42*F43</f>
        <v>61.125688000000011</v>
      </c>
      <c r="H43" s="25">
        <f t="shared" si="1"/>
        <v>0.57070000000000931</v>
      </c>
      <c r="I43" s="43">
        <f t="shared" si="2"/>
        <v>9.4244920005600412E-3</v>
      </c>
      <c r="J43" s="43">
        <f t="shared" si="10"/>
        <v>0.12380952380952383</v>
      </c>
      <c r="K43" s="44"/>
    </row>
    <row r="44" spans="1:11" s="1" customFormat="1" x14ac:dyDescent="0.2">
      <c r="A44" s="45" t="s">
        <v>109</v>
      </c>
      <c r="B44" s="23"/>
      <c r="C44" s="24"/>
      <c r="D44" s="24">
        <f>SUM(D42:D43)</f>
        <v>526.36258799999996</v>
      </c>
      <c r="E44" s="24"/>
      <c r="F44" s="24"/>
      <c r="G44" s="24">
        <f>SUM(G42:G43)</f>
        <v>531.32328800000005</v>
      </c>
      <c r="H44" s="24">
        <f t="shared" si="1"/>
        <v>4.960700000000088</v>
      </c>
      <c r="I44" s="26">
        <f t="shared" si="2"/>
        <v>9.4244920005600551E-3</v>
      </c>
      <c r="J44" s="26">
        <f t="shared" si="10"/>
        <v>1.0761904761904761</v>
      </c>
      <c r="K44" s="46"/>
    </row>
    <row r="45" spans="1:11" x14ac:dyDescent="0.2">
      <c r="A45" s="41" t="s">
        <v>110</v>
      </c>
      <c r="B45" s="42"/>
      <c r="C45" s="25">
        <v>-0.08</v>
      </c>
      <c r="D45" s="25">
        <f>D42*C45</f>
        <v>-37.264608000000003</v>
      </c>
      <c r="E45" s="25"/>
      <c r="F45" s="25">
        <f>C45</f>
        <v>-0.08</v>
      </c>
      <c r="G45" s="25">
        <f>G42*F45</f>
        <v>-37.615808000000008</v>
      </c>
      <c r="H45" s="25">
        <f t="shared" si="1"/>
        <v>-0.35120000000000573</v>
      </c>
      <c r="I45" s="43">
        <f t="shared" si="2"/>
        <v>9.4244920005600412E-3</v>
      </c>
      <c r="J45" s="43">
        <f t="shared" si="10"/>
        <v>-7.6190476190476197E-2</v>
      </c>
      <c r="K45" s="44"/>
    </row>
    <row r="46" spans="1:11" s="1" customFormat="1" ht="13.5" thickBot="1" x14ac:dyDescent="0.25">
      <c r="A46" s="47" t="s">
        <v>111</v>
      </c>
      <c r="B46" s="48"/>
      <c r="C46" s="49"/>
      <c r="D46" s="49">
        <f>SUM(D44:D45)</f>
        <v>489.09797999999995</v>
      </c>
      <c r="E46" s="49"/>
      <c r="F46" s="49"/>
      <c r="G46" s="49">
        <f>SUM(G44:G45)</f>
        <v>493.70748000000003</v>
      </c>
      <c r="H46" s="49">
        <f t="shared" si="1"/>
        <v>4.6095000000000823</v>
      </c>
      <c r="I46" s="50">
        <f t="shared" si="2"/>
        <v>9.4244920005600568E-3</v>
      </c>
      <c r="J46" s="50">
        <f t="shared" si="10"/>
        <v>1</v>
      </c>
      <c r="K46" s="51"/>
    </row>
    <row r="47" spans="1:11" x14ac:dyDescent="0.2">
      <c r="A47" s="52" t="s">
        <v>112</v>
      </c>
      <c r="B47" s="53"/>
      <c r="C47" s="54"/>
      <c r="D47" s="54">
        <f>SUM(D18,D25,D26,D28,D33,D40,D41)</f>
        <v>458.24248</v>
      </c>
      <c r="E47" s="54"/>
      <c r="F47" s="54"/>
      <c r="G47" s="54">
        <f>SUM(G18,G25,G26,G28,G33,G40,G41)</f>
        <v>462.63248000000004</v>
      </c>
      <c r="H47" s="54">
        <f>G47-D47</f>
        <v>4.3900000000000432</v>
      </c>
      <c r="I47" s="55">
        <f>IF(ISERROR(H47/D47),0,(H47/D47))</f>
        <v>9.5800808340598259E-3</v>
      </c>
      <c r="J47" s="55"/>
      <c r="K47" s="56">
        <f>G47/$G$51</f>
        <v>0.95238095238095244</v>
      </c>
    </row>
    <row r="48" spans="1:11" x14ac:dyDescent="0.2">
      <c r="A48" s="57" t="s">
        <v>108</v>
      </c>
      <c r="B48" s="58"/>
      <c r="C48" s="30">
        <v>0.13</v>
      </c>
      <c r="D48" s="30">
        <f>D47*C48</f>
        <v>59.571522399999999</v>
      </c>
      <c r="E48" s="30"/>
      <c r="F48" s="30">
        <f>C48</f>
        <v>0.13</v>
      </c>
      <c r="G48" s="30">
        <f>G47*F48</f>
        <v>60.142222400000009</v>
      </c>
      <c r="H48" s="30">
        <f>G48-D48</f>
        <v>0.57070000000000931</v>
      </c>
      <c r="I48" s="31">
        <f>IF(ISERROR(H48/D48),0,(H48/D48))</f>
        <v>9.5800808340598884E-3</v>
      </c>
      <c r="J48" s="31"/>
      <c r="K48" s="59">
        <f>G48/$G$51</f>
        <v>0.12380952380952381</v>
      </c>
    </row>
    <row r="49" spans="1:11" x14ac:dyDescent="0.2">
      <c r="A49" s="136" t="s">
        <v>113</v>
      </c>
      <c r="B49" s="28"/>
      <c r="C49" s="29"/>
      <c r="D49" s="29">
        <f>SUM(D47:D48)</f>
        <v>517.81400240000005</v>
      </c>
      <c r="E49" s="29"/>
      <c r="F49" s="29"/>
      <c r="G49" s="29">
        <f>SUM(G47:G48)</f>
        <v>522.77470240000002</v>
      </c>
      <c r="H49" s="29">
        <f>G49-D49</f>
        <v>4.9606999999999744</v>
      </c>
      <c r="I49" s="32">
        <f>IF(ISERROR(H49/D49),0,(H49/D49))</f>
        <v>9.5800808340596819E-3</v>
      </c>
      <c r="J49" s="32"/>
      <c r="K49" s="61">
        <f>G49/$G$51</f>
        <v>1.0761904761904761</v>
      </c>
    </row>
    <row r="50" spans="1:11" x14ac:dyDescent="0.2">
      <c r="A50" s="57" t="s">
        <v>110</v>
      </c>
      <c r="B50" s="58"/>
      <c r="C50" s="30">
        <v>-0.08</v>
      </c>
      <c r="D50" s="30">
        <f>D47*C50</f>
        <v>-36.659398400000001</v>
      </c>
      <c r="E50" s="30"/>
      <c r="F50" s="30">
        <f>C50</f>
        <v>-0.08</v>
      </c>
      <c r="G50" s="30">
        <f>G47*F50</f>
        <v>-37.010598400000006</v>
      </c>
      <c r="H50" s="30">
        <f>G50-D50</f>
        <v>-0.35120000000000573</v>
      </c>
      <c r="I50" s="31">
        <f>IF(ISERROR(H50/D50),0,(H50/D50))</f>
        <v>9.5800808340598884E-3</v>
      </c>
      <c r="J50" s="31"/>
      <c r="K50" s="59">
        <f>G50/$G$51</f>
        <v>-7.6190476190476197E-2</v>
      </c>
    </row>
    <row r="51" spans="1:11" ht="13.5" thickBot="1" x14ac:dyDescent="0.25">
      <c r="A51" s="62" t="s">
        <v>114</v>
      </c>
      <c r="B51" s="63"/>
      <c r="C51" s="64"/>
      <c r="D51" s="64">
        <f>SUM(D49:D50)</f>
        <v>481.15460400000006</v>
      </c>
      <c r="E51" s="64"/>
      <c r="F51" s="64"/>
      <c r="G51" s="64">
        <f>SUM(G49:G50)</f>
        <v>485.76410400000003</v>
      </c>
      <c r="H51" s="64">
        <f>G51-D51</f>
        <v>4.6094999999999686</v>
      </c>
      <c r="I51" s="65">
        <f>IF(ISERROR(H51/D51),0,(H51/D51))</f>
        <v>9.5800808340596646E-3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theme="1" tint="0.499984740745262"/>
    <pageSetUpPr fitToPage="1"/>
  </sheetPr>
  <dimension ref="A1:K68"/>
  <sheetViews>
    <sheetView tabSelected="1" zoomScaleNormal="100" zoomScaleSheetLayoutView="12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4</v>
      </c>
    </row>
    <row r="4" spans="1:11" x14ac:dyDescent="0.2">
      <c r="A4" s="14" t="s">
        <v>62</v>
      </c>
      <c r="B4" s="78">
        <f>'Data for Bill Impacts_HONI Avg '!C7</f>
        <v>1982</v>
      </c>
    </row>
    <row r="5" spans="1:11" x14ac:dyDescent="0.2">
      <c r="A5" s="14" t="s">
        <v>16</v>
      </c>
      <c r="B5" s="14">
        <f>VLOOKUP($B$3,'Data for Bill Impacts'!$A$3:$Y$15,5,0)</f>
        <v>0</v>
      </c>
    </row>
    <row r="6" spans="1:11" x14ac:dyDescent="0.2">
      <c r="A6" s="14" t="s">
        <v>20</v>
      </c>
      <c r="B6" s="14">
        <f>VLOOKUP($B$3,'Data for Bill Impacts'!$A$3:$Y$15,2,0)</f>
        <v>1.0960000000000001</v>
      </c>
    </row>
    <row r="7" spans="1:11" x14ac:dyDescent="0.2">
      <c r="A7" s="14" t="s">
        <v>15</v>
      </c>
      <c r="B7" s="14">
        <f>VLOOKUP($B$3,'Data for Bill Impacts'!$A$3:$Y$15,4,0)</f>
        <v>750</v>
      </c>
    </row>
    <row r="8" spans="1:11" x14ac:dyDescent="0.2">
      <c r="A8" s="14" t="s">
        <v>82</v>
      </c>
      <c r="B8" s="14">
        <f>B4*B6</f>
        <v>2172.2720000000004</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0.15783061561647863</v>
      </c>
      <c r="K12" s="105"/>
    </row>
    <row r="13" spans="1:11" x14ac:dyDescent="0.2">
      <c r="A13" s="106" t="s">
        <v>32</v>
      </c>
      <c r="B13" s="72">
        <f>IF(B4&gt;B7,(B4)-B7,0)</f>
        <v>1232</v>
      </c>
      <c r="C13" s="20">
        <v>0.121</v>
      </c>
      <c r="D13" s="21">
        <f>B13*C13</f>
        <v>149.072</v>
      </c>
      <c r="E13" s="72">
        <f t="shared" ref="E13" si="0">B13</f>
        <v>1232</v>
      </c>
      <c r="F13" s="20">
        <f>C13</f>
        <v>0.121</v>
      </c>
      <c r="G13" s="21">
        <f>E13*F13</f>
        <v>149.072</v>
      </c>
      <c r="H13" s="21">
        <f t="shared" ref="H13:H46" si="1">G13-D13</f>
        <v>0</v>
      </c>
      <c r="I13" s="22">
        <f t="shared" ref="I13:I46" si="2">IF(ISERROR(H13/D13),0,(H13/D13))</f>
        <v>0</v>
      </c>
      <c r="J13" s="22">
        <f>G13/$G$46</f>
        <v>0.30457120428711587</v>
      </c>
      <c r="K13" s="107"/>
    </row>
    <row r="14" spans="1:11" s="1" customFormat="1" x14ac:dyDescent="0.2">
      <c r="A14" s="45" t="s">
        <v>33</v>
      </c>
      <c r="B14" s="23"/>
      <c r="C14" s="24"/>
      <c r="D14" s="24">
        <f>SUM(D12:D13)</f>
        <v>226.322</v>
      </c>
      <c r="E14" s="75"/>
      <c r="F14" s="24"/>
      <c r="G14" s="24">
        <f>SUM(G12:G13)</f>
        <v>226.322</v>
      </c>
      <c r="H14" s="24">
        <f t="shared" si="1"/>
        <v>0</v>
      </c>
      <c r="I14" s="26">
        <f t="shared" si="2"/>
        <v>0</v>
      </c>
      <c r="J14" s="26">
        <f>G14/$G$46</f>
        <v>0.46240181990359447</v>
      </c>
      <c r="K14" s="107"/>
    </row>
    <row r="15" spans="1:11" s="1" customFormat="1" x14ac:dyDescent="0.2">
      <c r="A15" s="108" t="s">
        <v>34</v>
      </c>
      <c r="B15" s="74">
        <f>B4*0.65</f>
        <v>1288.3</v>
      </c>
      <c r="C15" s="27">
        <v>8.6999999999999994E-2</v>
      </c>
      <c r="D15" s="21">
        <f>B15*C15</f>
        <v>112.08209999999998</v>
      </c>
      <c r="E15" s="72">
        <f t="shared" ref="E15:F17" si="3">B15</f>
        <v>1288.3</v>
      </c>
      <c r="F15" s="27">
        <f t="shared" si="3"/>
        <v>8.6999999999999994E-2</v>
      </c>
      <c r="G15" s="21">
        <f>E15*F15</f>
        <v>112.08209999999998</v>
      </c>
      <c r="H15" s="21">
        <f t="shared" si="1"/>
        <v>0</v>
      </c>
      <c r="I15" s="22">
        <f t="shared" si="2"/>
        <v>0</v>
      </c>
      <c r="J15" s="22"/>
      <c r="K15" s="107">
        <f t="shared" ref="K15:K26" si="4">G15/$G$51</f>
        <v>0.23267814698767642</v>
      </c>
    </row>
    <row r="16" spans="1:11" s="1" customFormat="1" x14ac:dyDescent="0.2">
      <c r="A16" s="108" t="s">
        <v>35</v>
      </c>
      <c r="B16" s="74">
        <f>B4*0.17</f>
        <v>336.94</v>
      </c>
      <c r="C16" s="27">
        <v>0.13200000000000001</v>
      </c>
      <c r="D16" s="21">
        <f>B16*C16</f>
        <v>44.476080000000003</v>
      </c>
      <c r="E16" s="72">
        <f t="shared" si="3"/>
        <v>336.94</v>
      </c>
      <c r="F16" s="27">
        <f t="shared" si="3"/>
        <v>0.13200000000000001</v>
      </c>
      <c r="G16" s="21">
        <f>E16*F16</f>
        <v>44.476080000000003</v>
      </c>
      <c r="H16" s="21">
        <f t="shared" si="1"/>
        <v>0</v>
      </c>
      <c r="I16" s="22">
        <f t="shared" si="2"/>
        <v>0</v>
      </c>
      <c r="J16" s="22"/>
      <c r="K16" s="107">
        <f t="shared" si="4"/>
        <v>9.2330638698558079E-2</v>
      </c>
    </row>
    <row r="17" spans="1:11" s="1" customFormat="1" x14ac:dyDescent="0.2">
      <c r="A17" s="108" t="s">
        <v>36</v>
      </c>
      <c r="B17" s="74">
        <f>B4*0.18</f>
        <v>356.76</v>
      </c>
      <c r="C17" s="27">
        <v>0.18</v>
      </c>
      <c r="D17" s="21">
        <f>B17*C17</f>
        <v>64.216799999999992</v>
      </c>
      <c r="E17" s="72">
        <f t="shared" si="3"/>
        <v>356.76</v>
      </c>
      <c r="F17" s="27">
        <f t="shared" si="3"/>
        <v>0.18</v>
      </c>
      <c r="G17" s="21">
        <f>E17*F17</f>
        <v>64.216799999999992</v>
      </c>
      <c r="H17" s="21">
        <f t="shared" si="1"/>
        <v>0</v>
      </c>
      <c r="I17" s="22">
        <f t="shared" si="2"/>
        <v>0</v>
      </c>
      <c r="J17" s="22"/>
      <c r="K17" s="107">
        <f t="shared" si="4"/>
        <v>0.13331161737224961</v>
      </c>
    </row>
    <row r="18" spans="1:11" s="1" customFormat="1" x14ac:dyDescent="0.2">
      <c r="A18" s="60" t="s">
        <v>37</v>
      </c>
      <c r="B18" s="28"/>
      <c r="C18" s="29"/>
      <c r="D18" s="29">
        <f>SUM(D15:D17)</f>
        <v>220.77497999999997</v>
      </c>
      <c r="E18" s="76"/>
      <c r="F18" s="29"/>
      <c r="G18" s="29">
        <f>SUM(G15:G17)</f>
        <v>220.77497999999997</v>
      </c>
      <c r="H18" s="30">
        <f t="shared" si="1"/>
        <v>0</v>
      </c>
      <c r="I18" s="31">
        <f t="shared" si="2"/>
        <v>0</v>
      </c>
      <c r="J18" s="32">
        <f t="shared" ref="J18:J23" si="5">G18/$G$46</f>
        <v>0.45106862143839155</v>
      </c>
      <c r="K18" s="61">
        <f t="shared" si="4"/>
        <v>0.45832040305848409</v>
      </c>
    </row>
    <row r="19" spans="1:11" x14ac:dyDescent="0.2">
      <c r="A19" s="106" t="s">
        <v>38</v>
      </c>
      <c r="B19" s="72">
        <v>1</v>
      </c>
      <c r="C19" s="77">
        <f>VLOOKUP($B$3,'Data for Bill Impacts'!$A$3:$Y$15,7,0)</f>
        <v>31.41</v>
      </c>
      <c r="D19" s="21">
        <f>B19*C19</f>
        <v>31.41</v>
      </c>
      <c r="E19" s="72">
        <f t="shared" ref="E19:E41" si="6">B19</f>
        <v>1</v>
      </c>
      <c r="F19" s="77">
        <f>VLOOKUP($B$3,'Data for Bill Impacts'!$A$3:$Y$15,17,0)</f>
        <v>32</v>
      </c>
      <c r="G19" s="21">
        <f>E19*F19</f>
        <v>32</v>
      </c>
      <c r="H19" s="21">
        <f t="shared" si="1"/>
        <v>0.58999999999999986</v>
      </c>
      <c r="I19" s="22">
        <f t="shared" si="2"/>
        <v>1.8783826806749438E-2</v>
      </c>
      <c r="J19" s="22">
        <f t="shared" si="5"/>
        <v>6.5379672488379489E-2</v>
      </c>
      <c r="K19" s="107">
        <f t="shared" si="4"/>
        <v>6.6430774437717055E-2</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1982</v>
      </c>
      <c r="C23" s="125">
        <f>VLOOKUP($B$3,'Data for Bill Impacts'!$A$3:$Y$15,10,0)</f>
        <v>6.5199999999999994E-2</v>
      </c>
      <c r="D23" s="21">
        <f>B23*C23</f>
        <v>129.22639999999998</v>
      </c>
      <c r="E23" s="72">
        <f t="shared" si="6"/>
        <v>1982</v>
      </c>
      <c r="F23" s="77">
        <f>VLOOKUP($B$3,'Data for Bill Impacts'!$A$3:$Y$15,19,0)</f>
        <v>6.7100000000000007E-2</v>
      </c>
      <c r="G23" s="21">
        <f>E23*F23</f>
        <v>132.99220000000003</v>
      </c>
      <c r="H23" s="21">
        <f t="shared" si="1"/>
        <v>3.7658000000000413</v>
      </c>
      <c r="I23" s="22">
        <f t="shared" si="2"/>
        <v>2.9141104294478852E-2</v>
      </c>
      <c r="J23" s="22">
        <f t="shared" si="5"/>
        <v>0.27171832748465824</v>
      </c>
      <c r="K23" s="107">
        <f t="shared" si="4"/>
        <v>0.27608671375549232</v>
      </c>
    </row>
    <row r="24" spans="1:11" x14ac:dyDescent="0.2">
      <c r="A24" s="106" t="s">
        <v>129</v>
      </c>
      <c r="B24" s="72">
        <f>IF($B$9="kWh",$B$4,$B$5)</f>
        <v>1982</v>
      </c>
      <c r="C24" s="77">
        <f>VLOOKUP($B$3,'Data for Bill Impacts'!$A$3:$Y$15,14,0)</f>
        <v>2.0000000000000001E-4</v>
      </c>
      <c r="D24" s="33">
        <f>B24*C24</f>
        <v>0.39640000000000003</v>
      </c>
      <c r="E24" s="72">
        <f t="shared" si="6"/>
        <v>1982</v>
      </c>
      <c r="F24" s="77">
        <f>VLOOKUP($B$3,'Data for Bill Impacts'!$A$3:$Y$15,23,0)</f>
        <v>2.0000000000000001E-4</v>
      </c>
      <c r="G24" s="33">
        <f>E24*F24</f>
        <v>0.39640000000000003</v>
      </c>
      <c r="H24" s="21">
        <f t="shared" si="1"/>
        <v>0</v>
      </c>
      <c r="I24" s="22">
        <f>IF(ISERROR(H24/D24),0,(H24/D24))</f>
        <v>0</v>
      </c>
      <c r="J24" s="22">
        <f t="shared" ref="J24" si="9">G24/$G$46</f>
        <v>8.0989069294980101E-4</v>
      </c>
      <c r="K24" s="107">
        <f t="shared" si="4"/>
        <v>8.2291121834722003E-4</v>
      </c>
    </row>
    <row r="25" spans="1:11" s="1" customFormat="1" x14ac:dyDescent="0.2">
      <c r="A25" s="109" t="s">
        <v>72</v>
      </c>
      <c r="B25" s="73"/>
      <c r="C25" s="34"/>
      <c r="D25" s="34">
        <f>SUM(D19:D24)</f>
        <v>161.03279999999998</v>
      </c>
      <c r="E25" s="72"/>
      <c r="F25" s="34"/>
      <c r="G25" s="34">
        <f>SUM(G19:G24)</f>
        <v>165.38860000000003</v>
      </c>
      <c r="H25" s="34">
        <f t="shared" si="1"/>
        <v>4.3558000000000447</v>
      </c>
      <c r="I25" s="35">
        <f t="shared" si="2"/>
        <v>2.7049147751265861E-2</v>
      </c>
      <c r="J25" s="35">
        <f>G25/$G$46</f>
        <v>0.33790789066598753</v>
      </c>
      <c r="K25" s="110">
        <f t="shared" si="4"/>
        <v>0.34334039941155664</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1.6140606645568688E-3</v>
      </c>
      <c r="K26" s="107">
        <f t="shared" si="4"/>
        <v>1.6400097439311398E-3</v>
      </c>
    </row>
    <row r="27" spans="1:11" s="1" customFormat="1" x14ac:dyDescent="0.2">
      <c r="A27" s="118" t="s">
        <v>75</v>
      </c>
      <c r="B27" s="119">
        <f>B8-B4</f>
        <v>190.27200000000039</v>
      </c>
      <c r="C27" s="120">
        <f>IF(B4&gt;B7,C13,C12)</f>
        <v>0.121</v>
      </c>
      <c r="D27" s="21">
        <f>B27*C27</f>
        <v>23.022912000000048</v>
      </c>
      <c r="E27" s="72">
        <f>B27</f>
        <v>190.27200000000039</v>
      </c>
      <c r="F27" s="120">
        <f>C27</f>
        <v>0.121</v>
      </c>
      <c r="G27" s="21">
        <f>E27*F27</f>
        <v>23.022912000000048</v>
      </c>
      <c r="H27" s="21">
        <f t="shared" si="1"/>
        <v>0</v>
      </c>
      <c r="I27" s="22">
        <f>IF(ISERROR(H27/D27),0,(H27/D27))</f>
        <v>0</v>
      </c>
      <c r="J27" s="22">
        <f t="shared" ref="J27:J46" si="10">G27/$G$46</f>
        <v>4.7038451446524535E-2</v>
      </c>
      <c r="K27" s="107">
        <f t="shared" ref="K27:K41" si="11">G27/$G$51</f>
        <v>4.7794683561606634E-2</v>
      </c>
    </row>
    <row r="28" spans="1:11" s="1" customFormat="1" x14ac:dyDescent="0.2">
      <c r="A28" s="118" t="s">
        <v>74</v>
      </c>
      <c r="B28" s="119">
        <f>B8-B4</f>
        <v>190.27200000000039</v>
      </c>
      <c r="C28" s="120">
        <f>0.65*C15+0.17*C16+0.18*C17</f>
        <v>0.11139</v>
      </c>
      <c r="D28" s="21">
        <f>B28*C28</f>
        <v>21.194398080000045</v>
      </c>
      <c r="E28" s="72">
        <f>B28</f>
        <v>190.27200000000039</v>
      </c>
      <c r="F28" s="120">
        <f>C28</f>
        <v>0.11139</v>
      </c>
      <c r="G28" s="21">
        <f>E28*F28</f>
        <v>21.194398080000045</v>
      </c>
      <c r="H28" s="21">
        <f t="shared" si="1"/>
        <v>0</v>
      </c>
      <c r="I28" s="22">
        <f>IF(ISERROR(H28/D28),0,(H28/D28))</f>
        <v>0</v>
      </c>
      <c r="J28" s="22">
        <f t="shared" si="10"/>
        <v>4.3302587658085687E-2</v>
      </c>
      <c r="K28" s="107">
        <f t="shared" si="11"/>
        <v>4.3998758693614574E-2</v>
      </c>
    </row>
    <row r="29" spans="1:11" s="1" customFormat="1" x14ac:dyDescent="0.2">
      <c r="A29" s="109" t="s">
        <v>78</v>
      </c>
      <c r="B29" s="73"/>
      <c r="C29" s="34"/>
      <c r="D29" s="34">
        <f>SUM(D25,D26:D27)</f>
        <v>184.84571200000002</v>
      </c>
      <c r="E29" s="72"/>
      <c r="F29" s="34"/>
      <c r="G29" s="34">
        <f>SUM(G25,G26:G27)</f>
        <v>189.20151200000006</v>
      </c>
      <c r="H29" s="34">
        <f t="shared" si="1"/>
        <v>4.3558000000000447</v>
      </c>
      <c r="I29" s="35">
        <f>IF(ISERROR(H29/D29),0,(H29/D29))</f>
        <v>2.3564517417639878E-2</v>
      </c>
      <c r="J29" s="35">
        <f t="shared" si="10"/>
        <v>0.38656040277706893</v>
      </c>
      <c r="K29" s="110">
        <f t="shared" si="11"/>
        <v>0.39277509271709438</v>
      </c>
    </row>
    <row r="30" spans="1:11" s="1" customFormat="1" x14ac:dyDescent="0.2">
      <c r="A30" s="109" t="s">
        <v>77</v>
      </c>
      <c r="B30" s="73"/>
      <c r="C30" s="34"/>
      <c r="D30" s="34">
        <f>SUM(D25,D26,D28)</f>
        <v>183.01719808000001</v>
      </c>
      <c r="E30" s="72"/>
      <c r="F30" s="34"/>
      <c r="G30" s="34">
        <f>SUM(G25,G26,G28)</f>
        <v>187.37299808000006</v>
      </c>
      <c r="H30" s="34">
        <f t="shared" si="1"/>
        <v>4.3558000000000447</v>
      </c>
      <c r="I30" s="35">
        <f>IF(ISERROR(H30/D30),0,(H30/D30))</f>
        <v>2.3799949106947035E-2</v>
      </c>
      <c r="J30" s="35">
        <f t="shared" si="10"/>
        <v>0.38282453898863011</v>
      </c>
      <c r="K30" s="110">
        <f t="shared" si="11"/>
        <v>0.3889791678491023</v>
      </c>
    </row>
    <row r="31" spans="1:11" x14ac:dyDescent="0.2">
      <c r="A31" s="106" t="s">
        <v>40</v>
      </c>
      <c r="B31" s="72">
        <f>B8</f>
        <v>2172.2720000000004</v>
      </c>
      <c r="C31" s="125">
        <f>VLOOKUP($B$3,'Data for Bill Impacts'!$A$3:$Y$15,15,0)</f>
        <v>5.4999999999999997E-3</v>
      </c>
      <c r="D31" s="21">
        <f>B31*C31</f>
        <v>11.947496000000001</v>
      </c>
      <c r="E31" s="72">
        <f t="shared" si="6"/>
        <v>2172.2720000000004</v>
      </c>
      <c r="F31" s="77">
        <f>VLOOKUP($B$3,'Data for Bill Impacts'!$A$3:$Y$15,24,0)</f>
        <v>5.4999999999999997E-3</v>
      </c>
      <c r="G31" s="21">
        <f>E31*F31</f>
        <v>11.947496000000001</v>
      </c>
      <c r="H31" s="21">
        <f t="shared" si="1"/>
        <v>0</v>
      </c>
      <c r="I31" s="22">
        <f t="shared" si="2"/>
        <v>0</v>
      </c>
      <c r="J31" s="22">
        <f t="shared" si="10"/>
        <v>2.4410105485507004E-2</v>
      </c>
      <c r="K31" s="107">
        <f t="shared" si="11"/>
        <v>2.4802544120985211E-2</v>
      </c>
    </row>
    <row r="32" spans="1:11" x14ac:dyDescent="0.2">
      <c r="A32" s="106" t="s">
        <v>41</v>
      </c>
      <c r="B32" s="72">
        <f>B8</f>
        <v>2172.2720000000004</v>
      </c>
      <c r="C32" s="125">
        <f>VLOOKUP($B$3,'Data for Bill Impacts'!$A$3:$Y$15,16,0)</f>
        <v>4.4999999999999997E-3</v>
      </c>
      <c r="D32" s="21">
        <f>B32*C32</f>
        <v>9.7752240000000015</v>
      </c>
      <c r="E32" s="72">
        <f t="shared" si="6"/>
        <v>2172.2720000000004</v>
      </c>
      <c r="F32" s="77">
        <f>VLOOKUP($B$3,'Data for Bill Impacts'!$A$3:$Y$15,25,0)</f>
        <v>4.4999999999999997E-3</v>
      </c>
      <c r="G32" s="21">
        <f>E32*F32</f>
        <v>9.7752240000000015</v>
      </c>
      <c r="H32" s="21">
        <f t="shared" si="1"/>
        <v>0</v>
      </c>
      <c r="I32" s="22">
        <f t="shared" si="2"/>
        <v>0</v>
      </c>
      <c r="J32" s="22">
        <f t="shared" si="10"/>
        <v>1.9971904488142095E-2</v>
      </c>
      <c r="K32" s="107">
        <f t="shared" si="11"/>
        <v>2.0292990644442448E-2</v>
      </c>
    </row>
    <row r="33" spans="1:11" s="1" customFormat="1" x14ac:dyDescent="0.2">
      <c r="A33" s="109" t="s">
        <v>76</v>
      </c>
      <c r="B33" s="73"/>
      <c r="C33" s="34"/>
      <c r="D33" s="34">
        <f>SUM(D31:D32)</f>
        <v>21.722720000000002</v>
      </c>
      <c r="E33" s="72"/>
      <c r="F33" s="34"/>
      <c r="G33" s="34">
        <f>SUM(G31:G32)</f>
        <v>21.722720000000002</v>
      </c>
      <c r="H33" s="34">
        <f t="shared" si="1"/>
        <v>0</v>
      </c>
      <c r="I33" s="35">
        <f t="shared" si="2"/>
        <v>0</v>
      </c>
      <c r="J33" s="35">
        <f t="shared" si="10"/>
        <v>4.4382009973649099E-2</v>
      </c>
      <c r="K33" s="110">
        <f t="shared" si="11"/>
        <v>4.5095534765427658E-2</v>
      </c>
    </row>
    <row r="34" spans="1:11" s="1" customFormat="1" x14ac:dyDescent="0.2">
      <c r="A34" s="109" t="s">
        <v>93</v>
      </c>
      <c r="B34" s="73"/>
      <c r="C34" s="34"/>
      <c r="D34" s="34">
        <f>D29+D33</f>
        <v>206.56843200000003</v>
      </c>
      <c r="E34" s="72"/>
      <c r="F34" s="34"/>
      <c r="G34" s="34">
        <f>G29+G33</f>
        <v>210.92423200000007</v>
      </c>
      <c r="H34" s="34">
        <f t="shared" si="1"/>
        <v>4.3558000000000447</v>
      </c>
      <c r="I34" s="35">
        <f t="shared" si="2"/>
        <v>2.1086474626481378E-2</v>
      </c>
      <c r="J34" s="35">
        <f t="shared" si="10"/>
        <v>0.43094241275071804</v>
      </c>
      <c r="K34" s="110">
        <f t="shared" si="11"/>
        <v>0.43787062748252203</v>
      </c>
    </row>
    <row r="35" spans="1:11" s="1" customFormat="1" x14ac:dyDescent="0.2">
      <c r="A35" s="109" t="s">
        <v>94</v>
      </c>
      <c r="B35" s="73"/>
      <c r="C35" s="34"/>
      <c r="D35" s="34">
        <f>D30+D33</f>
        <v>204.73991808000002</v>
      </c>
      <c r="E35" s="72"/>
      <c r="F35" s="34"/>
      <c r="G35" s="34">
        <f>G30+G33</f>
        <v>209.09571808000007</v>
      </c>
      <c r="H35" s="34">
        <f t="shared" si="1"/>
        <v>4.3558000000000447</v>
      </c>
      <c r="I35" s="35">
        <f t="shared" si="2"/>
        <v>2.1274796047823272E-2</v>
      </c>
      <c r="J35" s="35">
        <f t="shared" si="10"/>
        <v>0.42720654896227922</v>
      </c>
      <c r="K35" s="110">
        <f t="shared" si="11"/>
        <v>0.43407470261452996</v>
      </c>
    </row>
    <row r="36" spans="1:11" x14ac:dyDescent="0.2">
      <c r="A36" s="106" t="s">
        <v>42</v>
      </c>
      <c r="B36" s="72">
        <f>B8</f>
        <v>2172.2720000000004</v>
      </c>
      <c r="C36" s="33">
        <v>3.5999999999999999E-3</v>
      </c>
      <c r="D36" s="21">
        <f>B36*C36</f>
        <v>7.820179200000001</v>
      </c>
      <c r="E36" s="72">
        <f t="shared" si="6"/>
        <v>2172.2720000000004</v>
      </c>
      <c r="F36" s="33">
        <v>3.5999999999999999E-3</v>
      </c>
      <c r="G36" s="21">
        <f>E36*F36</f>
        <v>7.820179200000001</v>
      </c>
      <c r="H36" s="21">
        <f t="shared" si="1"/>
        <v>0</v>
      </c>
      <c r="I36" s="22">
        <f t="shared" si="2"/>
        <v>0</v>
      </c>
      <c r="J36" s="22">
        <f t="shared" si="10"/>
        <v>1.5977523590513677E-2</v>
      </c>
      <c r="K36" s="107">
        <f t="shared" si="11"/>
        <v>1.6234392515553957E-2</v>
      </c>
    </row>
    <row r="37" spans="1:11" x14ac:dyDescent="0.2">
      <c r="A37" s="106" t="s">
        <v>43</v>
      </c>
      <c r="B37" s="72">
        <f>B8</f>
        <v>2172.2720000000004</v>
      </c>
      <c r="C37" s="33">
        <v>2.0999999999999999E-3</v>
      </c>
      <c r="D37" s="21">
        <f>B37*C37</f>
        <v>4.5617712000000008</v>
      </c>
      <c r="E37" s="72">
        <f t="shared" si="6"/>
        <v>2172.2720000000004</v>
      </c>
      <c r="F37" s="33">
        <v>2.0999999999999999E-3</v>
      </c>
      <c r="G37" s="21">
        <f>E37*F37</f>
        <v>4.5617712000000008</v>
      </c>
      <c r="H37" s="21">
        <f>G37-D37</f>
        <v>0</v>
      </c>
      <c r="I37" s="22">
        <f t="shared" si="2"/>
        <v>0</v>
      </c>
      <c r="J37" s="22">
        <f t="shared" si="10"/>
        <v>9.320222094466311E-3</v>
      </c>
      <c r="K37" s="107">
        <f t="shared" si="11"/>
        <v>9.4700623007398094E-3</v>
      </c>
    </row>
    <row r="38" spans="1:11" x14ac:dyDescent="0.2">
      <c r="A38" s="106" t="s">
        <v>99</v>
      </c>
      <c r="B38" s="72">
        <f>B8</f>
        <v>2172.2720000000004</v>
      </c>
      <c r="C38" s="33">
        <v>1.1000000000000001E-3</v>
      </c>
      <c r="D38" s="21">
        <f>B38*C38</f>
        <v>2.3894992000000004</v>
      </c>
      <c r="E38" s="72">
        <f t="shared" si="6"/>
        <v>2172.2720000000004</v>
      </c>
      <c r="F38" s="33">
        <v>1.1000000000000001E-3</v>
      </c>
      <c r="G38" s="21">
        <f>E38*F38</f>
        <v>2.3894992000000004</v>
      </c>
      <c r="H38" s="21">
        <f>G38-D38</f>
        <v>0</v>
      </c>
      <c r="I38" s="22">
        <f t="shared" si="2"/>
        <v>0</v>
      </c>
      <c r="J38" s="22">
        <f t="shared" si="10"/>
        <v>4.882021097101401E-3</v>
      </c>
      <c r="K38" s="107">
        <f t="shared" si="11"/>
        <v>4.9605088241970428E-3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5.1077869131546476E-4</v>
      </c>
      <c r="K39" s="107">
        <f t="shared" si="11"/>
        <v>5.1899042529466449E-4</v>
      </c>
    </row>
    <row r="40" spans="1:11" s="1" customFormat="1" x14ac:dyDescent="0.2">
      <c r="A40" s="109" t="s">
        <v>45</v>
      </c>
      <c r="B40" s="73"/>
      <c r="C40" s="34"/>
      <c r="D40" s="34">
        <f>SUM(D36:D39)</f>
        <v>15.0214496</v>
      </c>
      <c r="E40" s="72"/>
      <c r="F40" s="34"/>
      <c r="G40" s="34">
        <f>SUM(G36:G39)</f>
        <v>15.0214496</v>
      </c>
      <c r="H40" s="34">
        <f t="shared" si="1"/>
        <v>0</v>
      </c>
      <c r="I40" s="35">
        <f t="shared" si="2"/>
        <v>0</v>
      </c>
      <c r="J40" s="35">
        <f t="shared" si="10"/>
        <v>3.0690545473396849E-2</v>
      </c>
      <c r="K40" s="110">
        <f t="shared" si="11"/>
        <v>3.1183954065785471E-2</v>
      </c>
    </row>
    <row r="41" spans="1:11" s="1" customFormat="1" ht="13.5" thickBot="1" x14ac:dyDescent="0.25">
      <c r="A41" s="111" t="s">
        <v>46</v>
      </c>
      <c r="B41" s="112">
        <f>B4</f>
        <v>1982</v>
      </c>
      <c r="C41" s="113">
        <v>7.0000000000000001E-3</v>
      </c>
      <c r="D41" s="114">
        <f>B41*C41</f>
        <v>13.874000000000001</v>
      </c>
      <c r="E41" s="115">
        <f t="shared" si="6"/>
        <v>1982</v>
      </c>
      <c r="F41" s="113">
        <f>C41</f>
        <v>7.0000000000000001E-3</v>
      </c>
      <c r="G41" s="114">
        <f>E41*F41</f>
        <v>13.874000000000001</v>
      </c>
      <c r="H41" s="114">
        <f t="shared" si="1"/>
        <v>0</v>
      </c>
      <c r="I41" s="116">
        <f t="shared" si="2"/>
        <v>0</v>
      </c>
      <c r="J41" s="116">
        <f t="shared" si="10"/>
        <v>2.8346174253243032E-2</v>
      </c>
      <c r="K41" s="117">
        <f t="shared" si="11"/>
        <v>2.8801892642152698E-2</v>
      </c>
    </row>
    <row r="42" spans="1:11" s="1" customFormat="1" x14ac:dyDescent="0.2">
      <c r="A42" s="36" t="s">
        <v>107</v>
      </c>
      <c r="B42" s="37"/>
      <c r="C42" s="38"/>
      <c r="D42" s="38">
        <f>SUM(D14,D25,D26,D27,D33,D40,D41)</f>
        <v>461.78588160000004</v>
      </c>
      <c r="E42" s="37"/>
      <c r="F42" s="38"/>
      <c r="G42" s="38">
        <f>SUM(G14,G25,G26,G27,G33,G40,G41)</f>
        <v>466.14168160000008</v>
      </c>
      <c r="H42" s="38">
        <f t="shared" si="1"/>
        <v>4.3558000000000447</v>
      </c>
      <c r="I42" s="39">
        <f>IF(ISERROR(H42/D42),0,(H42/D42))</f>
        <v>9.4325101168273671E-3</v>
      </c>
      <c r="J42" s="39">
        <f t="shared" si="10"/>
        <v>0.95238095238095244</v>
      </c>
      <c r="K42" s="40"/>
    </row>
    <row r="43" spans="1:11" x14ac:dyDescent="0.2">
      <c r="A43" s="143" t="s">
        <v>108</v>
      </c>
      <c r="B43" s="42"/>
      <c r="C43" s="25">
        <v>0.13</v>
      </c>
      <c r="D43" s="25">
        <f>D42*C43</f>
        <v>60.032164608000009</v>
      </c>
      <c r="E43" s="25"/>
      <c r="F43" s="25">
        <f>C43</f>
        <v>0.13</v>
      </c>
      <c r="G43" s="25">
        <f>G42*F43</f>
        <v>60.59841860800001</v>
      </c>
      <c r="H43" s="25">
        <f t="shared" si="1"/>
        <v>0.5662540000000007</v>
      </c>
      <c r="I43" s="43">
        <f t="shared" si="2"/>
        <v>9.4325101168272803E-3</v>
      </c>
      <c r="J43" s="43">
        <f t="shared" si="10"/>
        <v>0.12380952380952381</v>
      </c>
      <c r="K43" s="44"/>
    </row>
    <row r="44" spans="1:11" s="1" customFormat="1" x14ac:dyDescent="0.2">
      <c r="A44" s="45" t="s">
        <v>109</v>
      </c>
      <c r="B44" s="23"/>
      <c r="C44" s="24"/>
      <c r="D44" s="24">
        <f>SUM(D42:D43)</f>
        <v>521.81804620800006</v>
      </c>
      <c r="E44" s="24"/>
      <c r="F44" s="24"/>
      <c r="G44" s="24">
        <f>SUM(G42:G43)</f>
        <v>526.74010020800006</v>
      </c>
      <c r="H44" s="24">
        <f t="shared" si="1"/>
        <v>4.9220540000000028</v>
      </c>
      <c r="I44" s="26">
        <f t="shared" si="2"/>
        <v>9.4325101168272751E-3</v>
      </c>
      <c r="J44" s="26">
        <f t="shared" si="10"/>
        <v>1.0761904761904761</v>
      </c>
      <c r="K44" s="46"/>
    </row>
    <row r="45" spans="1:11" x14ac:dyDescent="0.2">
      <c r="A45" s="41" t="s">
        <v>110</v>
      </c>
      <c r="B45" s="42"/>
      <c r="C45" s="25">
        <v>-0.08</v>
      </c>
      <c r="D45" s="25">
        <f>D42*C45</f>
        <v>-36.942870528000007</v>
      </c>
      <c r="E45" s="25"/>
      <c r="F45" s="25">
        <f>C45</f>
        <v>-0.08</v>
      </c>
      <c r="G45" s="25">
        <f>G42*F45</f>
        <v>-37.291334528000007</v>
      </c>
      <c r="H45" s="25">
        <f t="shared" si="1"/>
        <v>-0.34846399999999988</v>
      </c>
      <c r="I45" s="43">
        <f t="shared" si="2"/>
        <v>9.4325101168272647E-3</v>
      </c>
      <c r="J45" s="43">
        <f t="shared" si="10"/>
        <v>-7.6190476190476197E-2</v>
      </c>
      <c r="K45" s="44"/>
    </row>
    <row r="46" spans="1:11" s="1" customFormat="1" ht="13.5" thickBot="1" x14ac:dyDescent="0.25">
      <c r="A46" s="47" t="s">
        <v>111</v>
      </c>
      <c r="B46" s="48"/>
      <c r="C46" s="49"/>
      <c r="D46" s="49">
        <f>SUM(D44:D45)</f>
        <v>484.87517568000004</v>
      </c>
      <c r="E46" s="49"/>
      <c r="F46" s="49"/>
      <c r="G46" s="49">
        <f>SUM(G44:G45)</f>
        <v>489.44876568000007</v>
      </c>
      <c r="H46" s="49">
        <f t="shared" si="1"/>
        <v>4.5735900000000242</v>
      </c>
      <c r="I46" s="50">
        <f t="shared" si="2"/>
        <v>9.4325101168273202E-3</v>
      </c>
      <c r="J46" s="50">
        <f t="shared" si="10"/>
        <v>1</v>
      </c>
      <c r="K46" s="51"/>
    </row>
    <row r="47" spans="1:11" x14ac:dyDescent="0.2">
      <c r="A47" s="52" t="s">
        <v>112</v>
      </c>
      <c r="B47" s="53"/>
      <c r="C47" s="54"/>
      <c r="D47" s="54">
        <f>SUM(D18,D25,D26,D28,D33,D40,D41)</f>
        <v>454.41034768000003</v>
      </c>
      <c r="E47" s="54"/>
      <c r="F47" s="54"/>
      <c r="G47" s="54">
        <f>SUM(G18,G25,G26,G28,G33,G40,G41)</f>
        <v>458.76614768000007</v>
      </c>
      <c r="H47" s="54">
        <f>G47-D47</f>
        <v>4.3558000000000447</v>
      </c>
      <c r="I47" s="55">
        <f>IF(ISERROR(H47/D47),0,(H47/D47))</f>
        <v>9.5856091795414825E-3</v>
      </c>
      <c r="J47" s="55"/>
      <c r="K47" s="56">
        <f>G47/$G$51</f>
        <v>0.95238095238095233</v>
      </c>
    </row>
    <row r="48" spans="1:11" x14ac:dyDescent="0.2">
      <c r="A48" s="57" t="s">
        <v>108</v>
      </c>
      <c r="B48" s="58"/>
      <c r="C48" s="30">
        <v>0.13</v>
      </c>
      <c r="D48" s="30">
        <f>D47*C48</f>
        <v>59.073345198400006</v>
      </c>
      <c r="E48" s="30"/>
      <c r="F48" s="30">
        <f>C48</f>
        <v>0.13</v>
      </c>
      <c r="G48" s="30">
        <f>G47*F48</f>
        <v>59.639599198400013</v>
      </c>
      <c r="H48" s="30">
        <f>G48-D48</f>
        <v>0.56625400000000781</v>
      </c>
      <c r="I48" s="31">
        <f>IF(ISERROR(H48/D48),0,(H48/D48))</f>
        <v>9.5856091795415155E-3</v>
      </c>
      <c r="J48" s="31"/>
      <c r="K48" s="59">
        <f>G48/$G$51</f>
        <v>0.12380952380952381</v>
      </c>
    </row>
    <row r="49" spans="1:11" x14ac:dyDescent="0.2">
      <c r="A49" s="136" t="s">
        <v>113</v>
      </c>
      <c r="B49" s="28"/>
      <c r="C49" s="29"/>
      <c r="D49" s="29">
        <f>SUM(D47:D48)</f>
        <v>513.48369287840001</v>
      </c>
      <c r="E49" s="29"/>
      <c r="F49" s="29"/>
      <c r="G49" s="29">
        <f>SUM(G47:G48)</f>
        <v>518.40574687840012</v>
      </c>
      <c r="H49" s="29">
        <f>G49-D49</f>
        <v>4.9220540000001165</v>
      </c>
      <c r="I49" s="32">
        <f>IF(ISERROR(H49/D49),0,(H49/D49))</f>
        <v>9.5856091795416109E-3</v>
      </c>
      <c r="J49" s="32"/>
      <c r="K49" s="61">
        <f>G49/$G$51</f>
        <v>1.0761904761904761</v>
      </c>
    </row>
    <row r="50" spans="1:11" x14ac:dyDescent="0.2">
      <c r="A50" s="57" t="s">
        <v>110</v>
      </c>
      <c r="B50" s="58"/>
      <c r="C50" s="30">
        <v>-0.08</v>
      </c>
      <c r="D50" s="30">
        <f>D47*C50</f>
        <v>-36.352827814400001</v>
      </c>
      <c r="E50" s="30"/>
      <c r="F50" s="30">
        <f>C50</f>
        <v>-0.08</v>
      </c>
      <c r="G50" s="30">
        <f>G47*F50</f>
        <v>-36.701291814400008</v>
      </c>
      <c r="H50" s="30">
        <f>G50-D50</f>
        <v>-0.34846400000000699</v>
      </c>
      <c r="I50" s="31">
        <f>IF(ISERROR(H50/D50),0,(H50/D50))</f>
        <v>9.5856091795415762E-3</v>
      </c>
      <c r="J50" s="31"/>
      <c r="K50" s="59">
        <f>G50/$G$51</f>
        <v>-7.6190476190476183E-2</v>
      </c>
    </row>
    <row r="51" spans="1:11" ht="13.5" thickBot="1" x14ac:dyDescent="0.25">
      <c r="A51" s="62" t="s">
        <v>114</v>
      </c>
      <c r="B51" s="63"/>
      <c r="C51" s="64"/>
      <c r="D51" s="64">
        <f>SUM(D49:D50)</f>
        <v>477.13086506399998</v>
      </c>
      <c r="E51" s="64"/>
      <c r="F51" s="64"/>
      <c r="G51" s="64">
        <f>SUM(G49:G50)</f>
        <v>481.70445506400011</v>
      </c>
      <c r="H51" s="64">
        <f>G51-D51</f>
        <v>4.5735900000001379</v>
      </c>
      <c r="I51" s="65">
        <f>IF(ISERROR(H51/D51),0,(H51/D51))</f>
        <v>9.5856091795416733E-3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1" tint="0.499984740745262"/>
    <pageSetUpPr fitToPage="1"/>
  </sheetPr>
  <dimension ref="A1:K68"/>
  <sheetViews>
    <sheetView tabSelected="1" topLeftCell="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4</v>
      </c>
    </row>
    <row r="4" spans="1:11" x14ac:dyDescent="0.2">
      <c r="A4" s="14" t="s">
        <v>62</v>
      </c>
      <c r="B4" s="148">
        <v>15000</v>
      </c>
    </row>
    <row r="5" spans="1:11" x14ac:dyDescent="0.2">
      <c r="A5" s="14" t="s">
        <v>16</v>
      </c>
      <c r="B5" s="14">
        <f>VLOOKUP($B$3,'Data for Bill Impacts'!$A$3:$Y$15,5,0)</f>
        <v>0</v>
      </c>
    </row>
    <row r="6" spans="1:11" x14ac:dyDescent="0.2">
      <c r="A6" s="14" t="s">
        <v>20</v>
      </c>
      <c r="B6" s="14">
        <f>VLOOKUP($B$3,'Data for Bill Impacts'!$A$3:$Y$15,2,0)</f>
        <v>1.0960000000000001</v>
      </c>
    </row>
    <row r="7" spans="1:11" x14ac:dyDescent="0.2">
      <c r="A7" s="14" t="s">
        <v>15</v>
      </c>
      <c r="B7" s="14">
        <f>VLOOKUP($B$3,'Data for Bill Impacts'!$A$3:$Y$15,4,0)</f>
        <v>750</v>
      </c>
    </row>
    <row r="8" spans="1:11" x14ac:dyDescent="0.2">
      <c r="A8" s="14" t="s">
        <v>82</v>
      </c>
      <c r="B8" s="14">
        <f>B4*B6</f>
        <v>16440</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2.1642016340016501E-2</v>
      </c>
      <c r="K12" s="105"/>
    </row>
    <row r="13" spans="1:11" x14ac:dyDescent="0.2">
      <c r="A13" s="106" t="s">
        <v>32</v>
      </c>
      <c r="B13" s="72">
        <f>IF(B4&gt;B7,(B4)-B7,0)</f>
        <v>14250</v>
      </c>
      <c r="C13" s="20">
        <v>0.121</v>
      </c>
      <c r="D13" s="21">
        <f>B13*C13</f>
        <v>1724.25</v>
      </c>
      <c r="E13" s="72">
        <f t="shared" ref="E13" si="0">B13</f>
        <v>14250</v>
      </c>
      <c r="F13" s="20">
        <f>C13</f>
        <v>0.121</v>
      </c>
      <c r="G13" s="21">
        <f>E13*F13</f>
        <v>1724.25</v>
      </c>
      <c r="H13" s="21">
        <f t="shared" ref="H13:H46" si="1">G13-D13</f>
        <v>0</v>
      </c>
      <c r="I13" s="22">
        <f t="shared" ref="I13:I46" si="2">IF(ISERROR(H13/D13),0,(H13/D13))</f>
        <v>0</v>
      </c>
      <c r="J13" s="22">
        <f>G13/$G$46</f>
        <v>0.48305820937570809</v>
      </c>
      <c r="K13" s="107"/>
    </row>
    <row r="14" spans="1:11" s="1" customFormat="1" x14ac:dyDescent="0.2">
      <c r="A14" s="45" t="s">
        <v>33</v>
      </c>
      <c r="B14" s="23"/>
      <c r="C14" s="24"/>
      <c r="D14" s="24">
        <f>SUM(D12:D13)</f>
        <v>1801.5</v>
      </c>
      <c r="E14" s="75"/>
      <c r="F14" s="24"/>
      <c r="G14" s="24">
        <f>SUM(G12:G13)</f>
        <v>1801.5</v>
      </c>
      <c r="H14" s="24">
        <f t="shared" si="1"/>
        <v>0</v>
      </c>
      <c r="I14" s="26">
        <f t="shared" si="2"/>
        <v>0</v>
      </c>
      <c r="J14" s="26">
        <f>G14/$G$46</f>
        <v>0.50470022571572459</v>
      </c>
      <c r="K14" s="107"/>
    </row>
    <row r="15" spans="1:11" s="1" customFormat="1" x14ac:dyDescent="0.2">
      <c r="A15" s="108" t="s">
        <v>34</v>
      </c>
      <c r="B15" s="74">
        <f>B4*0.65</f>
        <v>9750</v>
      </c>
      <c r="C15" s="27">
        <v>8.6999999999999994E-2</v>
      </c>
      <c r="D15" s="21">
        <f>B15*C15</f>
        <v>848.24999999999989</v>
      </c>
      <c r="E15" s="72">
        <f t="shared" ref="E15:F17" si="3">B15</f>
        <v>9750</v>
      </c>
      <c r="F15" s="27">
        <f t="shared" si="3"/>
        <v>8.6999999999999994E-2</v>
      </c>
      <c r="G15" s="21">
        <f>E15*F15</f>
        <v>848.24999999999989</v>
      </c>
      <c r="H15" s="21">
        <f t="shared" si="1"/>
        <v>0</v>
      </c>
      <c r="I15" s="22">
        <f t="shared" si="2"/>
        <v>0</v>
      </c>
      <c r="J15" s="22"/>
      <c r="K15" s="107">
        <f t="shared" ref="K15:K26" si="4">G15/$G$51</f>
        <v>0.24819084890539622</v>
      </c>
    </row>
    <row r="16" spans="1:11" s="1" customFormat="1" x14ac:dyDescent="0.2">
      <c r="A16" s="108" t="s">
        <v>35</v>
      </c>
      <c r="B16" s="74">
        <f>B4*0.17</f>
        <v>2550</v>
      </c>
      <c r="C16" s="27">
        <v>0.13200000000000001</v>
      </c>
      <c r="D16" s="21">
        <f>B16*C16</f>
        <v>336.6</v>
      </c>
      <c r="E16" s="72">
        <f t="shared" si="3"/>
        <v>2550</v>
      </c>
      <c r="F16" s="27">
        <f t="shared" si="3"/>
        <v>0.13200000000000001</v>
      </c>
      <c r="G16" s="21">
        <f>E16*F16</f>
        <v>336.6</v>
      </c>
      <c r="H16" s="21">
        <f t="shared" si="1"/>
        <v>0</v>
      </c>
      <c r="I16" s="22">
        <f t="shared" si="2"/>
        <v>0</v>
      </c>
      <c r="J16" s="22"/>
      <c r="K16" s="107">
        <f t="shared" si="4"/>
        <v>9.8486342165112165E-2</v>
      </c>
    </row>
    <row r="17" spans="1:11" s="1" customFormat="1" x14ac:dyDescent="0.2">
      <c r="A17" s="108" t="s">
        <v>36</v>
      </c>
      <c r="B17" s="74">
        <f>B4*0.18</f>
        <v>2700</v>
      </c>
      <c r="C17" s="27">
        <v>0.18</v>
      </c>
      <c r="D17" s="21">
        <f>B17*C17</f>
        <v>486</v>
      </c>
      <c r="E17" s="72">
        <f t="shared" si="3"/>
        <v>2700</v>
      </c>
      <c r="F17" s="27">
        <f t="shared" si="3"/>
        <v>0.18</v>
      </c>
      <c r="G17" s="21">
        <f>E17*F17</f>
        <v>486</v>
      </c>
      <c r="H17" s="21">
        <f t="shared" si="1"/>
        <v>0</v>
      </c>
      <c r="I17" s="22">
        <f t="shared" si="2"/>
        <v>0</v>
      </c>
      <c r="J17" s="22"/>
      <c r="K17" s="107">
        <f t="shared" si="4"/>
        <v>0.14219953146834374</v>
      </c>
    </row>
    <row r="18" spans="1:11" s="1" customFormat="1" x14ac:dyDescent="0.2">
      <c r="A18" s="60" t="s">
        <v>37</v>
      </c>
      <c r="B18" s="28"/>
      <c r="C18" s="29"/>
      <c r="D18" s="29">
        <f>SUM(D15:D17)</f>
        <v>1670.85</v>
      </c>
      <c r="E18" s="76"/>
      <c r="F18" s="29"/>
      <c r="G18" s="29">
        <f>SUM(G15:G17)</f>
        <v>1670.85</v>
      </c>
      <c r="H18" s="30">
        <f t="shared" si="1"/>
        <v>0</v>
      </c>
      <c r="I18" s="31">
        <f t="shared" si="2"/>
        <v>0</v>
      </c>
      <c r="J18" s="32">
        <f t="shared" ref="J18:J23" si="5">G18/$G$46</f>
        <v>0.46809790293484227</v>
      </c>
      <c r="K18" s="61">
        <f t="shared" si="4"/>
        <v>0.48887672253885212</v>
      </c>
    </row>
    <row r="19" spans="1:11" x14ac:dyDescent="0.2">
      <c r="A19" s="106" t="s">
        <v>38</v>
      </c>
      <c r="B19" s="72">
        <v>1</v>
      </c>
      <c r="C19" s="77">
        <f>VLOOKUP($B$3,'Data for Bill Impacts'!$A$3:$Y$15,7,0)</f>
        <v>31.41</v>
      </c>
      <c r="D19" s="21">
        <f>B19*C19</f>
        <v>31.41</v>
      </c>
      <c r="E19" s="72">
        <f t="shared" ref="E19:E41" si="6">B19</f>
        <v>1</v>
      </c>
      <c r="F19" s="77">
        <f>VLOOKUP($B$3,'Data for Bill Impacts'!$A$3:$Y$15,17,0)</f>
        <v>32</v>
      </c>
      <c r="G19" s="21">
        <f>E19*F19</f>
        <v>32</v>
      </c>
      <c r="H19" s="21">
        <f t="shared" si="1"/>
        <v>0.58999999999999986</v>
      </c>
      <c r="I19" s="22">
        <f t="shared" si="2"/>
        <v>1.8783826806749438E-2</v>
      </c>
      <c r="J19" s="22">
        <f t="shared" si="5"/>
        <v>8.9649776424663812E-3</v>
      </c>
      <c r="K19" s="107">
        <f t="shared" si="4"/>
        <v>9.3629321131419758E-3</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15000</v>
      </c>
      <c r="C23" s="125">
        <f>VLOOKUP($B$3,'Data for Bill Impacts'!$A$3:$Y$15,10,0)</f>
        <v>6.5199999999999994E-2</v>
      </c>
      <c r="D23" s="21">
        <f>B23*C23</f>
        <v>977.99999999999989</v>
      </c>
      <c r="E23" s="72">
        <f t="shared" si="6"/>
        <v>15000</v>
      </c>
      <c r="F23" s="77">
        <f>VLOOKUP($B$3,'Data for Bill Impacts'!$A$3:$Y$15,19,0)</f>
        <v>6.7100000000000007E-2</v>
      </c>
      <c r="G23" s="21">
        <f>E23*F23</f>
        <v>1006.5000000000001</v>
      </c>
      <c r="H23" s="21">
        <f t="shared" si="1"/>
        <v>28.500000000000227</v>
      </c>
      <c r="I23" s="22">
        <f t="shared" si="2"/>
        <v>2.9141104294478762E-2</v>
      </c>
      <c r="J23" s="22">
        <f t="shared" si="5"/>
        <v>0.28197656241070046</v>
      </c>
      <c r="K23" s="107">
        <f t="shared" si="4"/>
        <v>0.29449347412116872</v>
      </c>
    </row>
    <row r="24" spans="1:11" x14ac:dyDescent="0.2">
      <c r="A24" s="106" t="s">
        <v>129</v>
      </c>
      <c r="B24" s="72">
        <f>IF($B$9="kWh",$B$4,$B$5)</f>
        <v>15000</v>
      </c>
      <c r="C24" s="77">
        <f>VLOOKUP($B$3,'Data for Bill Impacts'!$A$3:$Y$15,14,0)</f>
        <v>2.0000000000000001E-4</v>
      </c>
      <c r="D24" s="33">
        <f>B24*C24</f>
        <v>3</v>
      </c>
      <c r="E24" s="72">
        <f t="shared" si="6"/>
        <v>15000</v>
      </c>
      <c r="F24" s="77">
        <f>VLOOKUP($B$3,'Data for Bill Impacts'!$A$3:$Y$15,23,0)</f>
        <v>2.0000000000000001E-4</v>
      </c>
      <c r="G24" s="33">
        <f>E24*F24</f>
        <v>3</v>
      </c>
      <c r="H24" s="21">
        <f t="shared" si="1"/>
        <v>0</v>
      </c>
      <c r="I24" s="22">
        <f>IF(ISERROR(H24/D24),0,(H24/D24))</f>
        <v>0</v>
      </c>
      <c r="J24" s="22">
        <f t="shared" ref="J24" si="9">G24/$G$46</f>
        <v>8.4046665398122334E-4</v>
      </c>
      <c r="K24" s="107">
        <f t="shared" si="4"/>
        <v>8.7777488560706013E-4</v>
      </c>
    </row>
    <row r="25" spans="1:11" s="1" customFormat="1" x14ac:dyDescent="0.2">
      <c r="A25" s="109" t="s">
        <v>72</v>
      </c>
      <c r="B25" s="73"/>
      <c r="C25" s="34"/>
      <c r="D25" s="34">
        <f>SUM(D19:D24)</f>
        <v>1012.4099999999999</v>
      </c>
      <c r="E25" s="72"/>
      <c r="F25" s="34"/>
      <c r="G25" s="34">
        <f>SUM(G19:G24)</f>
        <v>1041.5</v>
      </c>
      <c r="H25" s="34">
        <f t="shared" si="1"/>
        <v>29.090000000000146</v>
      </c>
      <c r="I25" s="35">
        <f t="shared" si="2"/>
        <v>2.8733418279155827E-2</v>
      </c>
      <c r="J25" s="35">
        <f>G25/$G$46</f>
        <v>0.29178200670714804</v>
      </c>
      <c r="K25" s="110">
        <f t="shared" si="4"/>
        <v>0.30473418111991774</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2.213228855483888E-4</v>
      </c>
      <c r="K26" s="107">
        <f t="shared" si="4"/>
        <v>2.3114738654319252E-4</v>
      </c>
    </row>
    <row r="27" spans="1:11" s="1" customFormat="1" x14ac:dyDescent="0.2">
      <c r="A27" s="118" t="s">
        <v>75</v>
      </c>
      <c r="B27" s="119">
        <f>B8-B4</f>
        <v>1440</v>
      </c>
      <c r="C27" s="120">
        <f>IF(B4&gt;B7,C13,C12)</f>
        <v>0.121</v>
      </c>
      <c r="D27" s="21">
        <f>B27*C27</f>
        <v>174.24</v>
      </c>
      <c r="E27" s="72">
        <f>B27</f>
        <v>1440</v>
      </c>
      <c r="F27" s="120">
        <f>C27</f>
        <v>0.121</v>
      </c>
      <c r="G27" s="21">
        <f>E27*F27</f>
        <v>174.24</v>
      </c>
      <c r="H27" s="21">
        <f t="shared" si="1"/>
        <v>0</v>
      </c>
      <c r="I27" s="22">
        <f>IF(ISERROR(H27/D27),0,(H27/D27))</f>
        <v>0</v>
      </c>
      <c r="J27" s="22">
        <f t="shared" ref="J27:J46" si="10">G27/$G$46</f>
        <v>4.8814303263229449E-2</v>
      </c>
      <c r="K27" s="107">
        <f t="shared" ref="K27:K41" si="11">G27/$G$51</f>
        <v>5.098116535605806E-2</v>
      </c>
    </row>
    <row r="28" spans="1:11" s="1" customFormat="1" x14ac:dyDescent="0.2">
      <c r="A28" s="118" t="s">
        <v>74</v>
      </c>
      <c r="B28" s="119">
        <f>B8-B4</f>
        <v>1440</v>
      </c>
      <c r="C28" s="120">
        <f>0.65*C15+0.17*C16+0.18*C17</f>
        <v>0.11139</v>
      </c>
      <c r="D28" s="21">
        <f>B28*C28</f>
        <v>160.4016</v>
      </c>
      <c r="E28" s="72">
        <f>B28</f>
        <v>1440</v>
      </c>
      <c r="F28" s="120">
        <f>C28</f>
        <v>0.11139</v>
      </c>
      <c r="G28" s="21">
        <f>E28*F28</f>
        <v>160.4016</v>
      </c>
      <c r="H28" s="21">
        <f t="shared" si="1"/>
        <v>0</v>
      </c>
      <c r="I28" s="22">
        <f>IF(ISERROR(H28/D28),0,(H28/D28))</f>
        <v>0</v>
      </c>
      <c r="J28" s="22">
        <f t="shared" si="10"/>
        <v>4.4937398681744865E-2</v>
      </c>
      <c r="K28" s="107">
        <f t="shared" si="11"/>
        <v>4.6932165363729808E-2</v>
      </c>
    </row>
    <row r="29" spans="1:11" s="1" customFormat="1" x14ac:dyDescent="0.2">
      <c r="A29" s="109" t="s">
        <v>78</v>
      </c>
      <c r="B29" s="73"/>
      <c r="C29" s="34"/>
      <c r="D29" s="34">
        <f>SUM(D25,D26:D27)</f>
        <v>1187.4399999999998</v>
      </c>
      <c r="E29" s="72"/>
      <c r="F29" s="34"/>
      <c r="G29" s="34">
        <f>SUM(G25,G26:G27)</f>
        <v>1216.53</v>
      </c>
      <c r="H29" s="34">
        <f t="shared" si="1"/>
        <v>29.090000000000146</v>
      </c>
      <c r="I29" s="35">
        <f>IF(ISERROR(H29/D29),0,(H29/D29))</f>
        <v>2.4498079902984696E-2</v>
      </c>
      <c r="J29" s="35">
        <f t="shared" si="10"/>
        <v>0.34081763285592587</v>
      </c>
      <c r="K29" s="110">
        <f t="shared" si="11"/>
        <v>0.35594649386251898</v>
      </c>
    </row>
    <row r="30" spans="1:11" s="1" customFormat="1" x14ac:dyDescent="0.2">
      <c r="A30" s="109" t="s">
        <v>77</v>
      </c>
      <c r="B30" s="73"/>
      <c r="C30" s="34"/>
      <c r="D30" s="34">
        <f>SUM(D25,D26,D28)</f>
        <v>1173.6015999999997</v>
      </c>
      <c r="E30" s="72"/>
      <c r="F30" s="34"/>
      <c r="G30" s="34">
        <f>SUM(G25,G26,G28)</f>
        <v>1202.6915999999999</v>
      </c>
      <c r="H30" s="34">
        <f t="shared" si="1"/>
        <v>29.090000000000146</v>
      </c>
      <c r="I30" s="35">
        <f>IF(ISERROR(H30/D30),0,(H30/D30))</f>
        <v>2.4786946439064289E-2</v>
      </c>
      <c r="J30" s="35">
        <f t="shared" si="10"/>
        <v>0.33694072827444121</v>
      </c>
      <c r="K30" s="110">
        <f t="shared" si="11"/>
        <v>0.3518974938701907</v>
      </c>
    </row>
    <row r="31" spans="1:11" x14ac:dyDescent="0.2">
      <c r="A31" s="106" t="s">
        <v>40</v>
      </c>
      <c r="B31" s="72">
        <f>B8</f>
        <v>16440</v>
      </c>
      <c r="C31" s="125">
        <f>VLOOKUP($B$3,'Data for Bill Impacts'!$A$3:$Y$15,15,0)</f>
        <v>5.4999999999999997E-3</v>
      </c>
      <c r="D31" s="21">
        <f>B31*C31</f>
        <v>90.42</v>
      </c>
      <c r="E31" s="72">
        <f t="shared" si="6"/>
        <v>16440</v>
      </c>
      <c r="F31" s="77">
        <f>VLOOKUP($B$3,'Data for Bill Impacts'!$A$3:$Y$15,24,0)</f>
        <v>5.4999999999999997E-3</v>
      </c>
      <c r="G31" s="21">
        <f>E31*F31</f>
        <v>90.42</v>
      </c>
      <c r="H31" s="21">
        <f t="shared" si="1"/>
        <v>0</v>
      </c>
      <c r="I31" s="22">
        <f t="shared" si="2"/>
        <v>0</v>
      </c>
      <c r="J31" s="22">
        <f t="shared" si="10"/>
        <v>2.5331664950994072E-2</v>
      </c>
      <c r="K31" s="107">
        <f t="shared" si="11"/>
        <v>2.6456135052196794E-2</v>
      </c>
    </row>
    <row r="32" spans="1:11" x14ac:dyDescent="0.2">
      <c r="A32" s="106" t="s">
        <v>41</v>
      </c>
      <c r="B32" s="72">
        <f>B8</f>
        <v>16440</v>
      </c>
      <c r="C32" s="125">
        <f>VLOOKUP($B$3,'Data for Bill Impacts'!$A$3:$Y$15,16,0)</f>
        <v>4.4999999999999997E-3</v>
      </c>
      <c r="D32" s="21">
        <f>B32*C32</f>
        <v>73.97999999999999</v>
      </c>
      <c r="E32" s="72">
        <f t="shared" si="6"/>
        <v>16440</v>
      </c>
      <c r="F32" s="77">
        <f>VLOOKUP($B$3,'Data for Bill Impacts'!$A$3:$Y$15,25,0)</f>
        <v>4.4999999999999997E-3</v>
      </c>
      <c r="G32" s="21">
        <f>E32*F32</f>
        <v>73.97999999999999</v>
      </c>
      <c r="H32" s="21">
        <f t="shared" si="1"/>
        <v>0</v>
      </c>
      <c r="I32" s="22">
        <f t="shared" si="2"/>
        <v>0</v>
      </c>
      <c r="J32" s="22">
        <f t="shared" si="10"/>
        <v>2.0725907687176963E-2</v>
      </c>
      <c r="K32" s="107">
        <f t="shared" si="11"/>
        <v>2.1645928679070101E-2</v>
      </c>
    </row>
    <row r="33" spans="1:11" s="1" customFormat="1" x14ac:dyDescent="0.2">
      <c r="A33" s="109" t="s">
        <v>76</v>
      </c>
      <c r="B33" s="73"/>
      <c r="C33" s="34"/>
      <c r="D33" s="34">
        <f>SUM(D31:D32)</f>
        <v>164.39999999999998</v>
      </c>
      <c r="E33" s="72"/>
      <c r="F33" s="34"/>
      <c r="G33" s="34">
        <f>SUM(G31:G32)</f>
        <v>164.39999999999998</v>
      </c>
      <c r="H33" s="34">
        <f t="shared" si="1"/>
        <v>0</v>
      </c>
      <c r="I33" s="35">
        <f t="shared" si="2"/>
        <v>0</v>
      </c>
      <c r="J33" s="35">
        <f t="shared" si="10"/>
        <v>4.6057572638171028E-2</v>
      </c>
      <c r="K33" s="110">
        <f t="shared" si="11"/>
        <v>4.8102063731266888E-2</v>
      </c>
    </row>
    <row r="34" spans="1:11" s="1" customFormat="1" x14ac:dyDescent="0.2">
      <c r="A34" s="109" t="s">
        <v>93</v>
      </c>
      <c r="B34" s="73"/>
      <c r="C34" s="34"/>
      <c r="D34" s="34">
        <f>D29+D33</f>
        <v>1351.8399999999997</v>
      </c>
      <c r="E34" s="72"/>
      <c r="F34" s="34"/>
      <c r="G34" s="34">
        <f>G29+G33</f>
        <v>1380.9299999999998</v>
      </c>
      <c r="H34" s="34">
        <f t="shared" si="1"/>
        <v>29.090000000000146</v>
      </c>
      <c r="I34" s="35">
        <f t="shared" si="2"/>
        <v>2.1518818795123795E-2</v>
      </c>
      <c r="J34" s="35">
        <f t="shared" si="10"/>
        <v>0.38687520549409687</v>
      </c>
      <c r="K34" s="110">
        <f t="shared" si="11"/>
        <v>0.40404855759378583</v>
      </c>
    </row>
    <row r="35" spans="1:11" s="1" customFormat="1" x14ac:dyDescent="0.2">
      <c r="A35" s="109" t="s">
        <v>94</v>
      </c>
      <c r="B35" s="73"/>
      <c r="C35" s="34"/>
      <c r="D35" s="34">
        <f>D30+D33</f>
        <v>1338.0015999999996</v>
      </c>
      <c r="E35" s="72"/>
      <c r="F35" s="34"/>
      <c r="G35" s="34">
        <f>G30+G33</f>
        <v>1367.0915999999997</v>
      </c>
      <c r="H35" s="34">
        <f t="shared" si="1"/>
        <v>29.090000000000146</v>
      </c>
      <c r="I35" s="35">
        <f t="shared" si="2"/>
        <v>2.1741379083552781E-2</v>
      </c>
      <c r="J35" s="35">
        <f t="shared" si="10"/>
        <v>0.38299830091261222</v>
      </c>
      <c r="K35" s="110">
        <f t="shared" si="11"/>
        <v>0.39999955760145756</v>
      </c>
    </row>
    <row r="36" spans="1:11" x14ac:dyDescent="0.2">
      <c r="A36" s="106" t="s">
        <v>42</v>
      </c>
      <c r="B36" s="72">
        <f>B8</f>
        <v>16440</v>
      </c>
      <c r="C36" s="33">
        <v>3.5999999999999999E-3</v>
      </c>
      <c r="D36" s="21">
        <f>B36*C36</f>
        <v>59.183999999999997</v>
      </c>
      <c r="E36" s="72">
        <f t="shared" si="6"/>
        <v>16440</v>
      </c>
      <c r="F36" s="33">
        <v>3.5999999999999999E-3</v>
      </c>
      <c r="G36" s="21">
        <f>E36*F36</f>
        <v>59.183999999999997</v>
      </c>
      <c r="H36" s="21">
        <f t="shared" si="1"/>
        <v>0</v>
      </c>
      <c r="I36" s="22">
        <f t="shared" si="2"/>
        <v>0</v>
      </c>
      <c r="J36" s="22">
        <f t="shared" si="10"/>
        <v>1.6580726149741574E-2</v>
      </c>
      <c r="K36" s="107">
        <f t="shared" si="11"/>
        <v>1.7316742943256084E-2</v>
      </c>
    </row>
    <row r="37" spans="1:11" x14ac:dyDescent="0.2">
      <c r="A37" s="106" t="s">
        <v>43</v>
      </c>
      <c r="B37" s="72">
        <f>B8</f>
        <v>16440</v>
      </c>
      <c r="C37" s="33">
        <v>2.0999999999999999E-3</v>
      </c>
      <c r="D37" s="21">
        <f>B37*C37</f>
        <v>34.524000000000001</v>
      </c>
      <c r="E37" s="72">
        <f t="shared" si="6"/>
        <v>16440</v>
      </c>
      <c r="F37" s="33">
        <v>2.0999999999999999E-3</v>
      </c>
      <c r="G37" s="21">
        <f>E37*F37</f>
        <v>34.524000000000001</v>
      </c>
      <c r="H37" s="21">
        <f>G37-D37</f>
        <v>0</v>
      </c>
      <c r="I37" s="22">
        <f t="shared" si="2"/>
        <v>0</v>
      </c>
      <c r="J37" s="22">
        <f t="shared" si="10"/>
        <v>9.6720902540159172E-3</v>
      </c>
      <c r="K37" s="107">
        <f t="shared" si="11"/>
        <v>1.0101433383566049E-2</v>
      </c>
    </row>
    <row r="38" spans="1:11" x14ac:dyDescent="0.2">
      <c r="A38" s="106" t="s">
        <v>99</v>
      </c>
      <c r="B38" s="72">
        <f>B8</f>
        <v>16440</v>
      </c>
      <c r="C38" s="33">
        <v>1.1000000000000001E-3</v>
      </c>
      <c r="D38" s="21">
        <f>B38*C38</f>
        <v>18.084</v>
      </c>
      <c r="E38" s="72">
        <f t="shared" si="6"/>
        <v>16440</v>
      </c>
      <c r="F38" s="33">
        <v>1.1000000000000001E-3</v>
      </c>
      <c r="G38" s="21">
        <f>E38*F38</f>
        <v>18.084</v>
      </c>
      <c r="H38" s="21">
        <f>G38-D38</f>
        <v>0</v>
      </c>
      <c r="I38" s="22">
        <f t="shared" ref="I38" si="12">IF(ISERROR(H38/D38),0,(H38/D38))</f>
        <v>0</v>
      </c>
      <c r="J38" s="22">
        <f t="shared" ref="J38" si="13">G38/$G$46</f>
        <v>5.0663329901988142E-3</v>
      </c>
      <c r="K38" s="107">
        <f t="shared" ref="K38" si="14">G38/$G$51</f>
        <v>5.2912270104393585E-3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7.0038887831768603E-5</v>
      </c>
      <c r="K39" s="107">
        <f t="shared" si="11"/>
        <v>7.3147907133921686E-5</v>
      </c>
    </row>
    <row r="40" spans="1:11" s="1" customFormat="1" x14ac:dyDescent="0.2">
      <c r="A40" s="109" t="s">
        <v>45</v>
      </c>
      <c r="B40" s="73"/>
      <c r="C40" s="34"/>
      <c r="D40" s="34">
        <f>SUM(D36:D39)</f>
        <v>112.042</v>
      </c>
      <c r="E40" s="72"/>
      <c r="F40" s="34"/>
      <c r="G40" s="34">
        <f>SUM(G36:G39)</f>
        <v>112.042</v>
      </c>
      <c r="H40" s="34">
        <f t="shared" si="1"/>
        <v>0</v>
      </c>
      <c r="I40" s="35">
        <f t="shared" si="2"/>
        <v>0</v>
      </c>
      <c r="J40" s="35">
        <f t="shared" si="10"/>
        <v>3.1389188281788077E-2</v>
      </c>
      <c r="K40" s="110">
        <f t="shared" si="11"/>
        <v>3.2782551244395414E-2</v>
      </c>
    </row>
    <row r="41" spans="1:11" s="1" customFormat="1" ht="13.5" thickBot="1" x14ac:dyDescent="0.25">
      <c r="A41" s="111" t="s">
        <v>46</v>
      </c>
      <c r="B41" s="112">
        <f>B4</f>
        <v>15000</v>
      </c>
      <c r="C41" s="113">
        <v>7.0000000000000001E-3</v>
      </c>
      <c r="D41" s="114">
        <f>B41*C41</f>
        <v>105</v>
      </c>
      <c r="E41" s="115">
        <f t="shared" si="6"/>
        <v>15000</v>
      </c>
      <c r="F41" s="113">
        <f>C41</f>
        <v>7.0000000000000001E-3</v>
      </c>
      <c r="G41" s="114">
        <f>E41*F41</f>
        <v>105</v>
      </c>
      <c r="H41" s="114">
        <f t="shared" si="1"/>
        <v>0</v>
      </c>
      <c r="I41" s="116">
        <f t="shared" si="2"/>
        <v>0</v>
      </c>
      <c r="J41" s="116">
        <f t="shared" si="10"/>
        <v>2.9416332889342815E-2</v>
      </c>
      <c r="K41" s="117">
        <f t="shared" si="11"/>
        <v>3.0722120996247108E-2</v>
      </c>
    </row>
    <row r="42" spans="1:11" s="1" customFormat="1" x14ac:dyDescent="0.2">
      <c r="A42" s="36" t="s">
        <v>107</v>
      </c>
      <c r="B42" s="37"/>
      <c r="C42" s="38"/>
      <c r="D42" s="38">
        <f>SUM(D14,D25,D26,D27,D33,D40,D41)</f>
        <v>3370.3819999999996</v>
      </c>
      <c r="E42" s="37"/>
      <c r="F42" s="38"/>
      <c r="G42" s="38">
        <f>SUM(G14,G25,G26,G27,G33,G40,G41)</f>
        <v>3399.4719999999998</v>
      </c>
      <c r="H42" s="38">
        <f t="shared" si="1"/>
        <v>29.090000000000146</v>
      </c>
      <c r="I42" s="39">
        <f>IF(ISERROR(H42/D42),0,(H42/D42))</f>
        <v>8.6310691191681388E-3</v>
      </c>
      <c r="J42" s="39">
        <f t="shared" si="10"/>
        <v>0.95238095238095233</v>
      </c>
      <c r="K42" s="40"/>
    </row>
    <row r="43" spans="1:11" x14ac:dyDescent="0.2">
      <c r="A43" s="143" t="s">
        <v>108</v>
      </c>
      <c r="B43" s="42"/>
      <c r="C43" s="25">
        <v>0.13</v>
      </c>
      <c r="D43" s="25">
        <f>D42*C43</f>
        <v>438.14965999999998</v>
      </c>
      <c r="E43" s="25"/>
      <c r="F43" s="25">
        <f>C43</f>
        <v>0.13</v>
      </c>
      <c r="G43" s="25">
        <f>G42*F43</f>
        <v>441.93135999999998</v>
      </c>
      <c r="H43" s="25">
        <f t="shared" si="1"/>
        <v>3.7817000000000007</v>
      </c>
      <c r="I43" s="43">
        <f t="shared" si="2"/>
        <v>8.6310691191680972E-3</v>
      </c>
      <c r="J43" s="43">
        <f t="shared" si="10"/>
        <v>0.1238095238095238</v>
      </c>
      <c r="K43" s="44"/>
    </row>
    <row r="44" spans="1:11" s="1" customFormat="1" x14ac:dyDescent="0.2">
      <c r="A44" s="45" t="s">
        <v>109</v>
      </c>
      <c r="B44" s="23"/>
      <c r="C44" s="24"/>
      <c r="D44" s="24">
        <f>SUM(D42:D43)</f>
        <v>3808.5316599999996</v>
      </c>
      <c r="E44" s="24"/>
      <c r="F44" s="24"/>
      <c r="G44" s="24">
        <f>SUM(G42:G43)</f>
        <v>3841.4033599999998</v>
      </c>
      <c r="H44" s="24">
        <f t="shared" si="1"/>
        <v>32.871700000000146</v>
      </c>
      <c r="I44" s="26">
        <f t="shared" si="2"/>
        <v>8.6310691191681336E-3</v>
      </c>
      <c r="J44" s="26">
        <f t="shared" si="10"/>
        <v>1.0761904761904761</v>
      </c>
      <c r="K44" s="46"/>
    </row>
    <row r="45" spans="1:11" x14ac:dyDescent="0.2">
      <c r="A45" s="41" t="s">
        <v>110</v>
      </c>
      <c r="B45" s="42"/>
      <c r="C45" s="25">
        <v>-0.08</v>
      </c>
      <c r="D45" s="25">
        <f>D42*C45</f>
        <v>-269.63055999999995</v>
      </c>
      <c r="E45" s="25"/>
      <c r="F45" s="25">
        <f>C45</f>
        <v>-0.08</v>
      </c>
      <c r="G45" s="25">
        <f>G42*F45</f>
        <v>-271.95776000000001</v>
      </c>
      <c r="H45" s="25">
        <f t="shared" si="1"/>
        <v>-2.3272000000000617</v>
      </c>
      <c r="I45" s="43">
        <f t="shared" si="2"/>
        <v>8.6310691191683244E-3</v>
      </c>
      <c r="J45" s="43">
        <f t="shared" si="10"/>
        <v>-7.6190476190476197E-2</v>
      </c>
      <c r="K45" s="44"/>
    </row>
    <row r="46" spans="1:11" s="1" customFormat="1" ht="13.5" thickBot="1" x14ac:dyDescent="0.25">
      <c r="A46" s="47" t="s">
        <v>111</v>
      </c>
      <c r="B46" s="48"/>
      <c r="C46" s="49"/>
      <c r="D46" s="49">
        <f>SUM(D44:D45)</f>
        <v>3538.9010999999996</v>
      </c>
      <c r="E46" s="49"/>
      <c r="F46" s="49"/>
      <c r="G46" s="49">
        <f>SUM(G44:G45)</f>
        <v>3569.4456</v>
      </c>
      <c r="H46" s="49">
        <f t="shared" si="1"/>
        <v>30.544500000000426</v>
      </c>
      <c r="I46" s="50">
        <f t="shared" si="2"/>
        <v>8.6310691191682151E-3</v>
      </c>
      <c r="J46" s="50">
        <f t="shared" si="10"/>
        <v>1</v>
      </c>
      <c r="K46" s="51"/>
    </row>
    <row r="47" spans="1:11" x14ac:dyDescent="0.2">
      <c r="A47" s="52" t="s">
        <v>112</v>
      </c>
      <c r="B47" s="53"/>
      <c r="C47" s="54"/>
      <c r="D47" s="54">
        <f>SUM(D18,D25,D26,D28,D33,D40,D41)</f>
        <v>3225.8935999999999</v>
      </c>
      <c r="E47" s="54"/>
      <c r="F47" s="54"/>
      <c r="G47" s="54">
        <f>SUM(G18,G25,G26,G28,G33,G40,G41)</f>
        <v>3254.9836</v>
      </c>
      <c r="H47" s="54">
        <f>G47-D47</f>
        <v>29.090000000000146</v>
      </c>
      <c r="I47" s="55">
        <f>IF(ISERROR(H47/D47),0,(H47/D47))</f>
        <v>9.0176563789953097E-3</v>
      </c>
      <c r="J47" s="55"/>
      <c r="K47" s="56">
        <f>G47/$G$51</f>
        <v>0.95238095238095233</v>
      </c>
    </row>
    <row r="48" spans="1:11" x14ac:dyDescent="0.2">
      <c r="A48" s="57" t="s">
        <v>108</v>
      </c>
      <c r="B48" s="58"/>
      <c r="C48" s="30">
        <v>0.13</v>
      </c>
      <c r="D48" s="30">
        <f>D47*C48</f>
        <v>419.36616800000002</v>
      </c>
      <c r="E48" s="30"/>
      <c r="F48" s="30">
        <f>C48</f>
        <v>0.13</v>
      </c>
      <c r="G48" s="30">
        <f>G47*F48</f>
        <v>423.14786800000002</v>
      </c>
      <c r="H48" s="30">
        <f>G48-D48</f>
        <v>3.7817000000000007</v>
      </c>
      <c r="I48" s="31">
        <f>IF(ISERROR(H48/D48),0,(H48/D48))</f>
        <v>9.0176563789952664E-3</v>
      </c>
      <c r="J48" s="31"/>
      <c r="K48" s="59">
        <f>G48/$G$51</f>
        <v>0.1238095238095238</v>
      </c>
    </row>
    <row r="49" spans="1:11" x14ac:dyDescent="0.2">
      <c r="A49" s="136" t="s">
        <v>113</v>
      </c>
      <c r="B49" s="28"/>
      <c r="C49" s="29"/>
      <c r="D49" s="29">
        <f>SUM(D47:D48)</f>
        <v>3645.2597679999999</v>
      </c>
      <c r="E49" s="29"/>
      <c r="F49" s="29"/>
      <c r="G49" s="29">
        <f>SUM(G47:G48)</f>
        <v>3678.131468</v>
      </c>
      <c r="H49" s="29">
        <f>G49-D49</f>
        <v>32.871700000000146</v>
      </c>
      <c r="I49" s="32">
        <f>IF(ISERROR(H49/D49),0,(H49/D49))</f>
        <v>9.0176563789953063E-3</v>
      </c>
      <c r="J49" s="32"/>
      <c r="K49" s="61">
        <f>G49/$G$51</f>
        <v>1.0761904761904761</v>
      </c>
    </row>
    <row r="50" spans="1:11" x14ac:dyDescent="0.2">
      <c r="A50" s="57" t="s">
        <v>110</v>
      </c>
      <c r="B50" s="58"/>
      <c r="C50" s="30">
        <v>-0.08</v>
      </c>
      <c r="D50" s="30">
        <f>D47*C50</f>
        <v>-258.07148799999999</v>
      </c>
      <c r="E50" s="30"/>
      <c r="F50" s="30">
        <f>C50</f>
        <v>-0.08</v>
      </c>
      <c r="G50" s="30">
        <f>G47*F50</f>
        <v>-260.39868799999999</v>
      </c>
      <c r="H50" s="30">
        <f>G50-D50</f>
        <v>-2.3272000000000048</v>
      </c>
      <c r="I50" s="31">
        <f>IF(ISERROR(H50/D50),0,(H50/D50))</f>
        <v>9.0176563789952837E-3</v>
      </c>
      <c r="J50" s="31"/>
      <c r="K50" s="59">
        <f>G50/$G$51</f>
        <v>-7.6190476190476183E-2</v>
      </c>
    </row>
    <row r="51" spans="1:11" ht="13.5" thickBot="1" x14ac:dyDescent="0.25">
      <c r="A51" s="62" t="s">
        <v>114</v>
      </c>
      <c r="B51" s="63"/>
      <c r="C51" s="64"/>
      <c r="D51" s="64">
        <f>SUM(D49:D50)</f>
        <v>3387.1882799999998</v>
      </c>
      <c r="E51" s="64"/>
      <c r="F51" s="64"/>
      <c r="G51" s="64">
        <f>SUM(G49:G50)</f>
        <v>3417.7327800000003</v>
      </c>
      <c r="H51" s="64">
        <f>G51-D51</f>
        <v>30.544500000000426</v>
      </c>
      <c r="I51" s="65">
        <f>IF(ISERROR(H51/D51),0,(H51/D51))</f>
        <v>9.0176563789953913E-3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1" tint="0.499984740745262"/>
    <pageSetUpPr fitToPage="1"/>
  </sheetPr>
  <dimension ref="A1:J54"/>
  <sheetViews>
    <sheetView tabSelected="1" topLeftCell="A16"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7</v>
      </c>
    </row>
    <row r="4" spans="1:10" x14ac:dyDescent="0.2">
      <c r="A4" s="14" t="s">
        <v>62</v>
      </c>
      <c r="B4" s="78">
        <v>15000</v>
      </c>
    </row>
    <row r="5" spans="1:10" x14ac:dyDescent="0.2">
      <c r="A5" s="14" t="s">
        <v>16</v>
      </c>
      <c r="B5" s="78">
        <v>60</v>
      </c>
    </row>
    <row r="6" spans="1:10" x14ac:dyDescent="0.2">
      <c r="A6" s="14" t="s">
        <v>20</v>
      </c>
      <c r="B6" s="79">
        <f>VLOOKUP($B$3,'Data for Bill Impacts'!$A$3:$Y$15,2,0)</f>
        <v>1.05</v>
      </c>
    </row>
    <row r="7" spans="1:10" x14ac:dyDescent="0.2">
      <c r="A7" s="80" t="s">
        <v>48</v>
      </c>
      <c r="B7" s="81">
        <f>B4/(B5*730)</f>
        <v>0.34246575342465752</v>
      </c>
    </row>
    <row r="8" spans="1:10" x14ac:dyDescent="0.2">
      <c r="A8" s="14" t="s">
        <v>15</v>
      </c>
      <c r="B8" s="78">
        <f>VLOOKUP($B$3,'Data for Bill Impacts'!$A$3:$Y$15,4,0)</f>
        <v>0</v>
      </c>
    </row>
    <row r="9" spans="1:10" x14ac:dyDescent="0.2">
      <c r="A9" s="14" t="s">
        <v>82</v>
      </c>
      <c r="B9" s="78">
        <f>B4*B6</f>
        <v>15750</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15750</v>
      </c>
      <c r="C13" s="102">
        <v>0.10299999999999999</v>
      </c>
      <c r="D13" s="103">
        <f>B13*C13</f>
        <v>1622.25</v>
      </c>
      <c r="E13" s="101">
        <f>B13</f>
        <v>15750</v>
      </c>
      <c r="F13" s="102">
        <f>C13</f>
        <v>0.10299999999999999</v>
      </c>
      <c r="G13" s="103">
        <f>E13*F13</f>
        <v>1622.25</v>
      </c>
      <c r="H13" s="103">
        <f>G13-D13</f>
        <v>0</v>
      </c>
      <c r="I13" s="104">
        <f>IF(ISERROR(H13/D13),0,(H13/D13))</f>
        <v>0</v>
      </c>
      <c r="J13" s="123">
        <f t="shared" ref="J13:J29" si="0">G13/$G$38</f>
        <v>0.50251920178607823</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1622.25</v>
      </c>
      <c r="E15" s="75"/>
      <c r="F15" s="24"/>
      <c r="G15" s="24">
        <f>SUM(G13:G14)</f>
        <v>1622.25</v>
      </c>
      <c r="H15" s="24">
        <f t="shared" si="2"/>
        <v>0</v>
      </c>
      <c r="I15" s="26">
        <f t="shared" si="3"/>
        <v>0</v>
      </c>
      <c r="J15" s="46">
        <f t="shared" si="0"/>
        <v>0.50251920178607823</v>
      </c>
    </row>
    <row r="16" spans="1:10" s="1" customFormat="1" x14ac:dyDescent="0.2">
      <c r="A16" s="106" t="s">
        <v>38</v>
      </c>
      <c r="B16" s="72">
        <v>1</v>
      </c>
      <c r="C16" s="77">
        <f>VLOOKUP($B$3,'Data for Bill Impacts'!$A$3:$Y$15,7,0)</f>
        <v>106.7</v>
      </c>
      <c r="D16" s="21">
        <f>B16*C16</f>
        <v>106.7</v>
      </c>
      <c r="E16" s="72">
        <f t="shared" ref="E16:E33" si="4">B16</f>
        <v>1</v>
      </c>
      <c r="F16" s="77">
        <f>VLOOKUP($B$3,'Data for Bill Impacts'!$A$3:$Y$15,17,0)</f>
        <v>108.63</v>
      </c>
      <c r="G16" s="21">
        <f>E16*F16</f>
        <v>108.63</v>
      </c>
      <c r="H16" s="21">
        <f t="shared" si="2"/>
        <v>1.9299999999999926</v>
      </c>
      <c r="I16" s="22">
        <f t="shared" si="3"/>
        <v>1.8088097469540699E-2</v>
      </c>
      <c r="J16" s="124">
        <f t="shared" si="0"/>
        <v>3.3649968186174557E-2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3.0976680646391018E-6</v>
      </c>
    </row>
    <row r="20" spans="1:10" x14ac:dyDescent="0.2">
      <c r="A20" s="106" t="s">
        <v>39</v>
      </c>
      <c r="B20" s="72">
        <f>IF($B$10="kWh",$B$4,$B$5)</f>
        <v>60</v>
      </c>
      <c r="C20" s="77">
        <f>VLOOKUP($B$3,'Data for Bill Impacts'!$A$3:$Y$15,10,0)</f>
        <v>10.513299999999999</v>
      </c>
      <c r="D20" s="21">
        <f>B20*C20</f>
        <v>630.798</v>
      </c>
      <c r="E20" s="72">
        <f t="shared" si="4"/>
        <v>60</v>
      </c>
      <c r="F20" s="77">
        <f>VLOOKUP($B$3,'Data for Bill Impacts'!$A$3:$Y$15,19,0)</f>
        <v>10.8</v>
      </c>
      <c r="G20" s="21">
        <f>E20*F20</f>
        <v>648</v>
      </c>
      <c r="H20" s="21">
        <f t="shared" si="2"/>
        <v>17.201999999999998</v>
      </c>
      <c r="I20" s="22">
        <f t="shared" si="3"/>
        <v>2.7270219626568247E-2</v>
      </c>
      <c r="J20" s="124">
        <f t="shared" si="0"/>
        <v>0.20072889058861379</v>
      </c>
    </row>
    <row r="21" spans="1:10" s="1" customFormat="1" x14ac:dyDescent="0.2">
      <c r="A21" s="106" t="s">
        <v>129</v>
      </c>
      <c r="B21" s="72">
        <f>IF($B$10="kWh",$B$4,$B$5)</f>
        <v>60</v>
      </c>
      <c r="C21" s="77">
        <f>VLOOKUP($B$3,'Data for Bill Impacts'!$A$3:$Y$15,14,0)</f>
        <v>6.4600000000000005E-2</v>
      </c>
      <c r="D21" s="21">
        <f>B21*C21</f>
        <v>3.8760000000000003</v>
      </c>
      <c r="E21" s="72">
        <f>B21</f>
        <v>60</v>
      </c>
      <c r="F21" s="77">
        <f>VLOOKUP($B$3,'Data for Bill Impacts'!$A$3:$Y$15,23,0)</f>
        <v>6.4600000000000005E-2</v>
      </c>
      <c r="G21" s="21">
        <f>E21*F21</f>
        <v>3.8760000000000003</v>
      </c>
      <c r="H21" s="21">
        <f>G21-D21</f>
        <v>0</v>
      </c>
      <c r="I21" s="22">
        <f>IF(ISERROR(H21/D21),0,(H21/D21))</f>
        <v>0</v>
      </c>
      <c r="J21" s="124">
        <f t="shared" si="0"/>
        <v>1.2006561418541159E-3</v>
      </c>
    </row>
    <row r="22" spans="1:10" s="1" customFormat="1" x14ac:dyDescent="0.2">
      <c r="A22" s="106" t="s">
        <v>117</v>
      </c>
      <c r="B22" s="72">
        <f>B9</f>
        <v>15750</v>
      </c>
      <c r="C22" s="125">
        <f>VLOOKUP($B$3,'Data for Bill Impacts'!$A$3:$Y$15,20,0)</f>
        <v>1.9E-3</v>
      </c>
      <c r="D22" s="21">
        <f>B22*C22</f>
        <v>29.925000000000001</v>
      </c>
      <c r="E22" s="72">
        <f t="shared" si="4"/>
        <v>15750</v>
      </c>
      <c r="F22" s="125">
        <f>VLOOKUP($B$3,'Data for Bill Impacts'!$A$3:$Y$15,21,0)</f>
        <v>1.9E-3</v>
      </c>
      <c r="G22" s="21">
        <f>E22*F22</f>
        <v>29.925000000000001</v>
      </c>
      <c r="H22" s="21">
        <f t="shared" si="2"/>
        <v>0</v>
      </c>
      <c r="I22" s="22">
        <f>IF(ISERROR(H22/D22),0,(H22/D22))</f>
        <v>0</v>
      </c>
      <c r="J22" s="124">
        <f t="shared" si="0"/>
        <v>9.2697716834325115E-3</v>
      </c>
    </row>
    <row r="23" spans="1:10" x14ac:dyDescent="0.2">
      <c r="A23" s="109" t="s">
        <v>95</v>
      </c>
      <c r="B23" s="73"/>
      <c r="C23" s="34"/>
      <c r="D23" s="34">
        <f>SUM(D16:D22)</f>
        <v>771.30899999999997</v>
      </c>
      <c r="E23" s="72"/>
      <c r="F23" s="34"/>
      <c r="G23" s="34">
        <f>SUM(G16:G22)</f>
        <v>790.44099999999992</v>
      </c>
      <c r="H23" s="34">
        <f t="shared" si="2"/>
        <v>19.131999999999948</v>
      </c>
      <c r="I23" s="35">
        <f t="shared" si="3"/>
        <v>2.4804585451485655E-2</v>
      </c>
      <c r="J23" s="110">
        <f t="shared" si="0"/>
        <v>0.2448523842681396</v>
      </c>
    </row>
    <row r="24" spans="1:10" x14ac:dyDescent="0.2">
      <c r="A24" s="106" t="s">
        <v>40</v>
      </c>
      <c r="B24" s="72">
        <f>B5</f>
        <v>60</v>
      </c>
      <c r="C24" s="125">
        <f>VLOOKUP($B$3,'Data for Bill Impacts'!$A$3:$Y$15,15,0)</f>
        <v>2.1349</v>
      </c>
      <c r="D24" s="21">
        <f>B24*C24</f>
        <v>128.09399999999999</v>
      </c>
      <c r="E24" s="72">
        <f t="shared" si="4"/>
        <v>60</v>
      </c>
      <c r="F24" s="77">
        <f>VLOOKUP($B$3,'Data for Bill Impacts'!$A$3:$Y$15,24,0)</f>
        <v>2.1349</v>
      </c>
      <c r="G24" s="21">
        <f>E24*F24</f>
        <v>128.09399999999999</v>
      </c>
      <c r="H24" s="21">
        <f t="shared" si="2"/>
        <v>0</v>
      </c>
      <c r="I24" s="22">
        <f t="shared" si="3"/>
        <v>0</v>
      </c>
      <c r="J24" s="124">
        <f t="shared" si="0"/>
        <v>3.9679269307188104E-2</v>
      </c>
    </row>
    <row r="25" spans="1:10" s="1" customFormat="1" x14ac:dyDescent="0.2">
      <c r="A25" s="106" t="s">
        <v>41</v>
      </c>
      <c r="B25" s="72">
        <f>B5</f>
        <v>60</v>
      </c>
      <c r="C25" s="125">
        <f>VLOOKUP($B$3,'Data for Bill Impacts'!$A$3:$Y$15,16,0)</f>
        <v>1.7284999999999999</v>
      </c>
      <c r="D25" s="21">
        <f>B25*C25</f>
        <v>103.71</v>
      </c>
      <c r="E25" s="72">
        <f t="shared" si="4"/>
        <v>60</v>
      </c>
      <c r="F25" s="77">
        <f>VLOOKUP($B$3,'Data for Bill Impacts'!$A$3:$Y$15,25,0)</f>
        <v>1.7284999999999999</v>
      </c>
      <c r="G25" s="21">
        <f>E25*F25</f>
        <v>103.71</v>
      </c>
      <c r="H25" s="21">
        <f t="shared" si="2"/>
        <v>0</v>
      </c>
      <c r="I25" s="22">
        <f t="shared" si="3"/>
        <v>0</v>
      </c>
      <c r="J25" s="124">
        <f t="shared" si="0"/>
        <v>3.2125915498372119E-2</v>
      </c>
    </row>
    <row r="26" spans="1:10" x14ac:dyDescent="0.2">
      <c r="A26" s="109" t="s">
        <v>76</v>
      </c>
      <c r="B26" s="73"/>
      <c r="C26" s="34"/>
      <c r="D26" s="34">
        <f>SUM(D24:D25)</f>
        <v>231.80399999999997</v>
      </c>
      <c r="E26" s="72"/>
      <c r="F26" s="34"/>
      <c r="G26" s="34">
        <f>SUM(G24:G25)</f>
        <v>231.80399999999997</v>
      </c>
      <c r="H26" s="34">
        <f t="shared" si="2"/>
        <v>0</v>
      </c>
      <c r="I26" s="35">
        <f t="shared" si="3"/>
        <v>0</v>
      </c>
      <c r="J26" s="110">
        <f t="shared" si="0"/>
        <v>7.1805184805560224E-2</v>
      </c>
    </row>
    <row r="27" spans="1:10" s="1" customFormat="1" x14ac:dyDescent="0.2">
      <c r="A27" s="109" t="s">
        <v>80</v>
      </c>
      <c r="B27" s="73"/>
      <c r="C27" s="34"/>
      <c r="D27" s="34">
        <f>D23+D26</f>
        <v>1003.1129999999999</v>
      </c>
      <c r="E27" s="72"/>
      <c r="F27" s="34"/>
      <c r="G27" s="34">
        <f>G23+G26</f>
        <v>1022.2449999999999</v>
      </c>
      <c r="H27" s="34">
        <f t="shared" si="2"/>
        <v>19.131999999999948</v>
      </c>
      <c r="I27" s="35">
        <f t="shared" si="3"/>
        <v>1.9072626912421582E-2</v>
      </c>
      <c r="J27" s="110">
        <f t="shared" si="0"/>
        <v>0.3166575690736998</v>
      </c>
    </row>
    <row r="28" spans="1:10" x14ac:dyDescent="0.2">
      <c r="A28" s="106" t="s">
        <v>42</v>
      </c>
      <c r="B28" s="72">
        <f>B9</f>
        <v>15750</v>
      </c>
      <c r="C28" s="33">
        <v>3.5999999999999999E-3</v>
      </c>
      <c r="D28" s="21">
        <f>B28*C28</f>
        <v>56.699999999999996</v>
      </c>
      <c r="E28" s="72">
        <f t="shared" si="4"/>
        <v>15750</v>
      </c>
      <c r="F28" s="33">
        <v>3.5999999999999999E-3</v>
      </c>
      <c r="G28" s="21">
        <f>E28*F28</f>
        <v>56.699999999999996</v>
      </c>
      <c r="H28" s="21">
        <f t="shared" si="2"/>
        <v>0</v>
      </c>
      <c r="I28" s="22">
        <f t="shared" si="3"/>
        <v>0</v>
      </c>
      <c r="J28" s="124">
        <f t="shared" si="0"/>
        <v>1.7563777926503706E-2</v>
      </c>
    </row>
    <row r="29" spans="1:10" x14ac:dyDescent="0.2">
      <c r="A29" s="106" t="s">
        <v>43</v>
      </c>
      <c r="B29" s="72">
        <f>B9</f>
        <v>15750</v>
      </c>
      <c r="C29" s="33">
        <v>2.0999999999999999E-3</v>
      </c>
      <c r="D29" s="21">
        <f>B29*C29</f>
        <v>33.074999999999996</v>
      </c>
      <c r="E29" s="72">
        <f t="shared" si="4"/>
        <v>15750</v>
      </c>
      <c r="F29" s="33">
        <v>2.0999999999999999E-3</v>
      </c>
      <c r="G29" s="21">
        <f>E29*F29</f>
        <v>33.074999999999996</v>
      </c>
      <c r="H29" s="21">
        <f>G29-D29</f>
        <v>0</v>
      </c>
      <c r="I29" s="22">
        <f t="shared" si="3"/>
        <v>0</v>
      </c>
      <c r="J29" s="124">
        <f t="shared" si="0"/>
        <v>1.0245537123793827E-2</v>
      </c>
    </row>
    <row r="30" spans="1:10" x14ac:dyDescent="0.2">
      <c r="A30" s="106" t="s">
        <v>99</v>
      </c>
      <c r="B30" s="72">
        <f>B9</f>
        <v>15750</v>
      </c>
      <c r="C30" s="33">
        <v>1.1000000000000001E-3</v>
      </c>
      <c r="D30" s="21">
        <f>B30*C30</f>
        <v>17.324999999999999</v>
      </c>
      <c r="E30" s="72">
        <f t="shared" si="4"/>
        <v>15750</v>
      </c>
      <c r="F30" s="33">
        <v>1.1000000000000001E-3</v>
      </c>
      <c r="G30" s="21">
        <f>E30*F30</f>
        <v>17.324999999999999</v>
      </c>
      <c r="H30" s="21">
        <f>G30-D30</f>
        <v>0</v>
      </c>
      <c r="I30" s="22">
        <f t="shared" ref="I30" si="7">IF(ISERROR(H30/D30),0,(H30/D30))</f>
        <v>0</v>
      </c>
      <c r="J30" s="124">
        <f t="shared" ref="J30" si="8">G30/$G$38</f>
        <v>5.3667099219872434E-3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7.7441701615977535E-5</v>
      </c>
    </row>
    <row r="32" spans="1:10" x14ac:dyDescent="0.2">
      <c r="A32" s="109" t="s">
        <v>45</v>
      </c>
      <c r="B32" s="73"/>
      <c r="C32" s="34"/>
      <c r="D32" s="34">
        <f>SUM(D28:D31)</f>
        <v>107.35</v>
      </c>
      <c r="E32" s="72"/>
      <c r="F32" s="34"/>
      <c r="G32" s="34">
        <f>SUM(G28:G31)</f>
        <v>107.35</v>
      </c>
      <c r="H32" s="34">
        <f t="shared" si="2"/>
        <v>0</v>
      </c>
      <c r="I32" s="35">
        <f t="shared" si="3"/>
        <v>0</v>
      </c>
      <c r="J32" s="110">
        <f t="shared" si="9"/>
        <v>3.3253466673900757E-2</v>
      </c>
    </row>
    <row r="33" spans="1:10" ht="13.5" thickBot="1" x14ac:dyDescent="0.25">
      <c r="A33" s="111" t="s">
        <v>46</v>
      </c>
      <c r="B33" s="112">
        <f>B4</f>
        <v>15000</v>
      </c>
      <c r="C33" s="113">
        <v>7.0000000000000001E-3</v>
      </c>
      <c r="D33" s="114">
        <f>B33*C33</f>
        <v>105</v>
      </c>
      <c r="E33" s="115">
        <f t="shared" si="4"/>
        <v>15000</v>
      </c>
      <c r="F33" s="113">
        <f>C33</f>
        <v>7.0000000000000001E-3</v>
      </c>
      <c r="G33" s="114">
        <f>E33*F33</f>
        <v>105</v>
      </c>
      <c r="H33" s="114">
        <f t="shared" si="2"/>
        <v>0</v>
      </c>
      <c r="I33" s="116">
        <f t="shared" si="3"/>
        <v>0</v>
      </c>
      <c r="J33" s="117">
        <f t="shared" si="9"/>
        <v>3.2525514678710565E-2</v>
      </c>
    </row>
    <row r="34" spans="1:10" x14ac:dyDescent="0.2">
      <c r="A34" s="36" t="s">
        <v>116</v>
      </c>
      <c r="B34" s="37"/>
      <c r="C34" s="38"/>
      <c r="D34" s="38">
        <f>SUM(D15,D23,D26,D32,D33)</f>
        <v>2837.7130000000002</v>
      </c>
      <c r="E34" s="37"/>
      <c r="F34" s="38"/>
      <c r="G34" s="38">
        <f>SUM(G15,G23,G26,G32,G33)</f>
        <v>2856.8449999999998</v>
      </c>
      <c r="H34" s="38">
        <f t="shared" si="2"/>
        <v>19.131999999999607</v>
      </c>
      <c r="I34" s="39">
        <f>IF(ISERROR(H34/D34),0,(H34/D34))</f>
        <v>6.7420489668967958E-3</v>
      </c>
      <c r="J34" s="40">
        <f t="shared" si="9"/>
        <v>0.88495575221238931</v>
      </c>
    </row>
    <row r="35" spans="1:10" x14ac:dyDescent="0.2">
      <c r="A35" s="143" t="s">
        <v>108</v>
      </c>
      <c r="B35" s="42"/>
      <c r="C35" s="25">
        <v>0.13</v>
      </c>
      <c r="D35" s="25">
        <f>D34*C35</f>
        <v>368.90269000000006</v>
      </c>
      <c r="E35" s="25"/>
      <c r="F35" s="25">
        <f>C35</f>
        <v>0.13</v>
      </c>
      <c r="G35" s="25">
        <f>G34*F35</f>
        <v>371.38984999999997</v>
      </c>
      <c r="H35" s="25">
        <f t="shared" si="2"/>
        <v>2.4871599999999034</v>
      </c>
      <c r="I35" s="43">
        <f t="shared" ref="I35:I38" si="10">IF(ISERROR(H35/D35),0,(H35/D35))</f>
        <v>6.7420489668966717E-3</v>
      </c>
      <c r="J35" s="44">
        <f t="shared" si="9"/>
        <v>0.11504424778761062</v>
      </c>
    </row>
    <row r="36" spans="1:10" x14ac:dyDescent="0.2">
      <c r="A36" s="45" t="s">
        <v>109</v>
      </c>
      <c r="B36" s="23"/>
      <c r="C36" s="24"/>
      <c r="D36" s="24">
        <f>SUM(D34:D35)</f>
        <v>3206.6156900000001</v>
      </c>
      <c r="E36" s="24"/>
      <c r="F36" s="24"/>
      <c r="G36" s="24">
        <f>SUM(G34:G35)</f>
        <v>3228.2348499999998</v>
      </c>
      <c r="H36" s="24">
        <f t="shared" si="2"/>
        <v>21.619159999999738</v>
      </c>
      <c r="I36" s="26">
        <f t="shared" si="10"/>
        <v>6.7420489668968521E-3</v>
      </c>
      <c r="J36" s="46">
        <f t="shared" si="9"/>
        <v>1</v>
      </c>
    </row>
    <row r="37" spans="1:10" x14ac:dyDescent="0.2">
      <c r="A37" s="41" t="s">
        <v>110</v>
      </c>
      <c r="B37" s="42"/>
      <c r="C37" s="25">
        <v>0</v>
      </c>
      <c r="D37" s="25">
        <f>D34*C37</f>
        <v>0</v>
      </c>
      <c r="E37" s="25"/>
      <c r="F37" s="25">
        <f>C37</f>
        <v>0</v>
      </c>
      <c r="G37" s="25">
        <f>G34*F37</f>
        <v>0</v>
      </c>
      <c r="H37" s="25">
        <f t="shared" si="2"/>
        <v>0</v>
      </c>
      <c r="I37" s="43">
        <f t="shared" si="10"/>
        <v>0</v>
      </c>
      <c r="J37" s="44">
        <f t="shared" si="9"/>
        <v>0</v>
      </c>
    </row>
    <row r="38" spans="1:10" ht="13.5" thickBot="1" x14ac:dyDescent="0.25">
      <c r="A38" s="47" t="s">
        <v>111</v>
      </c>
      <c r="B38" s="48"/>
      <c r="C38" s="49"/>
      <c r="D38" s="49">
        <f>SUM(D36:D37)</f>
        <v>3206.6156900000001</v>
      </c>
      <c r="E38" s="49"/>
      <c r="F38" s="49"/>
      <c r="G38" s="49">
        <f>SUM(G36:G37)</f>
        <v>3228.2348499999998</v>
      </c>
      <c r="H38" s="49">
        <f t="shared" si="2"/>
        <v>21.619159999999738</v>
      </c>
      <c r="I38" s="50">
        <f t="shared" si="10"/>
        <v>6.7420489668968521E-3</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1" tint="0.499984740745262"/>
    <pageSetUpPr fitToPage="1"/>
  </sheetPr>
  <dimension ref="A1:J54"/>
  <sheetViews>
    <sheetView tabSelected="1" topLeftCell="A16"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7</v>
      </c>
    </row>
    <row r="4" spans="1:10" x14ac:dyDescent="0.2">
      <c r="A4" s="14" t="s">
        <v>62</v>
      </c>
      <c r="B4" s="78">
        <f>'Data for Bill Impacts_HONI Avg '!C13</f>
        <v>50525</v>
      </c>
    </row>
    <row r="5" spans="1:10" x14ac:dyDescent="0.2">
      <c r="A5" s="14" t="s">
        <v>16</v>
      </c>
      <c r="B5" s="78">
        <v>138</v>
      </c>
    </row>
    <row r="6" spans="1:10" x14ac:dyDescent="0.2">
      <c r="A6" s="14" t="s">
        <v>20</v>
      </c>
      <c r="B6" s="79">
        <f>VLOOKUP($B$3,'Data for Bill Impacts'!$A$3:$Y$15,2,0)</f>
        <v>1.05</v>
      </c>
    </row>
    <row r="7" spans="1:10" x14ac:dyDescent="0.2">
      <c r="A7" s="80" t="s">
        <v>48</v>
      </c>
      <c r="B7" s="81">
        <f>B4/(B5*730)</f>
        <v>0.50153861425451662</v>
      </c>
    </row>
    <row r="8" spans="1:10" x14ac:dyDescent="0.2">
      <c r="A8" s="14" t="s">
        <v>15</v>
      </c>
      <c r="B8" s="78">
        <f>VLOOKUP($B$3,'Data for Bill Impacts'!$A$3:$Y$15,4,0)</f>
        <v>0</v>
      </c>
    </row>
    <row r="9" spans="1:10" x14ac:dyDescent="0.2">
      <c r="A9" s="14" t="s">
        <v>82</v>
      </c>
      <c r="B9" s="78">
        <f>B4*B6</f>
        <v>53051.25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53051.25</v>
      </c>
      <c r="C13" s="102">
        <v>0.10299999999999999</v>
      </c>
      <c r="D13" s="103">
        <f>B13*C13</f>
        <v>5464.2787499999995</v>
      </c>
      <c r="E13" s="101">
        <f>B13</f>
        <v>53051.25</v>
      </c>
      <c r="F13" s="102">
        <f>C13</f>
        <v>0.10299999999999999</v>
      </c>
      <c r="G13" s="103">
        <f>E13*F13</f>
        <v>5464.2787499999995</v>
      </c>
      <c r="H13" s="103">
        <f>G13-D13</f>
        <v>0</v>
      </c>
      <c r="I13" s="104">
        <f>IF(ISERROR(H13/D13),0,(H13/D13))</f>
        <v>0</v>
      </c>
      <c r="J13" s="123">
        <f t="shared" ref="J13:J32" si="0">G13/$G$38</f>
        <v>0.57424640385011139</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5464.2787499999995</v>
      </c>
      <c r="E15" s="75"/>
      <c r="F15" s="24"/>
      <c r="G15" s="24">
        <f>SUM(G13:G14)</f>
        <v>5464.2787499999995</v>
      </c>
      <c r="H15" s="24">
        <f t="shared" si="2"/>
        <v>0</v>
      </c>
      <c r="I15" s="26">
        <f t="shared" si="3"/>
        <v>0</v>
      </c>
      <c r="J15" s="46">
        <f t="shared" si="0"/>
        <v>0.57424640385011139</v>
      </c>
    </row>
    <row r="16" spans="1:10" s="1" customFormat="1" x14ac:dyDescent="0.2">
      <c r="A16" s="106" t="s">
        <v>38</v>
      </c>
      <c r="B16" s="72">
        <v>1</v>
      </c>
      <c r="C16" s="77">
        <f>VLOOKUP($B$3,'Data for Bill Impacts'!$A$3:$Y$15,7,0)</f>
        <v>106.7</v>
      </c>
      <c r="D16" s="21">
        <f>B16*C16</f>
        <v>106.7</v>
      </c>
      <c r="E16" s="72">
        <f t="shared" ref="E16:E31" si="4">B16</f>
        <v>1</v>
      </c>
      <c r="F16" s="77">
        <f>VLOOKUP($B$3,'Data for Bill Impacts'!$A$3:$Y$15,17,0)</f>
        <v>108.63</v>
      </c>
      <c r="G16" s="21">
        <f>E16*F16</f>
        <v>108.63</v>
      </c>
      <c r="H16" s="21">
        <f t="shared" si="2"/>
        <v>1.9299999999999926</v>
      </c>
      <c r="I16" s="22">
        <f t="shared" si="3"/>
        <v>1.8088097469540699E-2</v>
      </c>
      <c r="J16" s="124">
        <f t="shared" si="0"/>
        <v>1.1416033058386269E-2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1.0509097908852315E-6</v>
      </c>
    </row>
    <row r="20" spans="1:10" x14ac:dyDescent="0.2">
      <c r="A20" s="106" t="s">
        <v>39</v>
      </c>
      <c r="B20" s="72">
        <f>IF($B$10="kWh",$B$4,$B$5)</f>
        <v>138</v>
      </c>
      <c r="C20" s="77">
        <f>VLOOKUP($B$3,'Data for Bill Impacts'!$A$3:$Y$15,10,0)</f>
        <v>10.513299999999999</v>
      </c>
      <c r="D20" s="21">
        <f>B20*C20</f>
        <v>1450.8353999999999</v>
      </c>
      <c r="E20" s="72">
        <f t="shared" si="4"/>
        <v>138</v>
      </c>
      <c r="F20" s="77">
        <f>VLOOKUP($B$3,'Data for Bill Impacts'!$A$3:$Y$15,19,0)</f>
        <v>10.8</v>
      </c>
      <c r="G20" s="21">
        <f>E20*F20</f>
        <v>1490.4</v>
      </c>
      <c r="H20" s="21">
        <f t="shared" si="2"/>
        <v>39.564600000000155</v>
      </c>
      <c r="I20" s="22">
        <f t="shared" si="3"/>
        <v>2.7270219626568358E-2</v>
      </c>
      <c r="J20" s="124">
        <f t="shared" si="0"/>
        <v>0.15662759523353492</v>
      </c>
    </row>
    <row r="21" spans="1:10" s="1" customFormat="1" x14ac:dyDescent="0.2">
      <c r="A21" s="106" t="s">
        <v>129</v>
      </c>
      <c r="B21" s="72">
        <f>IF($B$10="kWh",$B$4,$B$5)</f>
        <v>138</v>
      </c>
      <c r="C21" s="77">
        <f>VLOOKUP($B$3,'Data for Bill Impacts'!$A$3:$Y$15,14,0)</f>
        <v>6.4600000000000005E-2</v>
      </c>
      <c r="D21" s="21">
        <f>B21*C21</f>
        <v>8.9148000000000014</v>
      </c>
      <c r="E21" s="72">
        <f>B21</f>
        <v>138</v>
      </c>
      <c r="F21" s="77">
        <f>VLOOKUP($B$3,'Data for Bill Impacts'!$A$3:$Y$15,23,0)</f>
        <v>6.4600000000000005E-2</v>
      </c>
      <c r="G21" s="21">
        <f>E21*F21</f>
        <v>8.9148000000000014</v>
      </c>
      <c r="H21" s="21">
        <f>G21-D21</f>
        <v>0</v>
      </c>
      <c r="I21" s="22">
        <f>IF(ISERROR(H21/D21),0,(H21/D21))</f>
        <v>0</v>
      </c>
      <c r="J21" s="124">
        <f t="shared" si="0"/>
        <v>9.3686506037836631E-4</v>
      </c>
    </row>
    <row r="22" spans="1:10" s="1" customFormat="1" x14ac:dyDescent="0.2">
      <c r="A22" s="106" t="s">
        <v>117</v>
      </c>
      <c r="B22" s="72">
        <f>B9</f>
        <v>53051.25</v>
      </c>
      <c r="C22" s="125">
        <f>VLOOKUP($B$3,'Data for Bill Impacts'!$A$3:$Y$15,20,0)</f>
        <v>1.9E-3</v>
      </c>
      <c r="D22" s="21">
        <f>B22*C22</f>
        <v>100.797375</v>
      </c>
      <c r="E22" s="72">
        <f t="shared" si="4"/>
        <v>53051.25</v>
      </c>
      <c r="F22" s="125">
        <f>VLOOKUP($B$3,'Data for Bill Impacts'!$A$3:$Y$15,21,0)</f>
        <v>1.9E-3</v>
      </c>
      <c r="G22" s="21">
        <f>E22*F22</f>
        <v>100.797375</v>
      </c>
      <c r="H22" s="21">
        <f t="shared" si="2"/>
        <v>0</v>
      </c>
      <c r="I22" s="22">
        <f>IF(ISERROR(H22/D22),0,(H22/D22))</f>
        <v>0</v>
      </c>
      <c r="J22" s="124">
        <f t="shared" si="0"/>
        <v>1.0592894828303027E-2</v>
      </c>
    </row>
    <row r="23" spans="1:10" x14ac:dyDescent="0.2">
      <c r="A23" s="109" t="s">
        <v>95</v>
      </c>
      <c r="B23" s="73"/>
      <c r="C23" s="34"/>
      <c r="D23" s="34">
        <f>SUM(D16:D22)</f>
        <v>1667.2575750000001</v>
      </c>
      <c r="E23" s="72"/>
      <c r="F23" s="34"/>
      <c r="G23" s="34">
        <f>SUM(G16:G22)</f>
        <v>1708.7521750000003</v>
      </c>
      <c r="H23" s="34">
        <f t="shared" si="2"/>
        <v>41.494600000000219</v>
      </c>
      <c r="I23" s="35">
        <f t="shared" si="3"/>
        <v>2.4887936106693181E-2</v>
      </c>
      <c r="J23" s="110">
        <f t="shared" si="0"/>
        <v>0.17957443909039347</v>
      </c>
    </row>
    <row r="24" spans="1:10" x14ac:dyDescent="0.2">
      <c r="A24" s="106" t="s">
        <v>40</v>
      </c>
      <c r="B24" s="72">
        <f>B5</f>
        <v>138</v>
      </c>
      <c r="C24" s="125">
        <f>VLOOKUP($B$3,'Data for Bill Impacts'!$A$3:$Y$15,15,0)</f>
        <v>2.1349</v>
      </c>
      <c r="D24" s="21">
        <f>B24*C24</f>
        <v>294.61619999999999</v>
      </c>
      <c r="E24" s="72">
        <f t="shared" si="4"/>
        <v>138</v>
      </c>
      <c r="F24" s="77">
        <f>VLOOKUP($B$3,'Data for Bill Impacts'!$A$3:$Y$15,24,0)</f>
        <v>2.1349</v>
      </c>
      <c r="G24" s="21">
        <f>E24*F24</f>
        <v>294.61619999999999</v>
      </c>
      <c r="H24" s="21">
        <f t="shared" si="2"/>
        <v>0</v>
      </c>
      <c r="I24" s="22">
        <f t="shared" si="3"/>
        <v>0</v>
      </c>
      <c r="J24" s="124">
        <f t="shared" si="0"/>
        <v>3.0961504913340154E-2</v>
      </c>
    </row>
    <row r="25" spans="1:10" s="1" customFormat="1" x14ac:dyDescent="0.2">
      <c r="A25" s="106" t="s">
        <v>41</v>
      </c>
      <c r="B25" s="72">
        <f>B5</f>
        <v>138</v>
      </c>
      <c r="C25" s="125">
        <f>VLOOKUP($B$3,'Data for Bill Impacts'!$A$3:$Y$15,16,0)</f>
        <v>1.7284999999999999</v>
      </c>
      <c r="D25" s="21">
        <f>B25*C25</f>
        <v>238.53299999999999</v>
      </c>
      <c r="E25" s="72">
        <f t="shared" si="4"/>
        <v>138</v>
      </c>
      <c r="F25" s="77">
        <f>VLOOKUP($B$3,'Data for Bill Impacts'!$A$3:$Y$15,25,0)</f>
        <v>1.7284999999999999</v>
      </c>
      <c r="G25" s="21">
        <f>E25*F25</f>
        <v>238.53299999999999</v>
      </c>
      <c r="H25" s="21">
        <f t="shared" si="2"/>
        <v>0</v>
      </c>
      <c r="I25" s="22">
        <f t="shared" si="3"/>
        <v>0</v>
      </c>
      <c r="J25" s="124">
        <f t="shared" si="0"/>
        <v>2.506766651492269E-2</v>
      </c>
    </row>
    <row r="26" spans="1:10" x14ac:dyDescent="0.2">
      <c r="A26" s="109" t="s">
        <v>76</v>
      </c>
      <c r="B26" s="73"/>
      <c r="C26" s="34"/>
      <c r="D26" s="34">
        <f>SUM(D24:D25)</f>
        <v>533.14919999999995</v>
      </c>
      <c r="E26" s="72"/>
      <c r="F26" s="34"/>
      <c r="G26" s="34">
        <f>SUM(G24:G25)</f>
        <v>533.14919999999995</v>
      </c>
      <c r="H26" s="34">
        <f t="shared" si="2"/>
        <v>0</v>
      </c>
      <c r="I26" s="35">
        <f t="shared" si="3"/>
        <v>0</v>
      </c>
      <c r="J26" s="110">
        <f t="shared" si="0"/>
        <v>5.6029171428262844E-2</v>
      </c>
    </row>
    <row r="27" spans="1:10" s="1" customFormat="1" x14ac:dyDescent="0.2">
      <c r="A27" s="109" t="s">
        <v>80</v>
      </c>
      <c r="B27" s="73"/>
      <c r="C27" s="34"/>
      <c r="D27" s="34">
        <f>D23+D26</f>
        <v>2200.4067749999999</v>
      </c>
      <c r="E27" s="72"/>
      <c r="F27" s="34"/>
      <c r="G27" s="34">
        <f>G23+G26</f>
        <v>2241.9013750000004</v>
      </c>
      <c r="H27" s="34">
        <f t="shared" si="2"/>
        <v>41.494600000000446</v>
      </c>
      <c r="I27" s="35">
        <f t="shared" si="3"/>
        <v>1.8857695073221381E-2</v>
      </c>
      <c r="J27" s="110">
        <f t="shared" si="0"/>
        <v>0.23560361051865633</v>
      </c>
    </row>
    <row r="28" spans="1:10" x14ac:dyDescent="0.2">
      <c r="A28" s="106" t="s">
        <v>42</v>
      </c>
      <c r="B28" s="72">
        <f>B9</f>
        <v>53051.25</v>
      </c>
      <c r="C28" s="33">
        <v>3.5999999999999999E-3</v>
      </c>
      <c r="D28" s="21">
        <f>B28*C28</f>
        <v>190.9845</v>
      </c>
      <c r="E28" s="72">
        <f t="shared" si="4"/>
        <v>53051.25</v>
      </c>
      <c r="F28" s="33">
        <v>3.5999999999999999E-3</v>
      </c>
      <c r="G28" s="21">
        <f>E28*F28</f>
        <v>190.9845</v>
      </c>
      <c r="H28" s="21">
        <f t="shared" si="2"/>
        <v>0</v>
      </c>
      <c r="I28" s="22">
        <f t="shared" si="3"/>
        <v>0</v>
      </c>
      <c r="J28" s="124">
        <f t="shared" si="0"/>
        <v>2.007074809573205E-2</v>
      </c>
    </row>
    <row r="29" spans="1:10" x14ac:dyDescent="0.2">
      <c r="A29" s="106" t="s">
        <v>43</v>
      </c>
      <c r="B29" s="72">
        <f>B9</f>
        <v>53051.25</v>
      </c>
      <c r="C29" s="33">
        <v>2.0999999999999999E-3</v>
      </c>
      <c r="D29" s="21">
        <f>B29*C29</f>
        <v>111.407625</v>
      </c>
      <c r="E29" s="72">
        <f t="shared" si="4"/>
        <v>53051.25</v>
      </c>
      <c r="F29" s="33">
        <v>2.0999999999999999E-3</v>
      </c>
      <c r="G29" s="21">
        <f>E29*F29</f>
        <v>111.407625</v>
      </c>
      <c r="H29" s="21">
        <f>G29-D29</f>
        <v>0</v>
      </c>
      <c r="I29" s="22">
        <f t="shared" si="3"/>
        <v>0</v>
      </c>
      <c r="J29" s="124">
        <f t="shared" si="0"/>
        <v>1.1707936389177028E-2</v>
      </c>
    </row>
    <row r="30" spans="1:10" x14ac:dyDescent="0.2">
      <c r="A30" s="106" t="s">
        <v>99</v>
      </c>
      <c r="B30" s="72">
        <f>B9</f>
        <v>53051.25</v>
      </c>
      <c r="C30" s="33">
        <v>1.1000000000000001E-3</v>
      </c>
      <c r="D30" s="21">
        <f>B30*C30</f>
        <v>58.356375000000007</v>
      </c>
      <c r="E30" s="72">
        <f t="shared" si="4"/>
        <v>53051.25</v>
      </c>
      <c r="F30" s="33">
        <v>1.1000000000000001E-3</v>
      </c>
      <c r="G30" s="21">
        <f>E30*F30</f>
        <v>58.356375000000007</v>
      </c>
      <c r="H30" s="21">
        <f>G30-D30</f>
        <v>0</v>
      </c>
      <c r="I30" s="22">
        <f t="shared" si="3"/>
        <v>0</v>
      </c>
      <c r="J30" s="124">
        <f t="shared" si="0"/>
        <v>6.1327285848070158E-3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2.6272744772130786E-5</v>
      </c>
    </row>
    <row r="32" spans="1:10" x14ac:dyDescent="0.2">
      <c r="A32" s="109" t="s">
        <v>45</v>
      </c>
      <c r="B32" s="73"/>
      <c r="C32" s="34"/>
      <c r="D32" s="34">
        <f>SUM(D28:D31)</f>
        <v>360.99849999999998</v>
      </c>
      <c r="E32" s="72"/>
      <c r="F32" s="34"/>
      <c r="G32" s="34">
        <f>SUM(G28:G31)</f>
        <v>360.99849999999998</v>
      </c>
      <c r="H32" s="34">
        <f t="shared" si="2"/>
        <v>0</v>
      </c>
      <c r="I32" s="35">
        <f t="shared" si="3"/>
        <v>0</v>
      </c>
      <c r="J32" s="110">
        <f t="shared" si="0"/>
        <v>3.7937685814488219E-2</v>
      </c>
    </row>
    <row r="33" spans="1:10" ht="13.5" thickBot="1" x14ac:dyDescent="0.25">
      <c r="A33" s="111" t="s">
        <v>46</v>
      </c>
      <c r="B33" s="112">
        <f>B4</f>
        <v>50525</v>
      </c>
      <c r="C33" s="113">
        <v>7.0000000000000001E-3</v>
      </c>
      <c r="D33" s="114">
        <f>B33*C33</f>
        <v>353.67500000000001</v>
      </c>
      <c r="E33" s="115">
        <f t="shared" ref="E33" si="7">B33</f>
        <v>50525</v>
      </c>
      <c r="F33" s="113">
        <f>C33</f>
        <v>7.0000000000000001E-3</v>
      </c>
      <c r="G33" s="114">
        <f>E33*F33</f>
        <v>353.67500000000001</v>
      </c>
      <c r="H33" s="114">
        <f t="shared" si="2"/>
        <v>0</v>
      </c>
      <c r="I33" s="116">
        <f t="shared" si="3"/>
        <v>0</v>
      </c>
      <c r="J33" s="117">
        <f t="shared" ref="J33:J38" si="8">G33/$G$38</f>
        <v>3.7168052029133425E-2</v>
      </c>
    </row>
    <row r="34" spans="1:10" x14ac:dyDescent="0.2">
      <c r="A34" s="36" t="s">
        <v>116</v>
      </c>
      <c r="B34" s="37"/>
      <c r="C34" s="38"/>
      <c r="D34" s="38">
        <f>SUM(D15,D23,D26,D32,D33)</f>
        <v>8379.3590249999979</v>
      </c>
      <c r="E34" s="37"/>
      <c r="F34" s="38"/>
      <c r="G34" s="38">
        <f>SUM(G15,G23,G26,G32,G33)</f>
        <v>8420.8536249999997</v>
      </c>
      <c r="H34" s="38">
        <f t="shared" si="2"/>
        <v>41.49460000000181</v>
      </c>
      <c r="I34" s="39">
        <f>IF(ISERROR(H34/D34),0,(H34/D34))</f>
        <v>4.9520016836850861E-3</v>
      </c>
      <c r="J34" s="40">
        <f t="shared" si="8"/>
        <v>0.88495575221238931</v>
      </c>
    </row>
    <row r="35" spans="1:10" x14ac:dyDescent="0.2">
      <c r="A35" s="45" t="s">
        <v>108</v>
      </c>
      <c r="B35" s="42"/>
      <c r="C35" s="25">
        <v>0.13</v>
      </c>
      <c r="D35" s="25">
        <f>D34*C35</f>
        <v>1089.3166732499997</v>
      </c>
      <c r="E35" s="25"/>
      <c r="F35" s="25">
        <f>C35</f>
        <v>0.13</v>
      </c>
      <c r="G35" s="25">
        <f>G34*F35</f>
        <v>1094.7109712500001</v>
      </c>
      <c r="H35" s="25">
        <f t="shared" si="2"/>
        <v>5.3942980000003899</v>
      </c>
      <c r="I35" s="43">
        <f t="shared" ref="I35:I38" si="9">IF(ISERROR(H35/D35),0,(H35/D35))</f>
        <v>4.9520016836852284E-3</v>
      </c>
      <c r="J35" s="44">
        <f t="shared" si="8"/>
        <v>0.11504424778761062</v>
      </c>
    </row>
    <row r="36" spans="1:10" x14ac:dyDescent="0.2">
      <c r="A36" s="45" t="s">
        <v>109</v>
      </c>
      <c r="B36" s="23"/>
      <c r="C36" s="24"/>
      <c r="D36" s="24">
        <f>SUM(D34:D35)</f>
        <v>9468.6756982499974</v>
      </c>
      <c r="E36" s="24"/>
      <c r="F36" s="24"/>
      <c r="G36" s="24">
        <f>SUM(G34:G35)</f>
        <v>9515.5645962500002</v>
      </c>
      <c r="H36" s="24">
        <f t="shared" si="2"/>
        <v>46.888898000002882</v>
      </c>
      <c r="I36" s="26">
        <f t="shared" si="9"/>
        <v>4.9520016836851746E-3</v>
      </c>
      <c r="J36" s="46">
        <f t="shared" si="8"/>
        <v>1</v>
      </c>
    </row>
    <row r="37" spans="1:10" x14ac:dyDescent="0.2">
      <c r="A37" s="45" t="s">
        <v>110</v>
      </c>
      <c r="B37" s="42"/>
      <c r="C37" s="25">
        <v>0</v>
      </c>
      <c r="D37" s="25">
        <f>D34*C37</f>
        <v>0</v>
      </c>
      <c r="E37" s="25"/>
      <c r="F37" s="25">
        <f>C37</f>
        <v>0</v>
      </c>
      <c r="G37" s="25">
        <f>G34*F37</f>
        <v>0</v>
      </c>
      <c r="H37" s="25">
        <f t="shared" si="2"/>
        <v>0</v>
      </c>
      <c r="I37" s="43">
        <f t="shared" si="9"/>
        <v>0</v>
      </c>
      <c r="J37" s="44">
        <f t="shared" si="8"/>
        <v>0</v>
      </c>
    </row>
    <row r="38" spans="1:10" ht="13.5" thickBot="1" x14ac:dyDescent="0.25">
      <c r="A38" s="45" t="s">
        <v>111</v>
      </c>
      <c r="B38" s="48"/>
      <c r="C38" s="49"/>
      <c r="D38" s="49">
        <f>SUM(D36:D37)</f>
        <v>9468.6756982499974</v>
      </c>
      <c r="E38" s="49"/>
      <c r="F38" s="49"/>
      <c r="G38" s="49">
        <f>SUM(G36:G37)</f>
        <v>9515.5645962500002</v>
      </c>
      <c r="H38" s="49">
        <f t="shared" si="2"/>
        <v>46.888898000002882</v>
      </c>
      <c r="I38" s="50">
        <f t="shared" si="9"/>
        <v>4.9520016836851746E-3</v>
      </c>
      <c r="J38" s="51">
        <f t="shared" si="8"/>
        <v>1</v>
      </c>
    </row>
    <row r="39" spans="1:10" x14ac:dyDescent="0.2">
      <c r="A39" s="184"/>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FFCC"/>
    <pageSetUpPr fitToPage="1"/>
  </sheetPr>
  <dimension ref="A1:J69"/>
  <sheetViews>
    <sheetView tabSelected="1" view="pageBreakPreview" zoomScaleNormal="120" zoomScaleSheetLayoutView="100" workbookViewId="0">
      <selection activeCell="Q6" sqref="Q6"/>
    </sheetView>
  </sheetViews>
  <sheetFormatPr defaultColWidth="8.85546875" defaultRowHeight="12.75" x14ac:dyDescent="0.2"/>
  <cols>
    <col min="1" max="1" width="12.85546875" style="160" customWidth="1"/>
    <col min="2" max="2" width="13.42578125" style="160" customWidth="1"/>
    <col min="3" max="5" width="13.7109375" style="160" customWidth="1"/>
    <col min="6" max="6" width="12.140625" style="160" customWidth="1"/>
    <col min="7" max="7" width="13" style="160" customWidth="1"/>
    <col min="8" max="8" width="11.85546875" style="160" bestFit="1" customWidth="1"/>
    <col min="9" max="9" width="12.28515625" style="160" bestFit="1" customWidth="1"/>
    <col min="10" max="10" width="19.42578125" style="160" customWidth="1"/>
    <col min="11" max="16384" width="8.85546875" style="160"/>
  </cols>
  <sheetData>
    <row r="1" spans="1:10" ht="39" thickBot="1" x14ac:dyDescent="0.25">
      <c r="A1" s="94" t="s">
        <v>13</v>
      </c>
      <c r="B1" s="88" t="s">
        <v>67</v>
      </c>
      <c r="C1" s="95" t="s">
        <v>62</v>
      </c>
      <c r="D1" s="96" t="s">
        <v>68</v>
      </c>
      <c r="E1" s="98" t="s">
        <v>125</v>
      </c>
      <c r="F1" s="86" t="s">
        <v>63</v>
      </c>
      <c r="G1" s="87" t="s">
        <v>65</v>
      </c>
      <c r="H1" s="85" t="s">
        <v>64</v>
      </c>
      <c r="I1" s="132" t="s">
        <v>66</v>
      </c>
      <c r="J1" s="98" t="s">
        <v>69</v>
      </c>
    </row>
    <row r="2" spans="1:10" x14ac:dyDescent="0.2">
      <c r="A2" s="192" t="s">
        <v>0</v>
      </c>
      <c r="B2" s="89" t="s">
        <v>60</v>
      </c>
      <c r="C2" s="97">
        <f>BI_UR_Low!$B$4</f>
        <v>350</v>
      </c>
      <c r="D2" s="82"/>
      <c r="E2" s="133">
        <f>BI_UR_Low!$D$51</f>
        <v>91.080875024999983</v>
      </c>
      <c r="F2" s="161">
        <f>BI_UR_Low!H$25</f>
        <v>0.75</v>
      </c>
      <c r="G2" s="165">
        <f>BI_UR_Low!I$25</f>
        <v>2.0380434782608696E-2</v>
      </c>
      <c r="H2" s="163">
        <f>BI_UR_Low!H$51</f>
        <v>0.78749999999999432</v>
      </c>
      <c r="I2" s="166">
        <f>BI_UR_Low!I$51</f>
        <v>8.6461619937647765E-3</v>
      </c>
      <c r="J2" s="197" t="s">
        <v>50</v>
      </c>
    </row>
    <row r="3" spans="1:10" x14ac:dyDescent="0.2">
      <c r="A3" s="193"/>
      <c r="B3" s="90" t="s">
        <v>92</v>
      </c>
      <c r="C3" s="92">
        <f>BI_UR_Typical!$B$4</f>
        <v>750</v>
      </c>
      <c r="D3" s="83"/>
      <c r="E3" s="134">
        <f>BI_UR_Typical!$D$51</f>
        <v>149.849303625</v>
      </c>
      <c r="F3" s="167">
        <f>BI_UR_Typical!H$25</f>
        <v>0.75</v>
      </c>
      <c r="G3" s="168">
        <f>BI_UR_Typical!I$25</f>
        <v>2.0336225596529287E-2</v>
      </c>
      <c r="H3" s="169">
        <f>BI_UR_Typical!H$51</f>
        <v>0.78750000000002274</v>
      </c>
      <c r="I3" s="170">
        <f>BI_UR_Typical!I$51</f>
        <v>5.2552796773133667E-3</v>
      </c>
      <c r="J3" s="198"/>
    </row>
    <row r="4" spans="1:10" x14ac:dyDescent="0.2">
      <c r="A4" s="194"/>
      <c r="B4" s="150" t="s">
        <v>106</v>
      </c>
      <c r="C4" s="151">
        <f>BI_UR_Avg!$B$4</f>
        <v>755</v>
      </c>
      <c r="D4" s="152"/>
      <c r="E4" s="153">
        <f>BI_UR_Avg!$D$51</f>
        <v>150.58390898250002</v>
      </c>
      <c r="F4" s="167">
        <f>BI_UR_Avg!H$25</f>
        <v>0.75</v>
      </c>
      <c r="G4" s="168">
        <f>BI_UR_Avg!I$25</f>
        <v>2.0335674195385157E-2</v>
      </c>
      <c r="H4" s="169">
        <f>BI_UR_Avg!H$51</f>
        <v>0.78749999999999432</v>
      </c>
      <c r="I4" s="170">
        <f>BI_UR_Avg!I$51</f>
        <v>5.2296424320576835E-3</v>
      </c>
      <c r="J4" s="198"/>
    </row>
    <row r="5" spans="1:10" ht="13.5" thickBot="1" x14ac:dyDescent="0.25">
      <c r="A5" s="195"/>
      <c r="B5" s="91" t="s">
        <v>61</v>
      </c>
      <c r="C5" s="93">
        <f>BI_UR_High!$B$4</f>
        <v>1400</v>
      </c>
      <c r="D5" s="84"/>
      <c r="E5" s="135">
        <f>BI_UR_High!$D$51</f>
        <v>245.34800009999992</v>
      </c>
      <c r="F5" s="171">
        <f>BI_UR_High!H$25</f>
        <v>0.75</v>
      </c>
      <c r="G5" s="162">
        <f>BI_UR_High!I$25</f>
        <v>2.0264793299108349E-2</v>
      </c>
      <c r="H5" s="172">
        <f>BI_UR_High!H$51</f>
        <v>0.78750000000002274</v>
      </c>
      <c r="I5" s="164">
        <f>BI_UR_High!I$51</f>
        <v>3.2097265911238335E-3</v>
      </c>
      <c r="J5" s="199"/>
    </row>
    <row r="6" spans="1:10" x14ac:dyDescent="0.2">
      <c r="A6" s="192" t="s">
        <v>1</v>
      </c>
      <c r="B6" s="89" t="s">
        <v>60</v>
      </c>
      <c r="C6" s="97">
        <f>BI_R1_Low!$B$4</f>
        <v>400</v>
      </c>
      <c r="D6" s="82"/>
      <c r="E6" s="133">
        <f>BI_R1_Low!$D$51</f>
        <v>120.35857679999999</v>
      </c>
      <c r="F6" s="161">
        <f>BI_R1_Low!H$25</f>
        <v>3.980000000000004</v>
      </c>
      <c r="G6" s="165">
        <f>BI_R1_Low!I$25</f>
        <v>6.9726699369306311E-2</v>
      </c>
      <c r="H6" s="163">
        <f>BI_R1_Low!H$51</f>
        <v>4.179000000000002</v>
      </c>
      <c r="I6" s="166">
        <f>BI_R1_Low!I$51</f>
        <v>3.4721248049852334E-2</v>
      </c>
      <c r="J6" s="197" t="s">
        <v>50</v>
      </c>
    </row>
    <row r="7" spans="1:10" x14ac:dyDescent="0.2">
      <c r="A7" s="193"/>
      <c r="B7" s="90" t="s">
        <v>92</v>
      </c>
      <c r="C7" s="92">
        <f>BI_R1_Typical!$B$4</f>
        <v>750</v>
      </c>
      <c r="D7" s="83"/>
      <c r="E7" s="134">
        <f>BI_R1_Typical!$D$51</f>
        <v>176.61108149999998</v>
      </c>
      <c r="F7" s="167">
        <f>BI_R1_Typical!H$25</f>
        <v>2.230000000000004</v>
      </c>
      <c r="G7" s="173">
        <f>BI_R1_Typical!I$25</f>
        <v>3.6431955562816601E-2</v>
      </c>
      <c r="H7" s="169">
        <f>BI_R1_Typical!H$51</f>
        <v>2.3414999999999964</v>
      </c>
      <c r="I7" s="170">
        <f>BI_R1_Typical!I$51</f>
        <v>1.3257944972156216E-2</v>
      </c>
      <c r="J7" s="198"/>
    </row>
    <row r="8" spans="1:10" x14ac:dyDescent="0.2">
      <c r="A8" s="194"/>
      <c r="B8" s="150" t="s">
        <v>106</v>
      </c>
      <c r="C8" s="151">
        <f>BI_R1_Avg!$B$4</f>
        <v>920</v>
      </c>
      <c r="D8" s="152"/>
      <c r="E8" s="134">
        <f>BI_R1_Avg!$D$51</f>
        <v>203.93372664</v>
      </c>
      <c r="F8" s="167">
        <f>BI_R1_Avg!H$25</f>
        <v>1.3800000000000097</v>
      </c>
      <c r="G8" s="173">
        <f>BI_R1_Avg!I$25</f>
        <v>2.182991647684146E-2</v>
      </c>
      <c r="H8" s="169">
        <f>BI_R1_Avg!H$51</f>
        <v>1.4489999999999839</v>
      </c>
      <c r="I8" s="170">
        <f>BI_R1_Avg!I$51</f>
        <v>7.1052494546812927E-3</v>
      </c>
      <c r="J8" s="198"/>
    </row>
    <row r="9" spans="1:10" ht="13.5" thickBot="1" x14ac:dyDescent="0.25">
      <c r="A9" s="195"/>
      <c r="B9" s="91" t="s">
        <v>61</v>
      </c>
      <c r="C9" s="93">
        <f>BI_R1_High!$B$4</f>
        <v>1800</v>
      </c>
      <c r="D9" s="84"/>
      <c r="E9" s="135">
        <f>BI_R1_High!$D$51</f>
        <v>345.36859559999999</v>
      </c>
      <c r="F9" s="171">
        <f>BI_R1_High!H$25</f>
        <v>-3.019999999999996</v>
      </c>
      <c r="G9" s="162">
        <f>BI_R1_High!I$25</f>
        <v>-4.1032608695652124E-2</v>
      </c>
      <c r="H9" s="172">
        <f>BI_R1_High!H$51</f>
        <v>-3.1709999999999923</v>
      </c>
      <c r="I9" s="164">
        <f>BI_R1_High!I$51</f>
        <v>-9.1814949025434568E-3</v>
      </c>
      <c r="J9" s="199"/>
    </row>
    <row r="10" spans="1:10" x14ac:dyDescent="0.2">
      <c r="A10" s="192" t="s">
        <v>2</v>
      </c>
      <c r="B10" s="89" t="s">
        <v>60</v>
      </c>
      <c r="C10" s="97">
        <f>BI_R2_Low!$B$4</f>
        <v>450</v>
      </c>
      <c r="D10" s="82"/>
      <c r="E10" s="133">
        <f>BI_R2_Low!$D$51</f>
        <v>136.83162234829913</v>
      </c>
      <c r="F10" s="161">
        <f>BI_R2_Low!H$25</f>
        <v>9.1350000000000193</v>
      </c>
      <c r="G10" s="165">
        <f>BI_R2_Low!I$25</f>
        <v>0.14187056435221676</v>
      </c>
      <c r="H10" s="163">
        <f>BI_R2_Low!H$51</f>
        <v>9.5917499999999905</v>
      </c>
      <c r="I10" s="166">
        <f>BI_R2_Low!I$51</f>
        <v>7.0098927684892856E-2</v>
      </c>
      <c r="J10" s="197" t="s">
        <v>50</v>
      </c>
    </row>
    <row r="11" spans="1:10" x14ac:dyDescent="0.2">
      <c r="A11" s="193"/>
      <c r="B11" s="90" t="s">
        <v>92</v>
      </c>
      <c r="C11" s="92">
        <f>BI_R2_Typical!$B$4</f>
        <v>750</v>
      </c>
      <c r="D11" s="83"/>
      <c r="E11" s="134">
        <f>BI_R2_Typical!$D$51</f>
        <v>188.61492909829911</v>
      </c>
      <c r="F11" s="167">
        <f>BI_R2_Typical!H$25</f>
        <v>6.6450000000000244</v>
      </c>
      <c r="G11" s="173">
        <f>BI_R2_Typical!I$25</f>
        <v>9.4322645036897287E-2</v>
      </c>
      <c r="H11" s="169">
        <f>BI_R2_Typical!H$51</f>
        <v>6.9772500000000264</v>
      </c>
      <c r="I11" s="170">
        <f>BI_R2_Typical!I$51</f>
        <v>3.699203468864197E-2</v>
      </c>
      <c r="J11" s="198"/>
    </row>
    <row r="12" spans="1:10" x14ac:dyDescent="0.2">
      <c r="A12" s="194"/>
      <c r="B12" s="150" t="s">
        <v>106</v>
      </c>
      <c r="C12" s="151">
        <f>BI_R2_Avg!$B$4</f>
        <v>1152</v>
      </c>
      <c r="D12" s="152"/>
      <c r="E12" s="153">
        <f>BI_R2_Avg!$D$51</f>
        <v>258.00456014329916</v>
      </c>
      <c r="F12" s="174">
        <f>BI_R2_Avg!H$25</f>
        <v>3.3084000000000202</v>
      </c>
      <c r="G12" s="173">
        <f>BI_R2_Avg!I$25</f>
        <v>4.2107632717825666E-2</v>
      </c>
      <c r="H12" s="175">
        <f>BI_R2_Avg!H$51</f>
        <v>3.4738199999999892</v>
      </c>
      <c r="I12" s="170">
        <f>BI_R2_Avg!I$51</f>
        <v>1.3464180625608259E-2</v>
      </c>
      <c r="J12" s="198"/>
    </row>
    <row r="13" spans="1:10" ht="13.5" thickBot="1" x14ac:dyDescent="0.25">
      <c r="A13" s="195"/>
      <c r="B13" s="91" t="s">
        <v>61</v>
      </c>
      <c r="C13" s="93">
        <f>BI_R2_High!$B$4</f>
        <v>2300</v>
      </c>
      <c r="D13" s="84"/>
      <c r="E13" s="135">
        <f>BI_R2_High!$D$51</f>
        <v>456.16201397329911</v>
      </c>
      <c r="F13" s="171">
        <f>BI_R2_High!H$25</f>
        <v>-6.2199999999999847</v>
      </c>
      <c r="G13" s="162">
        <f>BI_R2_High!I$25</f>
        <v>-6.112440706798955E-2</v>
      </c>
      <c r="H13" s="172">
        <f>BI_R2_High!H$51</f>
        <v>-6.5309999999999491</v>
      </c>
      <c r="I13" s="164">
        <f>BI_R2_High!I$51</f>
        <v>-1.4317281579658742E-2</v>
      </c>
      <c r="J13" s="199"/>
    </row>
    <row r="14" spans="1:10" x14ac:dyDescent="0.2">
      <c r="A14" s="192" t="s">
        <v>3</v>
      </c>
      <c r="B14" s="89" t="s">
        <v>60</v>
      </c>
      <c r="C14" s="97">
        <f>BI_Seas_Low!$B$4</f>
        <v>50</v>
      </c>
      <c r="D14" s="82"/>
      <c r="E14" s="133">
        <f>BI_Seas_Low!$D$51</f>
        <v>68.385122399999986</v>
      </c>
      <c r="F14" s="161">
        <f>BI_Seas_Low!H$25</f>
        <v>5.4450000000000003</v>
      </c>
      <c r="G14" s="165">
        <f>BI_Seas_Low!I$25</f>
        <v>9.5551460910765995E-2</v>
      </c>
      <c r="H14" s="163">
        <f>BI_Seas_Low!H$51</f>
        <v>5.7172500000000213</v>
      </c>
      <c r="I14" s="166">
        <f>BI_Seas_Low!I$51</f>
        <v>8.360371085626693E-2</v>
      </c>
      <c r="J14" s="197" t="s">
        <v>50</v>
      </c>
    </row>
    <row r="15" spans="1:10" x14ac:dyDescent="0.2">
      <c r="A15" s="193"/>
      <c r="B15" s="90" t="s">
        <v>92</v>
      </c>
      <c r="C15" s="92">
        <f>BI_Seas_Typical!$B$4</f>
        <v>350</v>
      </c>
      <c r="D15" s="83"/>
      <c r="E15" s="134">
        <f>BI_Seas_Typical!$D$51</f>
        <v>123.1238568</v>
      </c>
      <c r="F15" s="167">
        <f>BI_Seas_Typical!H$25</f>
        <v>1.5150000000000006</v>
      </c>
      <c r="G15" s="173">
        <f>BI_Seas_Typical!I$25</f>
        <v>2.2783667944958279E-2</v>
      </c>
      <c r="H15" s="169">
        <f>BI_Seas_Typical!H$51</f>
        <v>1.5907499999999999</v>
      </c>
      <c r="I15" s="170">
        <f>BI_Seas_Typical!I$51</f>
        <v>1.2919916914103683E-2</v>
      </c>
      <c r="J15" s="198"/>
    </row>
    <row r="16" spans="1:10" x14ac:dyDescent="0.2">
      <c r="A16" s="194"/>
      <c r="B16" s="150" t="s">
        <v>106</v>
      </c>
      <c r="C16" s="151">
        <f>BI_Seas_Avg!$B$4</f>
        <v>352</v>
      </c>
      <c r="D16" s="152"/>
      <c r="E16" s="134">
        <f>BI_Seas_Avg!$D$51</f>
        <v>123.48878169600002</v>
      </c>
      <c r="F16" s="167">
        <f>BI_Seas_Avg!H$25</f>
        <v>1.4887999999999977</v>
      </c>
      <c r="G16" s="173">
        <f>BI_Seas_Avg!I$25</f>
        <v>2.2368326161686544E-2</v>
      </c>
      <c r="H16" s="169">
        <f>BI_Seas_Avg!H$51</f>
        <v>1.5632400000000075</v>
      </c>
      <c r="I16" s="170">
        <f>BI_Seas_Avg!I$51</f>
        <v>1.2658963660750434E-2</v>
      </c>
      <c r="J16" s="198"/>
    </row>
    <row r="17" spans="1:10" ht="13.5" thickBot="1" x14ac:dyDescent="0.25">
      <c r="A17" s="195"/>
      <c r="B17" s="91" t="s">
        <v>61</v>
      </c>
      <c r="C17" s="93">
        <f>BI_Seas_High!$B$4</f>
        <v>1000</v>
      </c>
      <c r="D17" s="84"/>
      <c r="E17" s="135">
        <f>BI_Seas_High!$D$51</f>
        <v>241.72444800000005</v>
      </c>
      <c r="F17" s="171">
        <f>BI_Seas_High!H$25</f>
        <v>-7</v>
      </c>
      <c r="G17" s="162">
        <f>BI_Seas_High!I$25</f>
        <v>-8.0367393800229614E-2</v>
      </c>
      <c r="H17" s="172">
        <f>BI_Seas_High!H$51</f>
        <v>-7.3500000000000227</v>
      </c>
      <c r="I17" s="164">
        <f>BI_Seas_High!I$51</f>
        <v>-3.0406523050577082E-2</v>
      </c>
      <c r="J17" s="199"/>
    </row>
    <row r="18" spans="1:10" x14ac:dyDescent="0.2">
      <c r="A18" s="196" t="s">
        <v>4</v>
      </c>
      <c r="B18" s="89" t="s">
        <v>60</v>
      </c>
      <c r="C18" s="97">
        <f>BI_GSe_Low!$B$4</f>
        <v>1000</v>
      </c>
      <c r="D18" s="82"/>
      <c r="E18" s="133">
        <f>BI_GSe_Low!$D$51</f>
        <v>257.61355199999997</v>
      </c>
      <c r="F18" s="161">
        <f>BI_GSe_Low!H$25</f>
        <v>2.4900000000000233</v>
      </c>
      <c r="G18" s="165">
        <f>BI_GSe_Low!I$25</f>
        <v>2.5720483421134425E-2</v>
      </c>
      <c r="H18" s="163">
        <f>BI_GSe_Low!H$51</f>
        <v>2.6145000000000209</v>
      </c>
      <c r="I18" s="166">
        <f>BI_GSe_Low!I$51</f>
        <v>1.0148922600158943E-2</v>
      </c>
      <c r="J18" s="197" t="s">
        <v>50</v>
      </c>
    </row>
    <row r="19" spans="1:10" x14ac:dyDescent="0.2">
      <c r="A19" s="187"/>
      <c r="B19" s="90" t="s">
        <v>92</v>
      </c>
      <c r="C19" s="92">
        <f>BI_GSe_Typical!$B$4</f>
        <v>2000</v>
      </c>
      <c r="D19" s="83"/>
      <c r="E19" s="134">
        <f>BI_GSe_Typical!$D$51</f>
        <v>481.15460400000006</v>
      </c>
      <c r="F19" s="167">
        <f>BI_GSe_Typical!H$25</f>
        <v>4.3900000000000432</v>
      </c>
      <c r="G19" s="173">
        <f>BI_GSe_Typical!I$25</f>
        <v>2.7063682880217273E-2</v>
      </c>
      <c r="H19" s="169">
        <f>BI_GSe_Typical!H$51</f>
        <v>4.6094999999999686</v>
      </c>
      <c r="I19" s="170">
        <f>BI_GSe_Typical!I$51</f>
        <v>9.5800808340596646E-3</v>
      </c>
      <c r="J19" s="198"/>
    </row>
    <row r="20" spans="1:10" x14ac:dyDescent="0.2">
      <c r="A20" s="187"/>
      <c r="B20" s="150" t="s">
        <v>106</v>
      </c>
      <c r="C20" s="151">
        <f>BI_GSe_Avg!$B$4</f>
        <v>1982</v>
      </c>
      <c r="D20" s="152"/>
      <c r="E20" s="134">
        <f>BI_GSe_Avg!$D$51</f>
        <v>477.13086506399998</v>
      </c>
      <c r="F20" s="167">
        <f>BI_GSe_Avg!H$25</f>
        <v>4.3558000000000447</v>
      </c>
      <c r="G20" s="173">
        <f>BI_GSe_Avg!I$25</f>
        <v>2.7049147751265861E-2</v>
      </c>
      <c r="H20" s="169">
        <f>BI_GSe_Avg!H$51</f>
        <v>4.5735900000001379</v>
      </c>
      <c r="I20" s="170">
        <f>BI_GSe_Avg!I$51</f>
        <v>9.5856091795416733E-3</v>
      </c>
      <c r="J20" s="198"/>
    </row>
    <row r="21" spans="1:10" ht="13.5" thickBot="1" x14ac:dyDescent="0.25">
      <c r="A21" s="188"/>
      <c r="B21" s="91" t="s">
        <v>61</v>
      </c>
      <c r="C21" s="93">
        <f>BI_GSe_High!$B$4</f>
        <v>15000</v>
      </c>
      <c r="D21" s="84"/>
      <c r="E21" s="135">
        <f>BI_GSe_High!$D$51</f>
        <v>3387.1882799999998</v>
      </c>
      <c r="F21" s="171">
        <f>BI_GSe_High!H$25</f>
        <v>29.090000000000146</v>
      </c>
      <c r="G21" s="162">
        <f>BI_GSe_High!I$25</f>
        <v>2.8733418279155827E-2</v>
      </c>
      <c r="H21" s="172">
        <f>BI_GSe_High!H$51</f>
        <v>30.544500000000426</v>
      </c>
      <c r="I21" s="164">
        <f>BI_GSe_High!I$51</f>
        <v>9.0176563789953913E-3</v>
      </c>
      <c r="J21" s="199"/>
    </row>
    <row r="22" spans="1:10" x14ac:dyDescent="0.2">
      <c r="A22" s="196" t="s">
        <v>6</v>
      </c>
      <c r="B22" s="89" t="s">
        <v>60</v>
      </c>
      <c r="C22" s="97">
        <f>BI_UGe_Low!$B$4</f>
        <v>1000</v>
      </c>
      <c r="D22" s="82"/>
      <c r="E22" s="133">
        <f>BI_UGe_Low!$D$51</f>
        <v>212.06034149999999</v>
      </c>
      <c r="F22" s="161">
        <f>BI_UGe_Low!H$25</f>
        <v>1.4499999999999957</v>
      </c>
      <c r="G22" s="165">
        <f>BI_UGe_Low!I$25</f>
        <v>2.5613849143260831E-2</v>
      </c>
      <c r="H22" s="163">
        <f>BI_UGe_Low!H$51</f>
        <v>1.5224999999999795</v>
      </c>
      <c r="I22" s="166">
        <f>BI_UGe_Low!I$51</f>
        <v>7.1795602573807024E-3</v>
      </c>
      <c r="J22" s="197" t="s">
        <v>50</v>
      </c>
    </row>
    <row r="23" spans="1:10" x14ac:dyDescent="0.2">
      <c r="A23" s="187"/>
      <c r="B23" s="90" t="s">
        <v>92</v>
      </c>
      <c r="C23" s="92">
        <f>BI_UGe_Typical!$B$4</f>
        <v>2000</v>
      </c>
      <c r="D23" s="83"/>
      <c r="E23" s="134">
        <f>BI_UGe_Typical!$D$51</f>
        <v>396.13818299999997</v>
      </c>
      <c r="F23" s="167">
        <f>BI_UGe_Typical!$H$25</f>
        <v>2.3499999999999943</v>
      </c>
      <c r="G23" s="173">
        <f>BI_UGe_Typical!$I$25</f>
        <v>2.6823421983791736E-2</v>
      </c>
      <c r="H23" s="169">
        <f>BI_UGe_Typical!$H$51</f>
        <v>2.4675000000000296</v>
      </c>
      <c r="I23" s="170">
        <f>BI_UGe_Typical!$I$51</f>
        <v>6.2288870547983245E-3</v>
      </c>
      <c r="J23" s="198"/>
    </row>
    <row r="24" spans="1:10" x14ac:dyDescent="0.2">
      <c r="A24" s="187"/>
      <c r="B24" s="150" t="s">
        <v>106</v>
      </c>
      <c r="C24" s="92">
        <f>BI_UGe_Avg!$B$4</f>
        <v>2759</v>
      </c>
      <c r="D24" s="83"/>
      <c r="E24" s="134">
        <f>BI_UGe_Avg!$D$51</f>
        <v>535.85326469849997</v>
      </c>
      <c r="F24" s="167">
        <f>BI_UGe_Avg!$H$25</f>
        <v>3.0331000000000046</v>
      </c>
      <c r="G24" s="173">
        <f>BI_UGe_Avg!$I$25</f>
        <v>2.7291049946463478E-2</v>
      </c>
      <c r="H24" s="169">
        <f>BI_UGe_Avg!$H$51</f>
        <v>3.1847550000001092</v>
      </c>
      <c r="I24" s="170">
        <f>BI_UGe_Avg!$I$51</f>
        <v>5.9433341360568635E-3</v>
      </c>
      <c r="J24" s="198"/>
    </row>
    <row r="25" spans="1:10" ht="13.5" thickBot="1" x14ac:dyDescent="0.25">
      <c r="A25" s="188"/>
      <c r="B25" s="91" t="s">
        <v>61</v>
      </c>
      <c r="C25" s="93">
        <f>BI_UGe_High!$B$4</f>
        <v>15000</v>
      </c>
      <c r="D25" s="84"/>
      <c r="E25" s="135">
        <f>BI_UGe_High!$D$51</f>
        <v>2789.1501225000002</v>
      </c>
      <c r="F25" s="171">
        <f>BI_UGe_High!H$25</f>
        <v>14.050000000000011</v>
      </c>
      <c r="G25" s="162">
        <f>BI_UGe_High!I$25</f>
        <v>2.8637818226289743E-2</v>
      </c>
      <c r="H25" s="172">
        <f>BI_UGe_High!H$51</f>
        <v>14.752499999999145</v>
      </c>
      <c r="I25" s="164">
        <f>BI_UGe_High!I$51</f>
        <v>5.2892455952768978E-3</v>
      </c>
      <c r="J25" s="199"/>
    </row>
    <row r="26" spans="1:10" x14ac:dyDescent="0.2">
      <c r="A26" s="196" t="s">
        <v>5</v>
      </c>
      <c r="B26" s="89" t="s">
        <v>60</v>
      </c>
      <c r="C26" s="97">
        <f>BI_GSd_Low!$B$4</f>
        <v>15000</v>
      </c>
      <c r="D26" s="82">
        <f>BI_GSd_Low!B$5</f>
        <v>60</v>
      </c>
      <c r="E26" s="133">
        <f>BI_GSd_Low!D$38</f>
        <v>3692.2812150000004</v>
      </c>
      <c r="F26" s="161">
        <f>BI_GSd_Low!H$23</f>
        <v>31.557999999999993</v>
      </c>
      <c r="G26" s="165">
        <f>BI_GSd_Low!I$23</f>
        <v>2.5412444915075095E-2</v>
      </c>
      <c r="H26" s="163">
        <f>BI_GSd_Low!H$38</f>
        <v>35.660539999999855</v>
      </c>
      <c r="I26" s="166">
        <f>BI_GSd_Low!I$38</f>
        <v>9.6581321745288166E-3</v>
      </c>
      <c r="J26" s="200" t="s">
        <v>70</v>
      </c>
    </row>
    <row r="27" spans="1:10" x14ac:dyDescent="0.2">
      <c r="A27" s="187"/>
      <c r="B27" s="90" t="s">
        <v>106</v>
      </c>
      <c r="C27" s="92">
        <f>BI_GSd_Avg!$B$4</f>
        <v>36104</v>
      </c>
      <c r="D27" s="83">
        <f>BI_GSd_Avg!B$5</f>
        <v>128</v>
      </c>
      <c r="E27" s="134">
        <f>BI_GSd_Avg!D$38</f>
        <v>8320.8189860239981</v>
      </c>
      <c r="F27" s="167">
        <f>BI_GSd_Avg!H$23</f>
        <v>65.374400000000151</v>
      </c>
      <c r="G27" s="173">
        <f>BI_GSd_Avg!I$23</f>
        <v>2.5782928195387134E-2</v>
      </c>
      <c r="H27" s="169">
        <f>BI_GSd_Avg!H$38</f>
        <v>73.87307200000032</v>
      </c>
      <c r="I27" s="170">
        <f>BI_GSd_Avg!I$38</f>
        <v>8.8781010768387916E-3</v>
      </c>
      <c r="J27" s="201"/>
    </row>
    <row r="28" spans="1:10" ht="13.5" thickBot="1" x14ac:dyDescent="0.25">
      <c r="A28" s="188"/>
      <c r="B28" s="91" t="s">
        <v>61</v>
      </c>
      <c r="C28" s="93">
        <f>BI_GSd_High!$B$4</f>
        <v>175000</v>
      </c>
      <c r="D28" s="84">
        <f>BI_GSd_High!B$5</f>
        <v>500</v>
      </c>
      <c r="E28" s="135">
        <f>BI_GSd_High!D$38</f>
        <v>26597.428674999996</v>
      </c>
      <c r="F28" s="171">
        <f>BI_GSd_High!H$23</f>
        <v>1.7219000000000051</v>
      </c>
      <c r="G28" s="162">
        <f>BI_GSd_High!I$23</f>
        <v>3.5585085222135642E-3</v>
      </c>
      <c r="H28" s="172">
        <f>BI_GSd_High!H$38</f>
        <v>1.9457470000015746</v>
      </c>
      <c r="I28" s="164">
        <f>BI_GSd_High!I$38</f>
        <v>7.3155455129783335E-5</v>
      </c>
      <c r="J28" s="202"/>
    </row>
    <row r="29" spans="1:10" ht="12.75" customHeight="1" x14ac:dyDescent="0.2">
      <c r="A29" s="196" t="s">
        <v>7</v>
      </c>
      <c r="B29" s="89" t="s">
        <v>60</v>
      </c>
      <c r="C29" s="97">
        <f>BI_UGd_Low!$B$4</f>
        <v>15000</v>
      </c>
      <c r="D29" s="82">
        <f>BI_UGd_Low!B$5</f>
        <v>60</v>
      </c>
      <c r="E29" s="133">
        <f>BI_UGd_Low!D$38</f>
        <v>3206.6156900000001</v>
      </c>
      <c r="F29" s="161">
        <f>BI_UGd_Low!H$23</f>
        <v>19.131999999999948</v>
      </c>
      <c r="G29" s="165">
        <f>BI_UGd_Low!I$23</f>
        <v>2.4804585451485655E-2</v>
      </c>
      <c r="H29" s="163">
        <f>BI_UGd_Low!H$38</f>
        <v>21.619159999999738</v>
      </c>
      <c r="I29" s="166">
        <f>BI_UGd_Low!I$38</f>
        <v>6.7420489668968521E-3</v>
      </c>
      <c r="J29" s="200" t="s">
        <v>70</v>
      </c>
    </row>
    <row r="30" spans="1:10" x14ac:dyDescent="0.2">
      <c r="A30" s="187"/>
      <c r="B30" s="90" t="s">
        <v>106</v>
      </c>
      <c r="C30" s="92">
        <f>BI_UGd_Avg!$B$4</f>
        <v>50525</v>
      </c>
      <c r="D30" s="83">
        <f>BI_UGd_Avg!B$5</f>
        <v>138</v>
      </c>
      <c r="E30" s="134">
        <f>BI_UGd_Avg!D$38</f>
        <v>9468.6756982499974</v>
      </c>
      <c r="F30" s="167">
        <f>BI_UGd_Avg!H$23</f>
        <v>41.494600000000219</v>
      </c>
      <c r="G30" s="173">
        <f>BI_UGd_Avg!I$23</f>
        <v>2.4887936106693181E-2</v>
      </c>
      <c r="H30" s="169">
        <f>BI_UGd_Avg!H$38</f>
        <v>46.888898000002882</v>
      </c>
      <c r="I30" s="170">
        <f>BI_UGd_Avg!I$38</f>
        <v>4.9520016836851746E-3</v>
      </c>
      <c r="J30" s="201"/>
    </row>
    <row r="31" spans="1:10" ht="13.5" thickBot="1" x14ac:dyDescent="0.25">
      <c r="A31" s="188"/>
      <c r="B31" s="91" t="s">
        <v>61</v>
      </c>
      <c r="C31" s="93">
        <f>BI_UGd_High!$B$4</f>
        <v>175000</v>
      </c>
      <c r="D31" s="84">
        <f>BI_UGd_High!B$5</f>
        <v>500</v>
      </c>
      <c r="E31" s="135">
        <f>BI_UGd_High!D$38</f>
        <v>26917.543549999999</v>
      </c>
      <c r="F31" s="171">
        <f>BI_UGd_High!H$23</f>
        <v>2.8818999999999733</v>
      </c>
      <c r="G31" s="162">
        <f>BI_UGd_High!I$23</f>
        <v>5.9038995359889639E-3</v>
      </c>
      <c r="H31" s="172">
        <f>BI_UGd_High!H$38</f>
        <v>3.2565470000008645</v>
      </c>
      <c r="I31" s="164">
        <f>BI_UGd_High!I$38</f>
        <v>1.209823249269291E-4</v>
      </c>
      <c r="J31" s="202"/>
    </row>
    <row r="32" spans="1:10" x14ac:dyDescent="0.2">
      <c r="A32" s="187" t="s">
        <v>8</v>
      </c>
      <c r="B32" s="89" t="s">
        <v>60</v>
      </c>
      <c r="C32" s="97">
        <f>BI_StLgt_Low!B4</f>
        <v>100</v>
      </c>
      <c r="D32" s="82"/>
      <c r="E32" s="133">
        <f>BI_StLgt_Low!D39</f>
        <v>30.707031600000001</v>
      </c>
      <c r="F32" s="161">
        <f>BI_StLgt_Low!H$22</f>
        <v>0.39999999999999858</v>
      </c>
      <c r="G32" s="165">
        <f>BI_StLgt_Low!I$22</f>
        <v>2.5823111684957947E-2</v>
      </c>
      <c r="H32" s="163">
        <f>BI_StLgt_Low!H$39</f>
        <v>0.41999999999999815</v>
      </c>
      <c r="I32" s="166">
        <f>BI_StLgt_Low!I$39</f>
        <v>1.3677648998153184E-2</v>
      </c>
      <c r="J32" s="197" t="s">
        <v>98</v>
      </c>
    </row>
    <row r="33" spans="1:10" x14ac:dyDescent="0.2">
      <c r="A33" s="187"/>
      <c r="B33" s="90" t="s">
        <v>106</v>
      </c>
      <c r="C33" s="92">
        <f>BI_StLgt_Avg!B4</f>
        <v>517</v>
      </c>
      <c r="D33" s="83"/>
      <c r="E33" s="134">
        <f>BI_StLgt_Avg!D39</f>
        <v>136.30104961199999</v>
      </c>
      <c r="F33" s="167">
        <f>BI_StLgt_Avg!H24</f>
        <v>1.5675999999999988</v>
      </c>
      <c r="G33" s="173">
        <f>BI_StLgt_Avg!I24</f>
        <v>2.4083024552578988E-2</v>
      </c>
      <c r="H33" s="169">
        <f>BI_StLgt_Avg!H$39</f>
        <v>1.6459800000000087</v>
      </c>
      <c r="I33" s="170">
        <f>BI_StLgt_Avg!I$39</f>
        <v>1.2076062544533011E-2</v>
      </c>
      <c r="J33" s="198"/>
    </row>
    <row r="34" spans="1:10" ht="13.5" thickBot="1" x14ac:dyDescent="0.25">
      <c r="A34" s="188"/>
      <c r="B34" s="91" t="s">
        <v>61</v>
      </c>
      <c r="C34" s="93">
        <f>BI_StLgt_High!B4</f>
        <v>2000</v>
      </c>
      <c r="D34" s="84"/>
      <c r="E34" s="135">
        <f>BI_StLgt_High!D39</f>
        <v>541.09423200000003</v>
      </c>
      <c r="F34" s="171">
        <f>BI_StLgt_High!H$22</f>
        <v>5.7199999999999704</v>
      </c>
      <c r="G34" s="162">
        <f>BI_StLgt_High!I$22</f>
        <v>2.6098462380800155E-2</v>
      </c>
      <c r="H34" s="172">
        <f>BI_StLgt_High!H$39</f>
        <v>6.0059999999999718</v>
      </c>
      <c r="I34" s="164">
        <f>BI_StLgt_High!I$39</f>
        <v>1.1099730222221204E-2</v>
      </c>
      <c r="J34" s="199"/>
    </row>
    <row r="35" spans="1:10" x14ac:dyDescent="0.2">
      <c r="A35" s="187" t="s">
        <v>9</v>
      </c>
      <c r="B35" s="89" t="s">
        <v>60</v>
      </c>
      <c r="C35" s="97">
        <f>BI_SenLgt_Low!B4</f>
        <v>20</v>
      </c>
      <c r="D35" s="82"/>
      <c r="E35" s="133">
        <f>BI_SenLgt_Low!D39</f>
        <v>9.6904063199999992</v>
      </c>
      <c r="F35" s="161">
        <f>BI_SenLgt_Low!H$22</f>
        <v>0.28599999999999959</v>
      </c>
      <c r="G35" s="165">
        <f>BI_SenLgt_Low!I$22</f>
        <v>4.5555909525326475E-2</v>
      </c>
      <c r="H35" s="163">
        <f>BI_SenLgt_Low!H$39</f>
        <v>0.30030000000000001</v>
      </c>
      <c r="I35" s="166">
        <f>BI_SenLgt_Low!I$39</f>
        <v>3.0989412629706947E-2</v>
      </c>
      <c r="J35" s="197" t="s">
        <v>98</v>
      </c>
    </row>
    <row r="36" spans="1:10" x14ac:dyDescent="0.2">
      <c r="A36" s="187"/>
      <c r="B36" s="90" t="s">
        <v>106</v>
      </c>
      <c r="C36" s="92">
        <f>BI_SenLgt_Avg!B4</f>
        <v>71</v>
      </c>
      <c r="D36" s="83"/>
      <c r="E36" s="134">
        <f>BI_SenLgt_Avg!D39</f>
        <v>24.092567436</v>
      </c>
      <c r="F36" s="167">
        <f>BI_SenLgt_Avg!H$22</f>
        <v>0.6073000000000004</v>
      </c>
      <c r="G36" s="173">
        <f>BI_SenLgt_Avg!I$22</f>
        <v>4.6334373497928606E-2</v>
      </c>
      <c r="H36" s="169">
        <f>BI_SenLgt_Avg!H$39</f>
        <v>0.63766500000000548</v>
      </c>
      <c r="I36" s="170">
        <f>BI_SenLgt_Avg!I$39</f>
        <v>2.646729127951648E-2</v>
      </c>
      <c r="J36" s="198"/>
    </row>
    <row r="37" spans="1:10" ht="13.5" thickBot="1" x14ac:dyDescent="0.25">
      <c r="A37" s="188"/>
      <c r="B37" s="91" t="s">
        <v>61</v>
      </c>
      <c r="C37" s="93">
        <f>BI_SenLgt_High!B4</f>
        <v>200</v>
      </c>
      <c r="D37" s="84"/>
      <c r="E37" s="135">
        <f>BI_SenLgt_High!D39</f>
        <v>60.521563200000003</v>
      </c>
      <c r="F37" s="171">
        <f>BI_SenLgt_High!H$22</f>
        <v>1.4199999999999982</v>
      </c>
      <c r="G37" s="162">
        <f>BI_SenLgt_High!I$22</f>
        <v>4.6741277156023636E-2</v>
      </c>
      <c r="H37" s="172">
        <f>BI_SenLgt_High!H$39</f>
        <v>1.4909999999999926</v>
      </c>
      <c r="I37" s="164">
        <f>BI_SenLgt_High!I$39</f>
        <v>2.4635847475928917E-2</v>
      </c>
      <c r="J37" s="199"/>
    </row>
    <row r="38" spans="1:10" x14ac:dyDescent="0.2">
      <c r="A38" s="187" t="s">
        <v>12</v>
      </c>
      <c r="B38" s="89" t="s">
        <v>60</v>
      </c>
      <c r="C38" s="97">
        <f>BI_USL_Low!B4</f>
        <v>100</v>
      </c>
      <c r="D38" s="82"/>
      <c r="E38" s="133">
        <f>BI_USL_Low!D39</f>
        <v>57.139277999999997</v>
      </c>
      <c r="F38" s="161">
        <f>BI_USL_Low!H$22</f>
        <v>1.0600000000000023</v>
      </c>
      <c r="G38" s="165">
        <f>BI_USL_Low!I$22</f>
        <v>2.6140567200986491E-2</v>
      </c>
      <c r="H38" s="163">
        <f>BI_USL_Low!H$39</f>
        <v>1.1129999999999995</v>
      </c>
      <c r="I38" s="166">
        <f>BI_USL_Low!I$39</f>
        <v>1.9478720049630301E-2</v>
      </c>
      <c r="J38" s="197" t="s">
        <v>98</v>
      </c>
    </row>
    <row r="39" spans="1:10" x14ac:dyDescent="0.2">
      <c r="A39" s="187"/>
      <c r="B39" s="90" t="s">
        <v>106</v>
      </c>
      <c r="C39" s="92">
        <f>BI_USL_Avg!B4</f>
        <v>364</v>
      </c>
      <c r="D39" s="83"/>
      <c r="E39" s="134">
        <f>BI_USL_Avg!D39</f>
        <v>103.37169192</v>
      </c>
      <c r="F39" s="167">
        <f>BI_USL_Avg!H$22</f>
        <v>1.244800000000005</v>
      </c>
      <c r="G39" s="173">
        <f>BI_USL_Avg!I$22</f>
        <v>2.5598210099448161E-2</v>
      </c>
      <c r="H39" s="169">
        <f>BI_USL_Avg!H$39</f>
        <v>1.3070400000000149</v>
      </c>
      <c r="I39" s="170">
        <f>BI_USL_Avg!I$39</f>
        <v>1.2644080557485131E-2</v>
      </c>
      <c r="J39" s="198"/>
    </row>
    <row r="40" spans="1:10" ht="13.5" thickBot="1" x14ac:dyDescent="0.25">
      <c r="A40" s="188"/>
      <c r="B40" s="91" t="s">
        <v>61</v>
      </c>
      <c r="C40" s="93">
        <f>BI_USL_High!B4</f>
        <v>1000</v>
      </c>
      <c r="D40" s="84"/>
      <c r="E40" s="135">
        <f>BI_USL_High!D39</f>
        <v>221.21358000000004</v>
      </c>
      <c r="F40" s="171">
        <f>BI_USL_High!H$22</f>
        <v>1.6899999999999977</v>
      </c>
      <c r="G40" s="162">
        <f>BI_USL_High!I$22</f>
        <v>2.4820091055955319E-2</v>
      </c>
      <c r="H40" s="172">
        <f>BI_USL_High!H$39</f>
        <v>1.7744999999999891</v>
      </c>
      <c r="I40" s="164">
        <f>BI_USL_High!I$39</f>
        <v>8.0216594297691339E-3</v>
      </c>
      <c r="J40" s="199"/>
    </row>
    <row r="41" spans="1:10" ht="12.75" customHeight="1" x14ac:dyDescent="0.2">
      <c r="A41" s="187" t="s">
        <v>47</v>
      </c>
      <c r="B41" s="89" t="s">
        <v>60</v>
      </c>
      <c r="C41" s="97">
        <f>BI_DGen_Low!B4</f>
        <v>300</v>
      </c>
      <c r="D41" s="82">
        <f>BI_DGen_Low!B5</f>
        <v>10</v>
      </c>
      <c r="E41" s="133">
        <f>BI_DGen_Low!D38</f>
        <v>405.82606430000004</v>
      </c>
      <c r="F41" s="161">
        <f>BI_DGen_Low!H$23</f>
        <v>7.8689999999999714</v>
      </c>
      <c r="G41" s="165">
        <f>BI_DGen_Low!I$23</f>
        <v>2.5391998864668749E-2</v>
      </c>
      <c r="H41" s="163">
        <f>BI_DGen_Low!H$38</f>
        <v>8.891969999999958</v>
      </c>
      <c r="I41" s="166">
        <f>BI_DGen_Low!I$38</f>
        <v>2.1910790809697031E-2</v>
      </c>
      <c r="J41" s="200" t="s">
        <v>70</v>
      </c>
    </row>
    <row r="42" spans="1:10" x14ac:dyDescent="0.2">
      <c r="A42" s="187"/>
      <c r="B42" s="90" t="s">
        <v>106</v>
      </c>
      <c r="C42" s="92">
        <f>BI_DGen_Avg!B4</f>
        <v>1328</v>
      </c>
      <c r="D42" s="83">
        <f>BI_DGen_Avg!B5</f>
        <v>12</v>
      </c>
      <c r="E42" s="134">
        <f>BI_DGen_Avg!D38</f>
        <v>579.46964276799986</v>
      </c>
      <c r="F42" s="167">
        <f>BI_DGen_Avg!H$23</f>
        <v>9.4428000000000338</v>
      </c>
      <c r="G42" s="173">
        <f>BI_DGen_Avg!I$23</f>
        <v>2.8252881584481547E-2</v>
      </c>
      <c r="H42" s="169">
        <f>BI_DGen_Avg!H$38</f>
        <v>10.670364000000177</v>
      </c>
      <c r="I42" s="170">
        <f>BI_DGen_Avg!I$38</f>
        <v>1.8414017253829174E-2</v>
      </c>
      <c r="J42" s="201"/>
    </row>
    <row r="43" spans="1:10" ht="13.5" thickBot="1" x14ac:dyDescent="0.25">
      <c r="A43" s="188"/>
      <c r="B43" s="91" t="s">
        <v>61</v>
      </c>
      <c r="C43" s="93">
        <f>BI_DGen_High!B4</f>
        <v>5000</v>
      </c>
      <c r="D43" s="84">
        <f>BI_DGen_High!B5</f>
        <v>100</v>
      </c>
      <c r="E43" s="135">
        <f>BI_DGen_High!D38</f>
        <v>2325.3123049999999</v>
      </c>
      <c r="F43" s="171">
        <f>BI_DGen_High!H$23</f>
        <v>78.690000000000055</v>
      </c>
      <c r="G43" s="162">
        <f>BI_DGen_High!I$23</f>
        <v>5.9582964678409907E-2</v>
      </c>
      <c r="H43" s="172">
        <f>BI_DGen_High!H$38</f>
        <v>88.919699999999921</v>
      </c>
      <c r="I43" s="164">
        <f>BI_DGen_High!I$38</f>
        <v>3.8239895694354882E-2</v>
      </c>
      <c r="J43" s="202"/>
    </row>
    <row r="44" spans="1:10" x14ac:dyDescent="0.2">
      <c r="A44" s="187" t="s">
        <v>11</v>
      </c>
      <c r="B44" s="89" t="s">
        <v>60</v>
      </c>
      <c r="C44" s="97">
        <f>BI_ST_Low!B4</f>
        <v>200000</v>
      </c>
      <c r="D44" s="82">
        <f>BI_ST_Low!B5</f>
        <v>500</v>
      </c>
      <c r="E44" s="133">
        <f>BI_ST_Low!D38</f>
        <v>33591.635694975397</v>
      </c>
      <c r="F44" s="161">
        <f>BI_ST_Low!H$23</f>
        <v>52.607514835734946</v>
      </c>
      <c r="G44" s="165">
        <f>BI_ST_Low!I$23</f>
        <v>2.0824999555631621E-2</v>
      </c>
      <c r="H44" s="163">
        <f>BI_ST_Low!H$38</f>
        <v>59.446491764378152</v>
      </c>
      <c r="I44" s="166">
        <f>BI_ST_Low!I$38</f>
        <v>1.7696813666406277E-3</v>
      </c>
      <c r="J44" s="200" t="s">
        <v>70</v>
      </c>
    </row>
    <row r="45" spans="1:10" x14ac:dyDescent="0.2">
      <c r="A45" s="187"/>
      <c r="B45" s="90" t="s">
        <v>106</v>
      </c>
      <c r="C45" s="92">
        <f>BI_ST_Avg!B4</f>
        <v>1601036</v>
      </c>
      <c r="D45" s="83">
        <f>BI_ST_Avg!B5</f>
        <v>2960</v>
      </c>
      <c r="E45" s="134">
        <f>BI_ST_Avg!D38</f>
        <v>249510.72737475837</v>
      </c>
      <c r="F45" s="167">
        <f>BI_ST_Avg!H$23</f>
        <v>158.52288782755204</v>
      </c>
      <c r="G45" s="173">
        <f>BI_ST_Avg!I$23</f>
        <v>1.6667434617560147E-2</v>
      </c>
      <c r="H45" s="169">
        <f>BI_ST_Avg!H$38</f>
        <v>179.13086324519827</v>
      </c>
      <c r="I45" s="170">
        <f>BI_ST_Avg!I$38</f>
        <v>7.1792850403641585E-4</v>
      </c>
      <c r="J45" s="201"/>
    </row>
    <row r="46" spans="1:10" ht="13.5" thickBot="1" x14ac:dyDescent="0.25">
      <c r="A46" s="188"/>
      <c r="B46" s="91" t="s">
        <v>61</v>
      </c>
      <c r="C46" s="93">
        <f>BI_ST_High!B4</f>
        <v>4000000</v>
      </c>
      <c r="D46" s="84">
        <f>BI_ST_High!B5</f>
        <v>10000</v>
      </c>
      <c r="E46" s="135">
        <f>BI_ST_High!D38</f>
        <v>644495.39229950809</v>
      </c>
      <c r="F46" s="171">
        <f>BI_ST_High!H$23</f>
        <v>461.63029671469849</v>
      </c>
      <c r="G46" s="162">
        <f>BI_ST_High!I$23</f>
        <v>1.7528586110135354E-2</v>
      </c>
      <c r="H46" s="172">
        <f>BI_ST_High!H$38</f>
        <v>521.64223528746516</v>
      </c>
      <c r="I46" s="164">
        <f>BI_ST_High!I$38</f>
        <v>8.0938086062382433E-4</v>
      </c>
      <c r="J46" s="202"/>
    </row>
    <row r="47" spans="1:10" x14ac:dyDescent="0.2">
      <c r="A47" s="187" t="s">
        <v>130</v>
      </c>
      <c r="B47" s="89" t="s">
        <v>60</v>
      </c>
      <c r="C47" s="156">
        <f>BI_AUR_Low!$B$4</f>
        <v>350</v>
      </c>
      <c r="D47" s="82"/>
      <c r="E47" s="133">
        <f>BI_AUR_Low!$D$51</f>
        <v>84.544651274999993</v>
      </c>
      <c r="F47" s="161">
        <f>BI_AUR_Low!H$25</f>
        <v>0.83999999999999986</v>
      </c>
      <c r="G47" s="165">
        <f>BI_AUR_Low!I$25</f>
        <v>2.7308192457737315E-2</v>
      </c>
      <c r="H47" s="163">
        <f>BI_AUR_Low!H$51</f>
        <v>0.882000000000005</v>
      </c>
      <c r="I47" s="166">
        <f>BI_AUR_Low!I$51</f>
        <v>1.0432357182846574E-2</v>
      </c>
      <c r="J47" s="189" t="s">
        <v>50</v>
      </c>
    </row>
    <row r="48" spans="1:10" x14ac:dyDescent="0.2">
      <c r="A48" s="187"/>
      <c r="B48" s="90" t="s">
        <v>92</v>
      </c>
      <c r="C48" s="157">
        <f>BI_AUR_Typical!$B$4</f>
        <v>750</v>
      </c>
      <c r="D48" s="83"/>
      <c r="E48" s="134">
        <f>BI_AUR_Typical!$D$51</f>
        <v>143.00710987500003</v>
      </c>
      <c r="F48" s="167">
        <f>BI_AUR_Typical!H$25</f>
        <v>0.83999999999999986</v>
      </c>
      <c r="G48" s="173">
        <f>BI_AUR_Typical!I$25</f>
        <v>2.7308192457737315E-2</v>
      </c>
      <c r="H48" s="169">
        <f>BI_AUR_Typical!H$51</f>
        <v>0.88199999999997658</v>
      </c>
      <c r="I48" s="170">
        <f>BI_AUR_Typical!I$51</f>
        <v>6.1675255221290545E-3</v>
      </c>
      <c r="J48" s="190"/>
    </row>
    <row r="49" spans="1:10" x14ac:dyDescent="0.2">
      <c r="A49" s="187"/>
      <c r="B49" s="150" t="s">
        <v>106</v>
      </c>
      <c r="C49" s="157">
        <f>BI_AUR_Avg!$B$4</f>
        <v>505</v>
      </c>
      <c r="D49" s="152"/>
      <c r="E49" s="153">
        <f>BI_AUR_Avg!$D$51</f>
        <v>107.1988539825</v>
      </c>
      <c r="F49" s="174">
        <f>BI_AUR_Avg!H25</f>
        <v>0.83999999999999986</v>
      </c>
      <c r="G49" s="173">
        <f>BI_AUR_Avg!I25</f>
        <v>2.7308192457737315E-2</v>
      </c>
      <c r="H49" s="175">
        <f>BI_AUR_Avg!H$51</f>
        <v>0.88199999999999079</v>
      </c>
      <c r="I49" s="170">
        <f>BI_AUR_Avg!I$51</f>
        <v>8.2276998982095048E-3</v>
      </c>
      <c r="J49" s="190"/>
    </row>
    <row r="50" spans="1:10" ht="13.5" thickBot="1" x14ac:dyDescent="0.25">
      <c r="A50" s="188"/>
      <c r="B50" s="91" t="s">
        <v>61</v>
      </c>
      <c r="C50" s="158">
        <f>BI_AUR_High!$B$4</f>
        <v>1400</v>
      </c>
      <c r="D50" s="84"/>
      <c r="E50" s="135">
        <f>BI_AUR_High!$D$51</f>
        <v>238.00860509999995</v>
      </c>
      <c r="F50" s="171">
        <f>BI_AUR_High!H$25</f>
        <v>0.83999999999999986</v>
      </c>
      <c r="G50" s="162">
        <f>BI_AUR_High!I$25</f>
        <v>2.7308192457737315E-2</v>
      </c>
      <c r="H50" s="172">
        <f>BI_AUR_High!H$51</f>
        <v>0.88199999999997658</v>
      </c>
      <c r="I50" s="164">
        <f>BI_AUR_High!I$51</f>
        <v>3.7057483683390433E-3</v>
      </c>
      <c r="J50" s="191"/>
    </row>
    <row r="51" spans="1:10" x14ac:dyDescent="0.2">
      <c r="A51" s="187" t="s">
        <v>131</v>
      </c>
      <c r="B51" s="89" t="s">
        <v>60</v>
      </c>
      <c r="C51" s="156">
        <f>BI_AUGe_Low!$B$4</f>
        <v>1000</v>
      </c>
      <c r="D51" s="82"/>
      <c r="E51" s="133">
        <f>BI_AUGe_Low!$D$51</f>
        <v>200.95764149999997</v>
      </c>
      <c r="F51" s="161">
        <f>BI_AUGe_Low!H$25</f>
        <v>8.64</v>
      </c>
      <c r="G51" s="165">
        <f>BI_AUGe_Low!I$25</f>
        <v>0.18136020151133503</v>
      </c>
      <c r="H51" s="163">
        <f>BI_AUGe_Low!H$51</f>
        <v>9.0720000000000312</v>
      </c>
      <c r="I51" s="166">
        <f>BI_AUGe_Low!I$51</f>
        <v>4.5143841917551726E-2</v>
      </c>
      <c r="J51" s="189" t="s">
        <v>50</v>
      </c>
    </row>
    <row r="52" spans="1:10" x14ac:dyDescent="0.2">
      <c r="A52" s="187"/>
      <c r="B52" s="90" t="s">
        <v>92</v>
      </c>
      <c r="C52" s="157">
        <f>BI_AUGe_Typical!$B$4</f>
        <v>2000</v>
      </c>
      <c r="D52" s="83"/>
      <c r="E52" s="134">
        <f>BI_AUGe_Typical!$D$51</f>
        <v>369.07128299999994</v>
      </c>
      <c r="F52" s="167">
        <f>BI_AUGe_Typical!$H$25</f>
        <v>11.840000000000003</v>
      </c>
      <c r="G52" s="173">
        <f>BI_AUGe_Typical!$I$25</f>
        <v>0.18204182041820427</v>
      </c>
      <c r="H52" s="169">
        <f>BI_AUGe_Typical!$H$51</f>
        <v>12.432000000000073</v>
      </c>
      <c r="I52" s="170">
        <f>BI_AUGe_Typical!$I$51</f>
        <v>3.3684549767585344E-2</v>
      </c>
      <c r="J52" s="190"/>
    </row>
    <row r="53" spans="1:10" x14ac:dyDescent="0.2">
      <c r="A53" s="187"/>
      <c r="B53" s="150" t="s">
        <v>106</v>
      </c>
      <c r="C53" s="157">
        <f>BI_AUGe_Avg!$B$4</f>
        <v>2695</v>
      </c>
      <c r="D53" s="152"/>
      <c r="E53" s="153">
        <f>BI_AUGe_Avg!$D$51</f>
        <v>485.91026384249994</v>
      </c>
      <c r="F53" s="174">
        <f>BI_AUGe_Avg!$H$25</f>
        <v>14.064000000000007</v>
      </c>
      <c r="G53" s="173">
        <f>BI_AUGe_Avg!$I$25</f>
        <v>0.18233440939675635</v>
      </c>
      <c r="H53" s="175">
        <f>BI_AUGe_Avg!$H$51</f>
        <v>14.767200000000059</v>
      </c>
      <c r="I53" s="170">
        <f>BI_AUGe_Avg!$I$51</f>
        <v>3.0390796611751779E-2</v>
      </c>
      <c r="J53" s="190"/>
    </row>
    <row r="54" spans="1:10" ht="13.5" thickBot="1" x14ac:dyDescent="0.25">
      <c r="A54" s="188"/>
      <c r="B54" s="91" t="s">
        <v>61</v>
      </c>
      <c r="C54" s="158">
        <f>BI_AUGe_High!$B$4</f>
        <v>15000</v>
      </c>
      <c r="D54" s="84"/>
      <c r="E54" s="135">
        <f>BI_AUGe_High!$D$51</f>
        <v>2554.5486225</v>
      </c>
      <c r="F54" s="171">
        <f>BI_AUGe_High!H$25</f>
        <v>53.44</v>
      </c>
      <c r="G54" s="162">
        <f>BI_AUGe_High!I$25</f>
        <v>0.18349127867051229</v>
      </c>
      <c r="H54" s="172">
        <f>BI_AUGe_High!H$51</f>
        <v>56.11200000000008</v>
      </c>
      <c r="I54" s="164">
        <f>BI_AUGe_High!I$51</f>
        <v>2.1965524361437391E-2</v>
      </c>
      <c r="J54" s="191"/>
    </row>
    <row r="55" spans="1:10" x14ac:dyDescent="0.2">
      <c r="A55" s="187" t="s">
        <v>132</v>
      </c>
      <c r="B55" s="89" t="s">
        <v>60</v>
      </c>
      <c r="C55" s="156">
        <f>BI_AUGd_Low!$B$4</f>
        <v>15000</v>
      </c>
      <c r="D55" s="82">
        <f>BI_AUGd_Low!B$5</f>
        <v>60</v>
      </c>
      <c r="E55" s="133">
        <f>BI_AUGd_Low!D$38</f>
        <v>2793.7097349999999</v>
      </c>
      <c r="F55" s="161">
        <f>BI_AUGd_Low!H$23</f>
        <v>153.24399999999997</v>
      </c>
      <c r="G55" s="165">
        <f>BI_AUGd_Low!I$23</f>
        <v>0.34715356908230066</v>
      </c>
      <c r="H55" s="163">
        <f>BI_AUGd_Low!H$38</f>
        <v>173.16571999999951</v>
      </c>
      <c r="I55" s="166">
        <f>BI_AUGd_Low!I$38</f>
        <v>6.1984148829262509E-2</v>
      </c>
      <c r="J55" s="189" t="s">
        <v>70</v>
      </c>
    </row>
    <row r="56" spans="1:10" x14ac:dyDescent="0.2">
      <c r="A56" s="187"/>
      <c r="B56" s="90" t="s">
        <v>106</v>
      </c>
      <c r="C56" s="157">
        <f>BI_AUGd_Avg!$B$4</f>
        <v>61239</v>
      </c>
      <c r="D56" s="83">
        <f>BI_AUGd_Avg!B$5</f>
        <v>177</v>
      </c>
      <c r="E56" s="134">
        <f>BI_AUGd_Avg!D$38</f>
        <v>10118.825647399</v>
      </c>
      <c r="F56" s="167">
        <f>BI_AUGd_Avg!H$23</f>
        <v>309.83679999999993</v>
      </c>
      <c r="G56" s="173">
        <f>BI_AUGd_Avg!I$23</f>
        <v>0.34694227646828274</v>
      </c>
      <c r="H56" s="169">
        <f>BI_AUGd_Avg!H$38</f>
        <v>350.11558400000104</v>
      </c>
      <c r="I56" s="170">
        <f>BI_AUGd_Avg!I$38</f>
        <v>3.4600416708434611E-2</v>
      </c>
      <c r="J56" s="190"/>
    </row>
    <row r="57" spans="1:10" ht="13.5" thickBot="1" x14ac:dyDescent="0.25">
      <c r="A57" s="188"/>
      <c r="B57" s="91" t="s">
        <v>61</v>
      </c>
      <c r="C57" s="158">
        <f>BI_AUGd_High!$B$4</f>
        <v>175000</v>
      </c>
      <c r="D57" s="84">
        <f>BI_AUGd_High!B$5</f>
        <v>500</v>
      </c>
      <c r="E57" s="135">
        <f>BI_AUGd_High!D$38</f>
        <v>26246.823575000002</v>
      </c>
      <c r="F57" s="171">
        <f>BI_AUGd_High!H$23</f>
        <v>72.939999999999969</v>
      </c>
      <c r="G57" s="162">
        <f>BI_AUGd_High!I$23</f>
        <v>0.34761473573845475</v>
      </c>
      <c r="H57" s="172">
        <f>BI_AUGd_High!H$38</f>
        <v>82.422199999997247</v>
      </c>
      <c r="I57" s="164">
        <f>BI_AUGd_High!I$38</f>
        <v>3.1402733273409918E-3</v>
      </c>
      <c r="J57" s="191"/>
    </row>
    <row r="58" spans="1:10" x14ac:dyDescent="0.2">
      <c r="A58" s="187" t="s">
        <v>119</v>
      </c>
      <c r="B58" s="89" t="s">
        <v>60</v>
      </c>
      <c r="C58" s="156">
        <f>BI_AR_Low!$B$4</f>
        <v>400</v>
      </c>
      <c r="D58" s="82"/>
      <c r="E58" s="133">
        <f>BI_AR_Low!$D$51</f>
        <v>101.99575806000001</v>
      </c>
      <c r="F58" s="161">
        <f>BI_AR_Low!H$25</f>
        <v>1.0900000000000034</v>
      </c>
      <c r="G58" s="165">
        <f>BI_AR_Low!I$25</f>
        <v>2.7195608782435217E-2</v>
      </c>
      <c r="H58" s="163">
        <f>BI_AR_Low!H$51</f>
        <v>1.1444999999999936</v>
      </c>
      <c r="I58" s="166">
        <f>BI_AR_Low!I$51</f>
        <v>1.1221054892564553E-2</v>
      </c>
      <c r="J58" s="189" t="s">
        <v>50</v>
      </c>
    </row>
    <row r="59" spans="1:10" x14ac:dyDescent="0.2">
      <c r="A59" s="187"/>
      <c r="B59" s="90" t="s">
        <v>92</v>
      </c>
      <c r="C59" s="157">
        <f>BI_AR_Typical!$B$4</f>
        <v>750</v>
      </c>
      <c r="D59" s="83"/>
      <c r="E59" s="134">
        <f>BI_AR_Typical!$D$51</f>
        <v>153.46304636249999</v>
      </c>
      <c r="F59" s="167">
        <f>BI_AR_Typical!H$25</f>
        <v>1.0900000000000034</v>
      </c>
      <c r="G59" s="173">
        <f>BI_AR_Typical!I$25</f>
        <v>2.7195608782435217E-2</v>
      </c>
      <c r="H59" s="169">
        <f>BI_AR_Typical!H$51</f>
        <v>1.1444999999999936</v>
      </c>
      <c r="I59" s="170">
        <f>BI_AR_Typical!I$51</f>
        <v>7.4578214568772044E-3</v>
      </c>
      <c r="J59" s="190"/>
    </row>
    <row r="60" spans="1:10" x14ac:dyDescent="0.2">
      <c r="A60" s="187"/>
      <c r="B60" s="150" t="s">
        <v>106</v>
      </c>
      <c r="C60" s="159">
        <f>BI_AR_Avg!$B$4</f>
        <v>634</v>
      </c>
      <c r="D60" s="152"/>
      <c r="E60" s="153">
        <f>BI_AR_Avg!$D$51</f>
        <v>136.40531652510001</v>
      </c>
      <c r="F60" s="174">
        <f>BI_AR_Avg!H$25</f>
        <v>1.0900000000000034</v>
      </c>
      <c r="G60" s="173">
        <f>BI_AR_Avg!I$25</f>
        <v>2.7195608782435217E-2</v>
      </c>
      <c r="H60" s="175">
        <f>BI_AR_Avg!H$51</f>
        <v>1.1444999999999936</v>
      </c>
      <c r="I60" s="170">
        <f>BI_AR_Avg!I$51</f>
        <v>8.3904354255091938E-3</v>
      </c>
      <c r="J60" s="190"/>
    </row>
    <row r="61" spans="1:10" ht="13.5" thickBot="1" x14ac:dyDescent="0.25">
      <c r="A61" s="188"/>
      <c r="B61" s="91" t="s">
        <v>61</v>
      </c>
      <c r="C61" s="158">
        <f>BI_AR_High!$B$4</f>
        <v>1800</v>
      </c>
      <c r="D61" s="84"/>
      <c r="E61" s="135">
        <f>BI_AR_High!$D$51</f>
        <v>307.86491126999999</v>
      </c>
      <c r="F61" s="171">
        <f>BI_AR_High!H$25</f>
        <v>1.0900000000000034</v>
      </c>
      <c r="G61" s="162">
        <f>BI_AR_High!I$25</f>
        <v>2.7195608782435217E-2</v>
      </c>
      <c r="H61" s="172">
        <f>BI_AR_High!H$51</f>
        <v>1.1444999999999368</v>
      </c>
      <c r="I61" s="164">
        <f>BI_AR_High!I$51</f>
        <v>3.7175396029338371E-3</v>
      </c>
      <c r="J61" s="191"/>
    </row>
    <row r="62" spans="1:10" x14ac:dyDescent="0.2">
      <c r="A62" s="187" t="s">
        <v>120</v>
      </c>
      <c r="B62" s="89" t="s">
        <v>60</v>
      </c>
      <c r="C62" s="156">
        <f>BI_AGSe_Low!$B$4</f>
        <v>1000</v>
      </c>
      <c r="D62" s="82"/>
      <c r="E62" s="133">
        <f>BI_AGSe_Low!$D$51</f>
        <v>214.17927614999996</v>
      </c>
      <c r="F62" s="161">
        <f>BI_AGSe_Low!H$25</f>
        <v>3.3000000000000043</v>
      </c>
      <c r="G62" s="165">
        <f>BI_AGSe_Low!I$25</f>
        <v>5.5443548387096843E-2</v>
      </c>
      <c r="H62" s="163">
        <f>BI_AGSe_Low!H$51</f>
        <v>3.4650000000000034</v>
      </c>
      <c r="I62" s="166">
        <f>BI_AGSe_Low!I$51</f>
        <v>1.617803581320024E-2</v>
      </c>
      <c r="J62" s="189" t="s">
        <v>50</v>
      </c>
    </row>
    <row r="63" spans="1:10" x14ac:dyDescent="0.2">
      <c r="A63" s="187"/>
      <c r="B63" s="90" t="s">
        <v>92</v>
      </c>
      <c r="C63" s="157">
        <f>BI_AGSe_Typical!$B$4</f>
        <v>2000</v>
      </c>
      <c r="D63" s="83"/>
      <c r="E63" s="134">
        <f>BI_AGSe_Typical!$D$51</f>
        <v>384.40555230000001</v>
      </c>
      <c r="F63" s="167">
        <f>BI_AGSe_Typical!H$25</f>
        <v>4.5</v>
      </c>
      <c r="G63" s="173">
        <f>BI_AGSe_Typical!I$25</f>
        <v>5.7530043467143951E-2</v>
      </c>
      <c r="H63" s="169">
        <f>BI_AGSe_Typical!H$51</f>
        <v>4.7250000000000227</v>
      </c>
      <c r="I63" s="170">
        <f>BI_AGSe_Typical!I$51</f>
        <v>1.2291705912490335E-2</v>
      </c>
      <c r="J63" s="190"/>
    </row>
    <row r="64" spans="1:10" x14ac:dyDescent="0.2">
      <c r="A64" s="187"/>
      <c r="B64" s="150" t="s">
        <v>106</v>
      </c>
      <c r="C64" s="157">
        <f>BI_AGSe_Avg!$B$4</f>
        <v>1988</v>
      </c>
      <c r="D64" s="83"/>
      <c r="E64" s="153">
        <f>BI_AGSe_Avg!$D$51</f>
        <v>382.36283698619997</v>
      </c>
      <c r="F64" s="174">
        <f>BI_AGSe_Avg!H$25</f>
        <v>4.4856000000000051</v>
      </c>
      <c r="G64" s="173">
        <f>BI_AGSe_Avg!I$25</f>
        <v>5.7510936514367547E-2</v>
      </c>
      <c r="H64" s="175">
        <f>BI_AGSe_Avg!H$51</f>
        <v>4.7098799999999983</v>
      </c>
      <c r="I64" s="170">
        <f>BI_AGSe_Avg!I$51</f>
        <v>1.2317828890285131E-2</v>
      </c>
      <c r="J64" s="190"/>
    </row>
    <row r="65" spans="1:10" ht="13.5" thickBot="1" x14ac:dyDescent="0.25">
      <c r="A65" s="188"/>
      <c r="B65" s="91" t="s">
        <v>61</v>
      </c>
      <c r="C65" s="158">
        <f>BI_AGSe_High!$B$4</f>
        <v>15000</v>
      </c>
      <c r="D65" s="84"/>
      <c r="E65" s="135">
        <f>BI_AGSe_High!$D$51</f>
        <v>2597.3471422499997</v>
      </c>
      <c r="F65" s="171">
        <f>BI_AGSe_High!H$25</f>
        <v>20.100000000000023</v>
      </c>
      <c r="G65" s="162">
        <f>BI_AGSe_High!I$25</f>
        <v>6.2554462840781852E-2</v>
      </c>
      <c r="H65" s="172">
        <f>BI_AGSe_High!H$51</f>
        <v>21.105000000000018</v>
      </c>
      <c r="I65" s="164">
        <f>BI_AGSe_High!I$51</f>
        <v>8.1255984834269872E-3</v>
      </c>
      <c r="J65" s="191"/>
    </row>
    <row r="66" spans="1:10" x14ac:dyDescent="0.2">
      <c r="A66" s="187" t="s">
        <v>121</v>
      </c>
      <c r="B66" s="89" t="s">
        <v>60</v>
      </c>
      <c r="C66" s="156">
        <f>BI_AGSd_Low!$B$4</f>
        <v>15000</v>
      </c>
      <c r="D66" s="82">
        <f>BI_AGSd_Low!B$5</f>
        <v>60</v>
      </c>
      <c r="E66" s="133">
        <f>BI_AGSd_Low!D$38</f>
        <v>2896.6308129999998</v>
      </c>
      <c r="F66" s="161">
        <f>BI_AGSd_Low!H$23</f>
        <v>114.82400000000007</v>
      </c>
      <c r="G66" s="165">
        <f>BI_AGSd_Low!I$23</f>
        <v>0.22213538140101774</v>
      </c>
      <c r="H66" s="163">
        <f>BI_AGSd_Low!H$38</f>
        <v>129.7511199999999</v>
      </c>
      <c r="I66" s="166">
        <f>BI_AGSd_Low!I$38</f>
        <v>4.479380645185449E-2</v>
      </c>
      <c r="J66" s="189" t="s">
        <v>70</v>
      </c>
    </row>
    <row r="67" spans="1:10" x14ac:dyDescent="0.2">
      <c r="A67" s="187"/>
      <c r="B67" s="90" t="s">
        <v>106</v>
      </c>
      <c r="C67" s="157">
        <f>BI_AGSd_Avg!$B$4</f>
        <v>53895</v>
      </c>
      <c r="D67" s="83">
        <f>BI_AGSd_Avg!B$5</f>
        <v>152</v>
      </c>
      <c r="E67" s="134">
        <f>BI_AGSd_Avg!D$38</f>
        <v>9185.3379753490008</v>
      </c>
      <c r="F67" s="167">
        <f>BI_AGSd_Avg!H$23</f>
        <v>223.74279999999999</v>
      </c>
      <c r="G67" s="173">
        <f>BI_AGSd_Avg!I$23</f>
        <v>0.2260507784479536</v>
      </c>
      <c r="H67" s="169">
        <f>BI_AGSd_Avg!H$38</f>
        <v>252.82936399999926</v>
      </c>
      <c r="I67" s="170">
        <f>BI_AGSd_Avg!I$38</f>
        <v>2.7525319664722832E-2</v>
      </c>
      <c r="J67" s="190"/>
    </row>
    <row r="68" spans="1:10" ht="13.5" thickBot="1" x14ac:dyDescent="0.25">
      <c r="A68" s="188"/>
      <c r="B68" s="91" t="s">
        <v>61</v>
      </c>
      <c r="C68" s="158">
        <f>BI_AGSd_High!$B$4</f>
        <v>175000</v>
      </c>
      <c r="D68" s="84">
        <f>BI_AGSd_High!B$5</f>
        <v>500</v>
      </c>
      <c r="E68" s="135">
        <f>BI_AGSd_High!D$38</f>
        <v>26453.033884999997</v>
      </c>
      <c r="F68" s="171">
        <f>BI_AGSd_High!H$23</f>
        <v>43.79000000000002</v>
      </c>
      <c r="G68" s="162">
        <f>BI_AGSd_High!I$23</f>
        <v>0.21001390820584157</v>
      </c>
      <c r="H68" s="172">
        <f>BI_AGSd_High!H$38</f>
        <v>49.482700000000477</v>
      </c>
      <c r="I68" s="164">
        <f>BI_AGSd_High!I$38</f>
        <v>1.8705869510135579E-3</v>
      </c>
      <c r="J68" s="191"/>
    </row>
    <row r="69" spans="1:10" x14ac:dyDescent="0.2">
      <c r="F69" s="183"/>
      <c r="G69" s="183"/>
      <c r="I69" s="183"/>
    </row>
  </sheetData>
  <mergeCells count="38">
    <mergeCell ref="J44:J46"/>
    <mergeCell ref="A41:A43"/>
    <mergeCell ref="A38:A40"/>
    <mergeCell ref="A22:A25"/>
    <mergeCell ref="A26:A28"/>
    <mergeCell ref="A29:A31"/>
    <mergeCell ref="A32:A34"/>
    <mergeCell ref="A35:A37"/>
    <mergeCell ref="J32:J34"/>
    <mergeCell ref="J29:J31"/>
    <mergeCell ref="J26:J28"/>
    <mergeCell ref="J41:J43"/>
    <mergeCell ref="J38:J40"/>
    <mergeCell ref="J35:J37"/>
    <mergeCell ref="A44:A46"/>
    <mergeCell ref="J2:J5"/>
    <mergeCell ref="J22:J25"/>
    <mergeCell ref="J18:J21"/>
    <mergeCell ref="J14:J17"/>
    <mergeCell ref="J10:J13"/>
    <mergeCell ref="J6:J9"/>
    <mergeCell ref="A2:A5"/>
    <mergeCell ref="A6:A9"/>
    <mergeCell ref="A10:A13"/>
    <mergeCell ref="A14:A17"/>
    <mergeCell ref="A18:A21"/>
    <mergeCell ref="A47:A50"/>
    <mergeCell ref="J47:J50"/>
    <mergeCell ref="A51:A54"/>
    <mergeCell ref="J51:J54"/>
    <mergeCell ref="A55:A57"/>
    <mergeCell ref="J55:J57"/>
    <mergeCell ref="A58:A61"/>
    <mergeCell ref="J58:J61"/>
    <mergeCell ref="A62:A65"/>
    <mergeCell ref="J62:J65"/>
    <mergeCell ref="A66:A68"/>
    <mergeCell ref="J66:J68"/>
  </mergeCells>
  <pageMargins left="0.7" right="0.7" top="0.75" bottom="0.75" header="0.3" footer="0.3"/>
  <pageSetup paperSize="17" scale="77" orientation="landscape" r:id="rId1"/>
  <headerFooter>
    <oddHeader>&amp;RFiled: 2017-03-31
EB-2017-0049
Exhibit H1-4-1
Attachment 5
Page &amp;P of &amp;N</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tint="0.499984740745262"/>
    <pageSetUpPr fitToPage="1"/>
  </sheetPr>
  <dimension ref="A1:J54"/>
  <sheetViews>
    <sheetView tabSelected="1" topLeftCell="A13"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7</v>
      </c>
    </row>
    <row r="4" spans="1:10" x14ac:dyDescent="0.2">
      <c r="A4" s="14" t="s">
        <v>62</v>
      </c>
      <c r="B4" s="78">
        <v>175000</v>
      </c>
    </row>
    <row r="5" spans="1:10" x14ac:dyDescent="0.2">
      <c r="A5" s="14" t="s">
        <v>16</v>
      </c>
      <c r="B5" s="78">
        <v>500</v>
      </c>
    </row>
    <row r="6" spans="1:10" x14ac:dyDescent="0.2">
      <c r="A6" s="14" t="s">
        <v>20</v>
      </c>
      <c r="B6" s="79">
        <f>VLOOKUP($B$3,'Data for Bill Impacts'!$A$3:$Y$15,2,0)</f>
        <v>1.05</v>
      </c>
    </row>
    <row r="7" spans="1:10" x14ac:dyDescent="0.2">
      <c r="A7" s="80" t="s">
        <v>48</v>
      </c>
      <c r="B7" s="81">
        <f>B4/(B5*730)</f>
        <v>0.47945205479452052</v>
      </c>
    </row>
    <row r="8" spans="1:10" x14ac:dyDescent="0.2">
      <c r="A8" s="14" t="s">
        <v>15</v>
      </c>
      <c r="B8" s="78">
        <f>VLOOKUP($B$3,'Data for Bill Impacts'!$A$3:$Y$15,4,0)</f>
        <v>0</v>
      </c>
    </row>
    <row r="9" spans="1:10" x14ac:dyDescent="0.2">
      <c r="A9" s="14" t="s">
        <v>82</v>
      </c>
      <c r="B9" s="78">
        <f>B4*B6</f>
        <v>183750</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183750</v>
      </c>
      <c r="C13" s="102">
        <v>0.10299999999999999</v>
      </c>
      <c r="D13" s="103">
        <f>B13*C13</f>
        <v>18926.25</v>
      </c>
      <c r="E13" s="101">
        <f>B13</f>
        <v>183750</v>
      </c>
      <c r="F13" s="102">
        <f>C13</f>
        <v>0.10299999999999999</v>
      </c>
      <c r="G13" s="103">
        <f>E13*F13</f>
        <v>18926.25</v>
      </c>
      <c r="H13" s="103">
        <f>G13-D13</f>
        <v>0</v>
      </c>
      <c r="I13" s="104">
        <f>IF(ISERROR(H13/D13),0,(H13/D13))</f>
        <v>0</v>
      </c>
      <c r="J13" s="123">
        <f t="shared" ref="J13:J29" si="0">G13/$G$38</f>
        <v>0.70303445409518506</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18926.25</v>
      </c>
      <c r="E15" s="75"/>
      <c r="F15" s="24"/>
      <c r="G15" s="24">
        <f>SUM(G13:G14)</f>
        <v>18926.25</v>
      </c>
      <c r="H15" s="24">
        <f t="shared" si="2"/>
        <v>0</v>
      </c>
      <c r="I15" s="26">
        <f t="shared" si="3"/>
        <v>0</v>
      </c>
      <c r="J15" s="46">
        <f t="shared" si="0"/>
        <v>0.70303445409518506</v>
      </c>
    </row>
    <row r="16" spans="1:10" s="1" customFormat="1" hidden="1" x14ac:dyDescent="0.2">
      <c r="A16" s="106" t="s">
        <v>38</v>
      </c>
      <c r="B16" s="72">
        <v>1</v>
      </c>
      <c r="C16" s="77">
        <f>VLOOKUP($B$3,'Data for Bill Impacts'!$A$3:$Y$15,7,0)</f>
        <v>106.7</v>
      </c>
      <c r="D16" s="21">
        <f>B16*C16</f>
        <v>106.7</v>
      </c>
      <c r="E16" s="72">
        <f t="shared" ref="E16:E31" si="4">B16</f>
        <v>1</v>
      </c>
      <c r="F16" s="77">
        <f>VLOOKUP($B$3,'Data for Bill Impacts'!$A$3:$Y$15,17,0)</f>
        <v>108.63</v>
      </c>
      <c r="G16" s="21">
        <f>E16*F16</f>
        <v>108.63</v>
      </c>
      <c r="H16" s="21">
        <f t="shared" si="2"/>
        <v>1.9299999999999926</v>
      </c>
      <c r="I16" s="22">
        <f t="shared" si="3"/>
        <v>1.8088097469540699E-2</v>
      </c>
      <c r="J16" s="124">
        <f t="shared" si="0"/>
        <v>4.0351698169663799E-3</v>
      </c>
    </row>
    <row r="17" spans="1:10" hidden="1" x14ac:dyDescent="0.2">
      <c r="A17" s="106" t="s">
        <v>83</v>
      </c>
      <c r="B17" s="72">
        <v>1</v>
      </c>
      <c r="C17" s="77">
        <f>VLOOKUP($B$3,'Data for Bill Impacts'!$A$3:$Y$15,8,0)</f>
        <v>0</v>
      </c>
      <c r="D17" s="21">
        <f>B17*C17</f>
        <v>0</v>
      </c>
      <c r="E17" s="72">
        <f t="shared" si="4"/>
        <v>1</v>
      </c>
      <c r="F17" s="77">
        <f>VLOOKUP($B$3,'Data for Bill Impacts'!$A$3:$Y$15,12,0)</f>
        <v>0</v>
      </c>
      <c r="G17" s="21">
        <f t="shared" ref="G17:G19" si="5">E17*F17</f>
        <v>0</v>
      </c>
      <c r="H17" s="21">
        <f t="shared" si="2"/>
        <v>0</v>
      </c>
      <c r="I17" s="22">
        <f t="shared" si="3"/>
        <v>0</v>
      </c>
      <c r="J17" s="124">
        <f t="shared" si="0"/>
        <v>0</v>
      </c>
    </row>
    <row r="18" spans="1:10" x14ac:dyDescent="0.2">
      <c r="A18" s="106" t="s">
        <v>84</v>
      </c>
      <c r="B18" s="72">
        <v>1</v>
      </c>
      <c r="C18" s="77">
        <f>VLOOKUP($B$3,'Data for Bill Impacts'!$A$3:$Y$15,11,0)</f>
        <v>0</v>
      </c>
      <c r="D18" s="21">
        <f t="shared" ref="D18:D19" si="6">B18*C18</f>
        <v>0</v>
      </c>
      <c r="E18" s="72">
        <f t="shared" si="4"/>
        <v>1</v>
      </c>
      <c r="F18" s="77">
        <f>VLOOKUP($B$3,'Data for Bill Impacts'!$A$3:$Y$15,20,0)</f>
        <v>1.9E-3</v>
      </c>
      <c r="G18" s="21">
        <f t="shared" si="5"/>
        <v>1.9E-3</v>
      </c>
      <c r="H18" s="21">
        <f t="shared" si="2"/>
        <v>1.9E-3</v>
      </c>
      <c r="I18" s="22">
        <f t="shared" si="3"/>
        <v>0</v>
      </c>
      <c r="J18" s="124">
        <f t="shared" si="0"/>
        <v>7.0577397148449997E-8</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3.7145998499184208E-7</v>
      </c>
    </row>
    <row r="20" spans="1:10" s="1" customFormat="1" x14ac:dyDescent="0.2">
      <c r="A20" s="106" t="s">
        <v>86</v>
      </c>
      <c r="B20" s="72">
        <f>IF($B$10="kWh",$B$4,$B$5)</f>
        <v>500</v>
      </c>
      <c r="C20" s="77">
        <f>VLOOKUP($B$3,'Data for Bill Impacts'!$A$3:$Y$15,12,0)</f>
        <v>0</v>
      </c>
      <c r="D20" s="21">
        <f>B20*C20</f>
        <v>0</v>
      </c>
      <c r="E20" s="72">
        <f>B20</f>
        <v>500</v>
      </c>
      <c r="F20" s="77">
        <f>VLOOKUP($B$3,'Data for Bill Impacts'!$A$3:$Y$15,21,0)</f>
        <v>1.9E-3</v>
      </c>
      <c r="G20" s="21">
        <f>E20*F20</f>
        <v>0.95</v>
      </c>
      <c r="H20" s="21">
        <f>G20-D20</f>
        <v>0.95</v>
      </c>
      <c r="I20" s="22">
        <f>IF(ISERROR(H20/D20),0,(H20/D20))</f>
        <v>0</v>
      </c>
      <c r="J20" s="124">
        <f t="shared" si="0"/>
        <v>3.5288698574224995E-5</v>
      </c>
    </row>
    <row r="21" spans="1:10" x14ac:dyDescent="0.2">
      <c r="A21" s="106" t="s">
        <v>117</v>
      </c>
      <c r="B21" s="72">
        <f>B9</f>
        <v>183750</v>
      </c>
      <c r="C21" s="125">
        <f>VLOOKUP($B$3,'Data for Bill Impacts'!$A$3:$Y$15,20,0)</f>
        <v>1.9E-3</v>
      </c>
      <c r="D21" s="21">
        <f>B21*C21</f>
        <v>349.125</v>
      </c>
      <c r="E21" s="72">
        <f t="shared" si="4"/>
        <v>183750</v>
      </c>
      <c r="F21" s="125">
        <f>VLOOKUP($B$3,'Data for Bill Impacts'!$A$3:$Y$15,21,0)</f>
        <v>1.9E-3</v>
      </c>
      <c r="G21" s="21">
        <f>E21*F21</f>
        <v>349.125</v>
      </c>
      <c r="H21" s="21">
        <f t="shared" si="2"/>
        <v>0</v>
      </c>
      <c r="I21" s="22">
        <f t="shared" si="3"/>
        <v>0</v>
      </c>
      <c r="J21" s="124">
        <f t="shared" si="0"/>
        <v>1.2968596726027687E-2</v>
      </c>
    </row>
    <row r="22" spans="1:10" s="1" customFormat="1" x14ac:dyDescent="0.2">
      <c r="A22" s="106" t="s">
        <v>129</v>
      </c>
      <c r="B22" s="72">
        <f>IF($B$10="kWh",$B$4,$B$5)</f>
        <v>500</v>
      </c>
      <c r="C22" s="77">
        <f>VLOOKUP($B$3,'Data for Bill Impacts'!$A$3:$Y$15,14,0)</f>
        <v>6.4600000000000005E-2</v>
      </c>
      <c r="D22" s="21">
        <f>B22*C22</f>
        <v>32.300000000000004</v>
      </c>
      <c r="E22" s="72">
        <f t="shared" si="4"/>
        <v>500</v>
      </c>
      <c r="F22" s="77">
        <f>VLOOKUP($B$3,'Data for Bill Impacts'!$A$3:$Y$15,23,0)</f>
        <v>6.4600000000000005E-2</v>
      </c>
      <c r="G22" s="21">
        <f>E22*F22</f>
        <v>32.300000000000004</v>
      </c>
      <c r="H22" s="21">
        <f t="shared" si="2"/>
        <v>0</v>
      </c>
      <c r="I22" s="22">
        <f>IF(ISERROR(H22/D22),0,(H22/D22))</f>
        <v>0</v>
      </c>
      <c r="J22" s="124">
        <f t="shared" si="0"/>
        <v>1.1998157515236501E-3</v>
      </c>
    </row>
    <row r="23" spans="1:10" x14ac:dyDescent="0.2">
      <c r="A23" s="109" t="s">
        <v>95</v>
      </c>
      <c r="B23" s="73"/>
      <c r="C23" s="154"/>
      <c r="D23" s="34">
        <f>SUM(D16:D22)</f>
        <v>488.13500000000005</v>
      </c>
      <c r="E23" s="72"/>
      <c r="F23" s="34"/>
      <c r="G23" s="34">
        <f>SUM(G16:G22)</f>
        <v>491.01690000000002</v>
      </c>
      <c r="H23" s="34">
        <f t="shared" si="2"/>
        <v>2.8818999999999733</v>
      </c>
      <c r="I23" s="35">
        <f t="shared" si="3"/>
        <v>5.9038995359889639E-3</v>
      </c>
      <c r="J23" s="110">
        <f t="shared" si="0"/>
        <v>1.8239313030474082E-2</v>
      </c>
    </row>
    <row r="24" spans="1:10" x14ac:dyDescent="0.2">
      <c r="A24" s="106" t="s">
        <v>40</v>
      </c>
      <c r="B24" s="72">
        <f>B5</f>
        <v>500</v>
      </c>
      <c r="C24" s="125">
        <f>VLOOKUP($B$3,'Data for Bill Impacts'!$A$3:$Y$15,15,0)</f>
        <v>2.1349</v>
      </c>
      <c r="D24" s="21">
        <f>B24*C24</f>
        <v>1067.45</v>
      </c>
      <c r="E24" s="72">
        <f t="shared" si="4"/>
        <v>500</v>
      </c>
      <c r="F24" s="77">
        <f>VLOOKUP($B$3,'Data for Bill Impacts'!$A$3:$Y$15,24,0)</f>
        <v>2.1349</v>
      </c>
      <c r="G24" s="21">
        <f>E24*F24</f>
        <v>1067.45</v>
      </c>
      <c r="H24" s="21">
        <f t="shared" si="2"/>
        <v>0</v>
      </c>
      <c r="I24" s="22">
        <f t="shared" si="3"/>
        <v>0</v>
      </c>
      <c r="J24" s="124">
        <f t="shared" si="0"/>
        <v>3.9651496097954181E-2</v>
      </c>
    </row>
    <row r="25" spans="1:10" s="1" customFormat="1" x14ac:dyDescent="0.2">
      <c r="A25" s="106" t="s">
        <v>41</v>
      </c>
      <c r="B25" s="72">
        <f>B5</f>
        <v>500</v>
      </c>
      <c r="C25" s="77">
        <f>VLOOKUP($B$3,'Data for Bill Impacts'!$A$3:$Y$15,16,0)</f>
        <v>1.7284999999999999</v>
      </c>
      <c r="D25" s="21">
        <f>B25*C25</f>
        <v>864.25</v>
      </c>
      <c r="E25" s="72">
        <f t="shared" si="4"/>
        <v>500</v>
      </c>
      <c r="F25" s="77">
        <f>VLOOKUP($B$3,'Data for Bill Impacts'!$A$3:$Y$15,25,0)</f>
        <v>1.7284999999999999</v>
      </c>
      <c r="G25" s="21">
        <f>E25*F25</f>
        <v>864.25</v>
      </c>
      <c r="H25" s="21">
        <f t="shared" si="2"/>
        <v>0</v>
      </c>
      <c r="I25" s="22">
        <f t="shared" si="3"/>
        <v>0</v>
      </c>
      <c r="J25" s="124">
        <f t="shared" si="0"/>
        <v>3.2103429202919948E-2</v>
      </c>
    </row>
    <row r="26" spans="1:10" x14ac:dyDescent="0.2">
      <c r="A26" s="109" t="s">
        <v>76</v>
      </c>
      <c r="B26" s="73"/>
      <c r="C26" s="34"/>
      <c r="D26" s="34">
        <f>SUM(D24:D25)</f>
        <v>1931.7</v>
      </c>
      <c r="E26" s="72"/>
      <c r="F26" s="34"/>
      <c r="G26" s="34">
        <f>SUM(G24:G25)</f>
        <v>1931.7</v>
      </c>
      <c r="H26" s="34">
        <f t="shared" si="2"/>
        <v>0</v>
      </c>
      <c r="I26" s="35">
        <f t="shared" si="3"/>
        <v>0</v>
      </c>
      <c r="J26" s="110">
        <f t="shared" si="0"/>
        <v>7.1754925300874128E-2</v>
      </c>
    </row>
    <row r="27" spans="1:10" s="1" customFormat="1" x14ac:dyDescent="0.2">
      <c r="A27" s="109" t="s">
        <v>80</v>
      </c>
      <c r="B27" s="73"/>
      <c r="C27" s="34"/>
      <c r="D27" s="34">
        <f>D23+D26</f>
        <v>2419.835</v>
      </c>
      <c r="E27" s="72"/>
      <c r="F27" s="34"/>
      <c r="G27" s="34">
        <f>G23+G26</f>
        <v>2422.7168999999999</v>
      </c>
      <c r="H27" s="34">
        <f t="shared" si="2"/>
        <v>2.8818999999998596</v>
      </c>
      <c r="I27" s="35">
        <f t="shared" si="3"/>
        <v>1.1909489696610965E-3</v>
      </c>
      <c r="J27" s="110">
        <f t="shared" si="0"/>
        <v>8.9994238331348203E-2</v>
      </c>
    </row>
    <row r="28" spans="1:10" x14ac:dyDescent="0.2">
      <c r="A28" s="106" t="s">
        <v>42</v>
      </c>
      <c r="B28" s="72">
        <f>B9</f>
        <v>183750</v>
      </c>
      <c r="C28" s="33">
        <v>3.5999999999999999E-3</v>
      </c>
      <c r="D28" s="21">
        <f>B28*C28</f>
        <v>661.5</v>
      </c>
      <c r="E28" s="72">
        <f t="shared" si="4"/>
        <v>183750</v>
      </c>
      <c r="F28" s="33">
        <v>3.5999999999999999E-3</v>
      </c>
      <c r="G28" s="21">
        <f>E28*F28</f>
        <v>661.5</v>
      </c>
      <c r="H28" s="21">
        <f t="shared" si="2"/>
        <v>0</v>
      </c>
      <c r="I28" s="22">
        <f t="shared" si="3"/>
        <v>0</v>
      </c>
      <c r="J28" s="124">
        <f t="shared" si="0"/>
        <v>2.4572078007210351E-2</v>
      </c>
    </row>
    <row r="29" spans="1:10" x14ac:dyDescent="0.2">
      <c r="A29" s="106" t="s">
        <v>43</v>
      </c>
      <c r="B29" s="72">
        <f>B9</f>
        <v>183750</v>
      </c>
      <c r="C29" s="33">
        <v>2.0999999999999999E-3</v>
      </c>
      <c r="D29" s="21">
        <f>B29*C29</f>
        <v>385.875</v>
      </c>
      <c r="E29" s="72">
        <f t="shared" si="4"/>
        <v>183750</v>
      </c>
      <c r="F29" s="33">
        <v>2.0999999999999999E-3</v>
      </c>
      <c r="G29" s="21">
        <f>E29*F29</f>
        <v>385.875</v>
      </c>
      <c r="H29" s="21">
        <f>G29-D29</f>
        <v>0</v>
      </c>
      <c r="I29" s="22">
        <f t="shared" si="3"/>
        <v>0</v>
      </c>
      <c r="J29" s="124">
        <f t="shared" si="0"/>
        <v>1.4333712170872705E-2</v>
      </c>
    </row>
    <row r="30" spans="1:10" x14ac:dyDescent="0.2">
      <c r="A30" s="106" t="s">
        <v>99</v>
      </c>
      <c r="B30" s="72">
        <f>B9</f>
        <v>183750</v>
      </c>
      <c r="C30" s="33">
        <v>1.1000000000000001E-3</v>
      </c>
      <c r="D30" s="21">
        <f>B30*C30</f>
        <v>202.125</v>
      </c>
      <c r="E30" s="72">
        <f t="shared" si="4"/>
        <v>183750</v>
      </c>
      <c r="F30" s="33">
        <v>1.1000000000000001E-3</v>
      </c>
      <c r="G30" s="21">
        <f>E30*F30</f>
        <v>202.125</v>
      </c>
      <c r="H30" s="21">
        <f>G30-D30</f>
        <v>0</v>
      </c>
      <c r="I30" s="22">
        <f t="shared" ref="I30" si="7">IF(ISERROR(H30/D30),0,(H30/D30))</f>
        <v>0</v>
      </c>
      <c r="J30" s="124">
        <f t="shared" ref="J30" si="8">G30/$G$38</f>
        <v>7.508134946647608E-3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9.2864996247960512E-6</v>
      </c>
    </row>
    <row r="32" spans="1:10" x14ac:dyDescent="0.2">
      <c r="A32" s="109" t="s">
        <v>45</v>
      </c>
      <c r="B32" s="73"/>
      <c r="C32" s="34"/>
      <c r="D32" s="34">
        <f>SUM(D28:D31)</f>
        <v>1249.75</v>
      </c>
      <c r="E32" s="72"/>
      <c r="F32" s="34"/>
      <c r="G32" s="34">
        <f>SUM(G28:G31)</f>
        <v>1249.75</v>
      </c>
      <c r="H32" s="34">
        <f t="shared" si="2"/>
        <v>0</v>
      </c>
      <c r="I32" s="35">
        <f t="shared" si="3"/>
        <v>0</v>
      </c>
      <c r="J32" s="110">
        <f t="shared" si="9"/>
        <v>4.6423211624355462E-2</v>
      </c>
    </row>
    <row r="33" spans="1:10" ht="13.5" thickBot="1" x14ac:dyDescent="0.25">
      <c r="A33" s="111" t="s">
        <v>46</v>
      </c>
      <c r="B33" s="112">
        <f>B4</f>
        <v>175000</v>
      </c>
      <c r="C33" s="113">
        <v>7.0000000000000001E-3</v>
      </c>
      <c r="D33" s="114">
        <f>B33*C33</f>
        <v>1225</v>
      </c>
      <c r="E33" s="115">
        <f t="shared" ref="E33" si="10">B33</f>
        <v>175000</v>
      </c>
      <c r="F33" s="113">
        <f>C33</f>
        <v>7.0000000000000001E-3</v>
      </c>
      <c r="G33" s="114">
        <f>E33*F33</f>
        <v>1225</v>
      </c>
      <c r="H33" s="114">
        <f t="shared" si="2"/>
        <v>0</v>
      </c>
      <c r="I33" s="116">
        <f t="shared" si="3"/>
        <v>0</v>
      </c>
      <c r="J33" s="117">
        <f t="shared" si="9"/>
        <v>4.5503848161500653E-2</v>
      </c>
    </row>
    <row r="34" spans="1:10" x14ac:dyDescent="0.2">
      <c r="A34" s="36" t="s">
        <v>116</v>
      </c>
      <c r="B34" s="37"/>
      <c r="C34" s="38"/>
      <c r="D34" s="38">
        <f>SUM(D15,D23,D26,D32,D33)</f>
        <v>23820.834999999999</v>
      </c>
      <c r="E34" s="37"/>
      <c r="F34" s="38"/>
      <c r="G34" s="38">
        <f>SUM(G15,G23,G26,G32,G33)</f>
        <v>23823.716899999999</v>
      </c>
      <c r="H34" s="38">
        <f t="shared" si="2"/>
        <v>2.8819000000003143</v>
      </c>
      <c r="I34" s="39">
        <f>IF(ISERROR(H34/D34),0,(H34/D34))</f>
        <v>1.2098232492691018E-4</v>
      </c>
      <c r="J34" s="40">
        <f t="shared" si="9"/>
        <v>0.88495575221238942</v>
      </c>
    </row>
    <row r="35" spans="1:10" x14ac:dyDescent="0.2">
      <c r="A35" s="45" t="s">
        <v>108</v>
      </c>
      <c r="B35" s="42"/>
      <c r="C35" s="25">
        <v>0.13</v>
      </c>
      <c r="D35" s="25">
        <f>D34*C35</f>
        <v>3096.7085499999998</v>
      </c>
      <c r="E35" s="25"/>
      <c r="F35" s="25">
        <f>C35</f>
        <v>0.13</v>
      </c>
      <c r="G35" s="25">
        <f>G34*F35</f>
        <v>3097.0831969999999</v>
      </c>
      <c r="H35" s="25">
        <f t="shared" si="2"/>
        <v>0.37464700000009543</v>
      </c>
      <c r="I35" s="43">
        <f t="shared" ref="I35:I38" si="11">IF(ISERROR(H35/D35),0,(H35/D35))</f>
        <v>1.209823249269278E-4</v>
      </c>
      <c r="J35" s="44">
        <f t="shared" si="9"/>
        <v>0.11504424778761062</v>
      </c>
    </row>
    <row r="36" spans="1:10" x14ac:dyDescent="0.2">
      <c r="A36" s="45" t="s">
        <v>109</v>
      </c>
      <c r="B36" s="23"/>
      <c r="C36" s="24"/>
      <c r="D36" s="24">
        <f>SUM(D34:D35)</f>
        <v>26917.543549999999</v>
      </c>
      <c r="E36" s="24"/>
      <c r="F36" s="24"/>
      <c r="G36" s="24">
        <f>SUM(G34:G35)</f>
        <v>26920.800096999999</v>
      </c>
      <c r="H36" s="24">
        <f t="shared" si="2"/>
        <v>3.2565470000008645</v>
      </c>
      <c r="I36" s="26">
        <f t="shared" si="11"/>
        <v>1.209823249269291E-4</v>
      </c>
      <c r="J36" s="46">
        <f t="shared" si="9"/>
        <v>1</v>
      </c>
    </row>
    <row r="37" spans="1:10" x14ac:dyDescent="0.2">
      <c r="A37" s="45" t="s">
        <v>110</v>
      </c>
      <c r="B37" s="42"/>
      <c r="C37" s="25">
        <v>0</v>
      </c>
      <c r="D37" s="25">
        <f>D34*C37</f>
        <v>0</v>
      </c>
      <c r="E37" s="25"/>
      <c r="F37" s="25">
        <f>C37</f>
        <v>0</v>
      </c>
      <c r="G37" s="25">
        <f>G34*F37</f>
        <v>0</v>
      </c>
      <c r="H37" s="25">
        <f t="shared" si="2"/>
        <v>0</v>
      </c>
      <c r="I37" s="43">
        <f t="shared" si="11"/>
        <v>0</v>
      </c>
      <c r="J37" s="44">
        <f t="shared" si="9"/>
        <v>0</v>
      </c>
    </row>
    <row r="38" spans="1:10" ht="13.5" thickBot="1" x14ac:dyDescent="0.25">
      <c r="A38" s="45" t="s">
        <v>111</v>
      </c>
      <c r="B38" s="48"/>
      <c r="C38" s="49"/>
      <c r="D38" s="49">
        <f>SUM(D36:D37)</f>
        <v>26917.543549999999</v>
      </c>
      <c r="E38" s="49"/>
      <c r="F38" s="49"/>
      <c r="G38" s="49">
        <f>SUM(G36:G37)</f>
        <v>26920.800096999999</v>
      </c>
      <c r="H38" s="49">
        <f t="shared" si="2"/>
        <v>3.2565470000008645</v>
      </c>
      <c r="I38" s="50">
        <f t="shared" si="11"/>
        <v>1.209823249269291E-4</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5</v>
      </c>
    </row>
    <row r="4" spans="1:10" x14ac:dyDescent="0.2">
      <c r="A4" s="14" t="s">
        <v>62</v>
      </c>
      <c r="B4" s="78">
        <v>15000</v>
      </c>
    </row>
    <row r="5" spans="1:10" x14ac:dyDescent="0.2">
      <c r="A5" s="14" t="s">
        <v>16</v>
      </c>
      <c r="B5" s="78">
        <v>60</v>
      </c>
    </row>
    <row r="6" spans="1:10" x14ac:dyDescent="0.2">
      <c r="A6" s="14" t="s">
        <v>20</v>
      </c>
      <c r="B6" s="79">
        <f>VLOOKUP($B$3,'Data for Bill Impacts'!$A$3:$Y$15,2,0)</f>
        <v>1.0609999999999999</v>
      </c>
    </row>
    <row r="7" spans="1:10" x14ac:dyDescent="0.2">
      <c r="A7" s="80" t="s">
        <v>48</v>
      </c>
      <c r="B7" s="81">
        <f>B4/(B5*730)</f>
        <v>0.34246575342465752</v>
      </c>
    </row>
    <row r="8" spans="1:10" x14ac:dyDescent="0.2">
      <c r="A8" s="14" t="s">
        <v>15</v>
      </c>
      <c r="B8" s="78">
        <f>VLOOKUP($B$3,'Data for Bill Impacts'!$A$3:$Y$15,4,0)</f>
        <v>0</v>
      </c>
    </row>
    <row r="9" spans="1:10" x14ac:dyDescent="0.2">
      <c r="A9" s="14" t="s">
        <v>82</v>
      </c>
      <c r="B9" s="78">
        <f>B4*B6</f>
        <v>15915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15915</v>
      </c>
      <c r="C13" s="102">
        <v>0.10299999999999999</v>
      </c>
      <c r="D13" s="103">
        <f>B13*C13</f>
        <v>1639.2449999999999</v>
      </c>
      <c r="E13" s="101">
        <f>B13</f>
        <v>15915</v>
      </c>
      <c r="F13" s="102">
        <f>C13</f>
        <v>0.10299999999999999</v>
      </c>
      <c r="G13" s="103">
        <f>E13*F13</f>
        <v>1639.2449999999999</v>
      </c>
      <c r="H13" s="103">
        <f>G13-D13</f>
        <v>0</v>
      </c>
      <c r="I13" s="104">
        <f>IF(ISERROR(H13/D13),0,(H13/D13))</f>
        <v>0</v>
      </c>
      <c r="J13" s="123">
        <f t="shared" ref="J13:J29" si="0">G13/$G$38</f>
        <v>0.43971851164289444</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1639.2449999999999</v>
      </c>
      <c r="E15" s="75"/>
      <c r="F15" s="24"/>
      <c r="G15" s="24">
        <f>SUM(G13:G14)</f>
        <v>1639.2449999999999</v>
      </c>
      <c r="H15" s="24">
        <f t="shared" si="2"/>
        <v>0</v>
      </c>
      <c r="I15" s="26">
        <f t="shared" si="3"/>
        <v>0</v>
      </c>
      <c r="J15" s="46">
        <f t="shared" si="0"/>
        <v>0.43971851164289444</v>
      </c>
    </row>
    <row r="16" spans="1:10" s="1" customFormat="1" x14ac:dyDescent="0.2">
      <c r="A16" s="106" t="s">
        <v>38</v>
      </c>
      <c r="B16" s="72">
        <v>1</v>
      </c>
      <c r="C16" s="77">
        <f>VLOOKUP($B$3,'Data for Bill Impacts'!$A$3:$Y$15,7,0)</f>
        <v>107.62</v>
      </c>
      <c r="D16" s="21">
        <f>B16*C16</f>
        <v>107.62</v>
      </c>
      <c r="E16" s="72">
        <f t="shared" ref="E16:E33" si="4">B16</f>
        <v>1</v>
      </c>
      <c r="F16" s="77">
        <f>VLOOKUP($B$3,'Data for Bill Impacts'!$A$3:$Y$15,17,0)</f>
        <v>109.34</v>
      </c>
      <c r="G16" s="21">
        <f>E16*F16</f>
        <v>109.34</v>
      </c>
      <c r="H16" s="21">
        <f t="shared" si="2"/>
        <v>1.7199999999999989</v>
      </c>
      <c r="I16" s="22">
        <f t="shared" si="3"/>
        <v>1.598215944991636E-2</v>
      </c>
      <c r="J16" s="124">
        <f t="shared" si="0"/>
        <v>2.9329857381315227E-2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ref="H18" si="7">G18-D18</f>
        <v>0</v>
      </c>
      <c r="I18" s="22">
        <f t="shared" ref="I18" si="8">IF(ISERROR(H18/D18),0,(H18/D18))</f>
        <v>0</v>
      </c>
      <c r="J18" s="124">
        <f t="shared" si="0"/>
        <v>0</v>
      </c>
    </row>
    <row r="19" spans="1:10" x14ac:dyDescent="0.2">
      <c r="A19" s="106" t="s">
        <v>85</v>
      </c>
      <c r="B19" s="72">
        <v>1</v>
      </c>
      <c r="C19" s="77">
        <f>VLOOKUP($B$3,'Data for Bill Impacts'!$A$3:$Y$15,13,0)</f>
        <v>-0.02</v>
      </c>
      <c r="D19" s="21">
        <f t="shared" si="6"/>
        <v>-0.02</v>
      </c>
      <c r="E19" s="72">
        <f t="shared" si="4"/>
        <v>1</v>
      </c>
      <c r="F19" s="77">
        <f>VLOOKUP($B$3,'Data for Bill Impacts'!$A$3:$Y$15,22,0)</f>
        <v>-0.02</v>
      </c>
      <c r="G19" s="21">
        <f t="shared" si="5"/>
        <v>-0.02</v>
      </c>
      <c r="H19" s="21">
        <f t="shared" ref="H19" si="9">G19-D19</f>
        <v>0</v>
      </c>
      <c r="I19" s="22">
        <f t="shared" ref="I19" si="10">IF(ISERROR(H19/D19),0,(H19/D19))</f>
        <v>0</v>
      </c>
      <c r="J19" s="124">
        <f t="shared" si="0"/>
        <v>-5.3648906861743604E-6</v>
      </c>
    </row>
    <row r="20" spans="1:10" x14ac:dyDescent="0.2">
      <c r="A20" s="106" t="s">
        <v>39</v>
      </c>
      <c r="B20" s="72">
        <f>IF($B$10="kWh",$B$4,$B$5)</f>
        <v>60</v>
      </c>
      <c r="C20" s="77">
        <f>VLOOKUP($B$3,'Data for Bill Impacts'!$A$3:$Y$15,10,0)</f>
        <v>18.352900000000002</v>
      </c>
      <c r="D20" s="21">
        <f>B20*C20</f>
        <v>1101.1740000000002</v>
      </c>
      <c r="E20" s="72">
        <f t="shared" si="4"/>
        <v>60</v>
      </c>
      <c r="F20" s="77">
        <f>VLOOKUP($B$3,'Data for Bill Impacts'!$A$3:$Y$15,19,0)</f>
        <v>18.850200000000001</v>
      </c>
      <c r="G20" s="21">
        <f>E20*F20</f>
        <v>1131.0120000000002</v>
      </c>
      <c r="H20" s="21">
        <f t="shared" si="2"/>
        <v>29.837999999999965</v>
      </c>
      <c r="I20" s="22">
        <f t="shared" si="3"/>
        <v>2.7096535152482677E-2</v>
      </c>
      <c r="J20" s="124">
        <f t="shared" si="0"/>
        <v>0.30338778723757182</v>
      </c>
    </row>
    <row r="21" spans="1:10" s="1" customFormat="1" x14ac:dyDescent="0.2">
      <c r="A21" s="106" t="s">
        <v>129</v>
      </c>
      <c r="B21" s="72">
        <f>IF($B$10="kWh",$B$4,$B$5)</f>
        <v>60</v>
      </c>
      <c r="C21" s="77">
        <f>VLOOKUP($B$3,'Data for Bill Impacts'!$A$3:$Y$15,14,0)</f>
        <v>4.7E-2</v>
      </c>
      <c r="D21" s="21">
        <f>B21*C21</f>
        <v>2.82</v>
      </c>
      <c r="E21" s="72">
        <f>B21</f>
        <v>60</v>
      </c>
      <c r="F21" s="125">
        <f>VLOOKUP($B$3,'Data for Bill Impacts'!$A$3:$Y$15,23,0)</f>
        <v>4.7E-2</v>
      </c>
      <c r="G21" s="21">
        <f>E21*F21</f>
        <v>2.82</v>
      </c>
      <c r="H21" s="21">
        <f>G21-D21</f>
        <v>0</v>
      </c>
      <c r="I21" s="22">
        <f>IF(ISERROR(H21/D21),0,(H21/D21))</f>
        <v>0</v>
      </c>
      <c r="J21" s="124">
        <f t="shared" si="0"/>
        <v>7.5644958675058472E-4</v>
      </c>
    </row>
    <row r="22" spans="1:10" s="1" customFormat="1" x14ac:dyDescent="0.2">
      <c r="A22" s="106" t="s">
        <v>117</v>
      </c>
      <c r="B22" s="72">
        <f>B9</f>
        <v>15915</v>
      </c>
      <c r="C22" s="125">
        <f>VLOOKUP($B$3,'Data for Bill Impacts'!$A$3:$Y$15,20,0)</f>
        <v>1.9E-3</v>
      </c>
      <c r="D22" s="21">
        <f>B22*C22</f>
        <v>30.238499999999998</v>
      </c>
      <c r="E22" s="72">
        <f t="shared" si="4"/>
        <v>15915</v>
      </c>
      <c r="F22" s="125">
        <f>VLOOKUP($B$3,'Data for Bill Impacts'!$A$3:$Y$15,21,0)</f>
        <v>1.9E-3</v>
      </c>
      <c r="G22" s="21">
        <f>E22*F22</f>
        <v>30.238499999999998</v>
      </c>
      <c r="H22" s="21">
        <f t="shared" si="2"/>
        <v>0</v>
      </c>
      <c r="I22" s="22">
        <f>IF(ISERROR(H22/D22),0,(H22/D22))</f>
        <v>0</v>
      </c>
      <c r="J22" s="124">
        <f t="shared" si="0"/>
        <v>8.1113123506941689E-3</v>
      </c>
    </row>
    <row r="23" spans="1:10" x14ac:dyDescent="0.2">
      <c r="A23" s="109" t="s">
        <v>79</v>
      </c>
      <c r="B23" s="73"/>
      <c r="C23" s="34"/>
      <c r="D23" s="34">
        <f>SUM(D16:D22)</f>
        <v>1241.8325</v>
      </c>
      <c r="E23" s="72"/>
      <c r="F23" s="34"/>
      <c r="G23" s="34">
        <f>SUM(G16:G22)</f>
        <v>1273.3905</v>
      </c>
      <c r="H23" s="34">
        <f t="shared" si="2"/>
        <v>31.557999999999993</v>
      </c>
      <c r="I23" s="35">
        <f t="shared" si="3"/>
        <v>2.5412444915075095E-2</v>
      </c>
      <c r="J23" s="110">
        <f t="shared" si="0"/>
        <v>0.3415800416656456</v>
      </c>
    </row>
    <row r="24" spans="1:10" x14ac:dyDescent="0.2">
      <c r="A24" s="106" t="s">
        <v>40</v>
      </c>
      <c r="B24" s="72">
        <f>B5</f>
        <v>60</v>
      </c>
      <c r="C24" s="125">
        <f>VLOOKUP($B$3,'Data for Bill Impacts'!$A$3:$Y$15,15,0)</f>
        <v>1.5908</v>
      </c>
      <c r="D24" s="21">
        <f>B24*C24</f>
        <v>95.447999999999993</v>
      </c>
      <c r="E24" s="72">
        <f t="shared" si="4"/>
        <v>60</v>
      </c>
      <c r="F24" s="77">
        <f>VLOOKUP($B$3,'Data for Bill Impacts'!$A$3:$Y$15,24,0)</f>
        <v>1.5908</v>
      </c>
      <c r="G24" s="21">
        <f>E24*F24</f>
        <v>95.447999999999993</v>
      </c>
      <c r="H24" s="21">
        <f t="shared" si="2"/>
        <v>0</v>
      </c>
      <c r="I24" s="22">
        <f t="shared" si="3"/>
        <v>0</v>
      </c>
      <c r="J24" s="124">
        <f t="shared" si="0"/>
        <v>2.5603404310698515E-2</v>
      </c>
    </row>
    <row r="25" spans="1:10" s="1" customFormat="1" x14ac:dyDescent="0.2">
      <c r="A25" s="106" t="s">
        <v>41</v>
      </c>
      <c r="B25" s="72">
        <f>B5</f>
        <v>60</v>
      </c>
      <c r="C25" s="125">
        <f>VLOOKUP($B$3,'Data for Bill Impacts'!$A$3:$Y$15,16,0)</f>
        <v>1.2918000000000001</v>
      </c>
      <c r="D25" s="21">
        <f>B25*C25</f>
        <v>77.50800000000001</v>
      </c>
      <c r="E25" s="72">
        <f t="shared" si="4"/>
        <v>60</v>
      </c>
      <c r="F25" s="125">
        <f>VLOOKUP($B$3,'Data for Bill Impacts'!$A$3:$Y$15,25,0)</f>
        <v>1.2918000000000001</v>
      </c>
      <c r="G25" s="21">
        <f>E25*F25</f>
        <v>77.50800000000001</v>
      </c>
      <c r="H25" s="21">
        <f t="shared" si="2"/>
        <v>0</v>
      </c>
      <c r="I25" s="22">
        <f t="shared" si="3"/>
        <v>0</v>
      </c>
      <c r="J25" s="124">
        <f t="shared" si="0"/>
        <v>2.0791097365200118E-2</v>
      </c>
    </row>
    <row r="26" spans="1:10" x14ac:dyDescent="0.2">
      <c r="A26" s="109" t="s">
        <v>76</v>
      </c>
      <c r="B26" s="73"/>
      <c r="C26" s="34"/>
      <c r="D26" s="34">
        <f>SUM(D24:D25)</f>
        <v>172.95600000000002</v>
      </c>
      <c r="E26" s="72"/>
      <c r="F26" s="34"/>
      <c r="G26" s="34">
        <f>SUM(G24:G25)</f>
        <v>172.95600000000002</v>
      </c>
      <c r="H26" s="34">
        <f t="shared" si="2"/>
        <v>0</v>
      </c>
      <c r="I26" s="35">
        <f t="shared" si="3"/>
        <v>0</v>
      </c>
      <c r="J26" s="110">
        <f t="shared" si="0"/>
        <v>4.6394501675898633E-2</v>
      </c>
    </row>
    <row r="27" spans="1:10" s="1" customFormat="1" x14ac:dyDescent="0.2">
      <c r="A27" s="109" t="s">
        <v>80</v>
      </c>
      <c r="B27" s="73"/>
      <c r="C27" s="34"/>
      <c r="D27" s="34">
        <f>D23+D26</f>
        <v>1414.7885000000001</v>
      </c>
      <c r="E27" s="72"/>
      <c r="F27" s="34"/>
      <c r="G27" s="34">
        <f>G23+G26</f>
        <v>1446.3465000000001</v>
      </c>
      <c r="H27" s="34">
        <f t="shared" si="2"/>
        <v>31.557999999999993</v>
      </c>
      <c r="I27" s="35">
        <f t="shared" si="3"/>
        <v>2.2305807546498992E-2</v>
      </c>
      <c r="J27" s="110">
        <f t="shared" si="0"/>
        <v>0.38797454334154424</v>
      </c>
    </row>
    <row r="28" spans="1:10" x14ac:dyDescent="0.2">
      <c r="A28" s="106" t="s">
        <v>42</v>
      </c>
      <c r="B28" s="72">
        <f>B9</f>
        <v>15915</v>
      </c>
      <c r="C28" s="33">
        <v>3.5999999999999999E-3</v>
      </c>
      <c r="D28" s="21">
        <f>B28*C28</f>
        <v>57.293999999999997</v>
      </c>
      <c r="E28" s="72">
        <f t="shared" si="4"/>
        <v>15915</v>
      </c>
      <c r="F28" s="33">
        <v>3.5999999999999999E-3</v>
      </c>
      <c r="G28" s="21">
        <f>E28*F28</f>
        <v>57.293999999999997</v>
      </c>
      <c r="H28" s="21">
        <f t="shared" si="2"/>
        <v>0</v>
      </c>
      <c r="I28" s="22">
        <f t="shared" si="3"/>
        <v>0</v>
      </c>
      <c r="J28" s="124">
        <f t="shared" si="0"/>
        <v>1.5368802348683689E-2</v>
      </c>
    </row>
    <row r="29" spans="1:10" x14ac:dyDescent="0.2">
      <c r="A29" s="106" t="s">
        <v>43</v>
      </c>
      <c r="B29" s="72">
        <f>B9</f>
        <v>15915</v>
      </c>
      <c r="C29" s="33">
        <v>2.0999999999999999E-3</v>
      </c>
      <c r="D29" s="21">
        <f>B29*C29</f>
        <v>33.421499999999995</v>
      </c>
      <c r="E29" s="72">
        <f t="shared" si="4"/>
        <v>15915</v>
      </c>
      <c r="F29" s="33">
        <v>2.0999999999999999E-3</v>
      </c>
      <c r="G29" s="21">
        <f>E29*F29</f>
        <v>33.421499999999995</v>
      </c>
      <c r="H29" s="21">
        <f>G29-D29</f>
        <v>0</v>
      </c>
      <c r="I29" s="22">
        <f t="shared" si="3"/>
        <v>0</v>
      </c>
      <c r="J29" s="124">
        <f t="shared" si="0"/>
        <v>8.965134703398818E-3</v>
      </c>
    </row>
    <row r="30" spans="1:10" x14ac:dyDescent="0.2">
      <c r="A30" s="106" t="s">
        <v>99</v>
      </c>
      <c r="B30" s="72">
        <f>B9</f>
        <v>15915</v>
      </c>
      <c r="C30" s="33">
        <v>1.1000000000000001E-3</v>
      </c>
      <c r="D30" s="21">
        <f>B30*C30</f>
        <v>17.506500000000003</v>
      </c>
      <c r="E30" s="72">
        <f t="shared" si="4"/>
        <v>15915</v>
      </c>
      <c r="F30" s="33">
        <v>1.1000000000000001E-3</v>
      </c>
      <c r="G30" s="21">
        <f>E30*F30</f>
        <v>17.506500000000003</v>
      </c>
      <c r="H30" s="21">
        <f>G30-D30</f>
        <v>0</v>
      </c>
      <c r="I30" s="22">
        <f t="shared" ref="I30" si="11">IF(ISERROR(H30/D30),0,(H30/D30))</f>
        <v>0</v>
      </c>
      <c r="J30" s="124">
        <f t="shared" ref="J30" si="12">G30/$G$38</f>
        <v>4.6960229398755726E-3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13">G31/$G$38</f>
        <v>6.7061133577179496E-5</v>
      </c>
    </row>
    <row r="32" spans="1:10" x14ac:dyDescent="0.2">
      <c r="A32" s="109" t="s">
        <v>45</v>
      </c>
      <c r="B32" s="73"/>
      <c r="C32" s="34"/>
      <c r="D32" s="34">
        <f>SUM(D28:D31)</f>
        <v>108.47199999999999</v>
      </c>
      <c r="E32" s="72"/>
      <c r="F32" s="34"/>
      <c r="G32" s="34">
        <f>SUM(G28:G31)</f>
        <v>108.47199999999999</v>
      </c>
      <c r="H32" s="34">
        <f t="shared" si="2"/>
        <v>0</v>
      </c>
      <c r="I32" s="35">
        <f t="shared" si="3"/>
        <v>0</v>
      </c>
      <c r="J32" s="110">
        <f t="shared" si="13"/>
        <v>2.909702112553526E-2</v>
      </c>
    </row>
    <row r="33" spans="1:10" ht="13.5" thickBot="1" x14ac:dyDescent="0.25">
      <c r="A33" s="111" t="s">
        <v>46</v>
      </c>
      <c r="B33" s="112">
        <f>B4</f>
        <v>15000</v>
      </c>
      <c r="C33" s="113">
        <v>7.0000000000000001E-3</v>
      </c>
      <c r="D33" s="114">
        <f>B33*C33</f>
        <v>105</v>
      </c>
      <c r="E33" s="115">
        <f t="shared" si="4"/>
        <v>15000</v>
      </c>
      <c r="F33" s="113">
        <f>C33</f>
        <v>7.0000000000000001E-3</v>
      </c>
      <c r="G33" s="114">
        <f>E33*F33</f>
        <v>105</v>
      </c>
      <c r="H33" s="114">
        <f t="shared" si="2"/>
        <v>0</v>
      </c>
      <c r="I33" s="116">
        <f t="shared" si="3"/>
        <v>0</v>
      </c>
      <c r="J33" s="117">
        <f t="shared" si="13"/>
        <v>2.8165676102415389E-2</v>
      </c>
    </row>
    <row r="34" spans="1:10" x14ac:dyDescent="0.2">
      <c r="A34" s="36" t="s">
        <v>116</v>
      </c>
      <c r="B34" s="37"/>
      <c r="C34" s="38"/>
      <c r="D34" s="38">
        <f>SUM(D15,D23,D26,D32,D33)</f>
        <v>3267.5055000000002</v>
      </c>
      <c r="E34" s="37"/>
      <c r="F34" s="38"/>
      <c r="G34" s="38">
        <f>SUM(G15,G23,G26,G32,G33)</f>
        <v>3299.0635000000002</v>
      </c>
      <c r="H34" s="38">
        <f t="shared" si="2"/>
        <v>31.557999999999993</v>
      </c>
      <c r="I34" s="39">
        <f>IF(ISERROR(H34/D34),0,(H34/D34))</f>
        <v>9.6581321745288547E-3</v>
      </c>
      <c r="J34" s="40">
        <f t="shared" si="13"/>
        <v>0.88495575221238931</v>
      </c>
    </row>
    <row r="35" spans="1:10" x14ac:dyDescent="0.2">
      <c r="A35" s="45" t="s">
        <v>108</v>
      </c>
      <c r="B35" s="42"/>
      <c r="C35" s="25">
        <v>0.13</v>
      </c>
      <c r="D35" s="25">
        <f>D34*C35</f>
        <v>424.77571500000005</v>
      </c>
      <c r="E35" s="25"/>
      <c r="F35" s="25">
        <f>C35</f>
        <v>0.13</v>
      </c>
      <c r="G35" s="25">
        <f>G34*F35</f>
        <v>428.87825500000002</v>
      </c>
      <c r="H35" s="25">
        <f t="shared" si="2"/>
        <v>4.1025399999999763</v>
      </c>
      <c r="I35" s="43">
        <f t="shared" ref="I35:I38" si="14">IF(ISERROR(H35/D35),0,(H35/D35))</f>
        <v>9.658132174528801E-3</v>
      </c>
      <c r="J35" s="44">
        <f t="shared" si="13"/>
        <v>0.11504424778761062</v>
      </c>
    </row>
    <row r="36" spans="1:10" x14ac:dyDescent="0.2">
      <c r="A36" s="45" t="s">
        <v>109</v>
      </c>
      <c r="B36" s="23"/>
      <c r="C36" s="24"/>
      <c r="D36" s="24">
        <f>SUM(D34:D35)</f>
        <v>3692.2812150000004</v>
      </c>
      <c r="E36" s="24"/>
      <c r="F36" s="24"/>
      <c r="G36" s="24">
        <f>SUM(G34:G35)</f>
        <v>3727.9417550000003</v>
      </c>
      <c r="H36" s="24">
        <f t="shared" si="2"/>
        <v>35.660539999999855</v>
      </c>
      <c r="I36" s="26">
        <f t="shared" si="14"/>
        <v>9.6581321745288166E-3</v>
      </c>
      <c r="J36" s="46">
        <f t="shared" si="13"/>
        <v>1</v>
      </c>
    </row>
    <row r="37" spans="1:10" x14ac:dyDescent="0.2">
      <c r="A37" s="45" t="s">
        <v>110</v>
      </c>
      <c r="B37" s="42"/>
      <c r="C37" s="25">
        <v>0</v>
      </c>
      <c r="D37" s="25">
        <f>D34*C37</f>
        <v>0</v>
      </c>
      <c r="E37" s="25"/>
      <c r="F37" s="25">
        <f>C37</f>
        <v>0</v>
      </c>
      <c r="G37" s="25">
        <f>G34*F37</f>
        <v>0</v>
      </c>
      <c r="H37" s="25">
        <f t="shared" si="2"/>
        <v>0</v>
      </c>
      <c r="I37" s="43">
        <f t="shared" si="14"/>
        <v>0</v>
      </c>
      <c r="J37" s="44">
        <f t="shared" si="13"/>
        <v>0</v>
      </c>
    </row>
    <row r="38" spans="1:10" ht="13.5" thickBot="1" x14ac:dyDescent="0.25">
      <c r="A38" s="45" t="s">
        <v>111</v>
      </c>
      <c r="B38" s="48"/>
      <c r="C38" s="49"/>
      <c r="D38" s="49">
        <f>SUM(D36:D37)</f>
        <v>3692.2812150000004</v>
      </c>
      <c r="E38" s="49"/>
      <c r="F38" s="49"/>
      <c r="G38" s="49">
        <f>SUM(G36:G37)</f>
        <v>3727.9417550000003</v>
      </c>
      <c r="H38" s="49">
        <f t="shared" si="2"/>
        <v>35.660539999999855</v>
      </c>
      <c r="I38" s="50">
        <f t="shared" si="14"/>
        <v>9.6581321745288166E-3</v>
      </c>
      <c r="J38" s="51">
        <f t="shared" si="13"/>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5</v>
      </c>
    </row>
    <row r="4" spans="1:10" x14ac:dyDescent="0.2">
      <c r="A4" s="14" t="s">
        <v>62</v>
      </c>
      <c r="B4" s="78">
        <f>'Data for Bill Impacts_HONI Avg '!C12</f>
        <v>36104</v>
      </c>
    </row>
    <row r="5" spans="1:10" x14ac:dyDescent="0.2">
      <c r="A5" s="14" t="s">
        <v>16</v>
      </c>
      <c r="B5" s="78">
        <v>128</v>
      </c>
    </row>
    <row r="6" spans="1:10" x14ac:dyDescent="0.2">
      <c r="A6" s="14" t="s">
        <v>20</v>
      </c>
      <c r="B6" s="79">
        <f>VLOOKUP($B$3,'Data for Bill Impacts'!$A$3:$Y$15,2,0)</f>
        <v>1.0609999999999999</v>
      </c>
    </row>
    <row r="7" spans="1:10" x14ac:dyDescent="0.2">
      <c r="A7" s="80" t="s">
        <v>48</v>
      </c>
      <c r="B7" s="81">
        <f>B4/(B5*730)</f>
        <v>0.38638698630136986</v>
      </c>
    </row>
    <row r="8" spans="1:10" x14ac:dyDescent="0.2">
      <c r="A8" s="14" t="s">
        <v>15</v>
      </c>
      <c r="B8" s="78">
        <f>VLOOKUP($B$3,'Data for Bill Impacts'!$A$3:$Y$15,4,0)</f>
        <v>0</v>
      </c>
    </row>
    <row r="9" spans="1:10" x14ac:dyDescent="0.2">
      <c r="A9" s="14" t="s">
        <v>82</v>
      </c>
      <c r="B9" s="78">
        <f>B4*B6</f>
        <v>38306.343999999997</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38306.343999999997</v>
      </c>
      <c r="C13" s="102">
        <v>0.10299999999999999</v>
      </c>
      <c r="D13" s="103">
        <f>B13*C13</f>
        <v>3945.5534319999997</v>
      </c>
      <c r="E13" s="101">
        <f>B13</f>
        <v>38306.343999999997</v>
      </c>
      <c r="F13" s="102">
        <f>C13</f>
        <v>0.10299999999999999</v>
      </c>
      <c r="G13" s="103">
        <f>E13*F13</f>
        <v>3945.5534319999997</v>
      </c>
      <c r="H13" s="103">
        <f>G13-D13</f>
        <v>0</v>
      </c>
      <c r="I13" s="104">
        <f>IF(ISERROR(H13/D13),0,(H13/D13))</f>
        <v>0</v>
      </c>
      <c r="J13" s="123">
        <f t="shared" ref="J13:J38" si="0">G13/$G$38</f>
        <v>0.47000573752180397</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3945.5534319999997</v>
      </c>
      <c r="E15" s="75"/>
      <c r="F15" s="24"/>
      <c r="G15" s="24">
        <f>SUM(G13:G14)</f>
        <v>3945.5534319999997</v>
      </c>
      <c r="H15" s="24">
        <f t="shared" si="2"/>
        <v>0</v>
      </c>
      <c r="I15" s="26">
        <f t="shared" si="3"/>
        <v>0</v>
      </c>
      <c r="J15" s="46">
        <f t="shared" si="0"/>
        <v>0.47000573752180397</v>
      </c>
    </row>
    <row r="16" spans="1:10" s="1" customFormat="1" x14ac:dyDescent="0.2">
      <c r="A16" s="106" t="s">
        <v>38</v>
      </c>
      <c r="B16" s="72">
        <v>1</v>
      </c>
      <c r="C16" s="77">
        <f>VLOOKUP($B$3,'Data for Bill Impacts'!$A$3:$Y$15,7,0)</f>
        <v>107.62</v>
      </c>
      <c r="D16" s="21">
        <f>B16*C16</f>
        <v>107.62</v>
      </c>
      <c r="E16" s="72">
        <f t="shared" ref="E16:E33" si="4">B16</f>
        <v>1</v>
      </c>
      <c r="F16" s="77">
        <f>VLOOKUP($B$3,'Data for Bill Impacts'!$A$3:$Y$15,17,0)</f>
        <v>109.34</v>
      </c>
      <c r="G16" s="21">
        <f>E16*F16</f>
        <v>109.34</v>
      </c>
      <c r="H16" s="21">
        <f t="shared" si="2"/>
        <v>1.7199999999999989</v>
      </c>
      <c r="I16" s="22">
        <f t="shared" si="3"/>
        <v>1.598215944991636E-2</v>
      </c>
      <c r="J16" s="124">
        <f t="shared" si="0"/>
        <v>1.3024897071178239E-2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-0.02</v>
      </c>
      <c r="D19" s="21">
        <f t="shared" si="6"/>
        <v>-0.02</v>
      </c>
      <c r="E19" s="72">
        <f t="shared" si="4"/>
        <v>1</v>
      </c>
      <c r="F19" s="77">
        <f>VLOOKUP($B$3,'Data for Bill Impacts'!$A$3:$Y$15,22,0)</f>
        <v>-0.02</v>
      </c>
      <c r="G19" s="21">
        <f t="shared" si="5"/>
        <v>-0.02</v>
      </c>
      <c r="H19" s="21">
        <f t="shared" si="2"/>
        <v>0</v>
      </c>
      <c r="I19" s="22">
        <f t="shared" si="3"/>
        <v>0</v>
      </c>
      <c r="J19" s="124">
        <f t="shared" si="0"/>
        <v>-2.3824578509563267E-6</v>
      </c>
    </row>
    <row r="20" spans="1:10" x14ac:dyDescent="0.2">
      <c r="A20" s="106" t="s">
        <v>39</v>
      </c>
      <c r="B20" s="72">
        <f>IF($B$10="kWh",$B$4,$B$5)</f>
        <v>128</v>
      </c>
      <c r="C20" s="77">
        <f>VLOOKUP($B$3,'Data for Bill Impacts'!$A$3:$Y$15,10,0)</f>
        <v>18.352900000000002</v>
      </c>
      <c r="D20" s="21">
        <f>B20*C20</f>
        <v>2349.1712000000002</v>
      </c>
      <c r="E20" s="72">
        <f t="shared" si="4"/>
        <v>128</v>
      </c>
      <c r="F20" s="77">
        <f>VLOOKUP($B$3,'Data for Bill Impacts'!$A$3:$Y$15,19,0)</f>
        <v>18.850200000000001</v>
      </c>
      <c r="G20" s="21">
        <f>E20*F20</f>
        <v>2412.8256000000001</v>
      </c>
      <c r="H20" s="21">
        <f t="shared" si="2"/>
        <v>63.654399999999896</v>
      </c>
      <c r="I20" s="22">
        <f t="shared" si="3"/>
        <v>2.7096535152482667E-2</v>
      </c>
      <c r="J20" s="124">
        <f t="shared" si="0"/>
        <v>0.2874227646854205</v>
      </c>
    </row>
    <row r="21" spans="1:10" s="1" customFormat="1" x14ac:dyDescent="0.2">
      <c r="A21" s="106" t="s">
        <v>129</v>
      </c>
      <c r="B21" s="72">
        <f>IF($B$10="kWh",$B$4,$B$5)</f>
        <v>128</v>
      </c>
      <c r="C21" s="77">
        <f>VLOOKUP($B$3,'Data for Bill Impacts'!$A$3:$Y$15,14,0)</f>
        <v>4.7E-2</v>
      </c>
      <c r="D21" s="21">
        <f>B21*C21</f>
        <v>6.016</v>
      </c>
      <c r="E21" s="72">
        <f>B21</f>
        <v>128</v>
      </c>
      <c r="F21" s="77">
        <f>VLOOKUP($B$3,'Data for Bill Impacts'!$A$3:$Y$15,23,0)</f>
        <v>4.7E-2</v>
      </c>
      <c r="G21" s="21">
        <f>E21*F21</f>
        <v>6.016</v>
      </c>
      <c r="H21" s="21">
        <f>G21-D21</f>
        <v>0</v>
      </c>
      <c r="I21" s="22">
        <f>IF(ISERROR(H21/D21),0,(H21/D21))</f>
        <v>0</v>
      </c>
      <c r="J21" s="124">
        <f t="shared" si="0"/>
        <v>7.1664332156766311E-4</v>
      </c>
    </row>
    <row r="22" spans="1:10" s="1" customFormat="1" x14ac:dyDescent="0.2">
      <c r="A22" s="106" t="s">
        <v>117</v>
      </c>
      <c r="B22" s="72">
        <f>B9</f>
        <v>38306.343999999997</v>
      </c>
      <c r="C22" s="125">
        <f>VLOOKUP($B$3,'Data for Bill Impacts'!$A$3:$Y$15,20,0)</f>
        <v>1.9E-3</v>
      </c>
      <c r="D22" s="21">
        <f>B22*C22</f>
        <v>72.782053599999998</v>
      </c>
      <c r="E22" s="72">
        <f t="shared" si="4"/>
        <v>38306.343999999997</v>
      </c>
      <c r="F22" s="125">
        <f>VLOOKUP($B$3,'Data for Bill Impacts'!$A$3:$Y$15,21,0)</f>
        <v>1.9E-3</v>
      </c>
      <c r="G22" s="21">
        <f>E22*F22</f>
        <v>72.782053599999998</v>
      </c>
      <c r="H22" s="21">
        <f t="shared" si="2"/>
        <v>0</v>
      </c>
      <c r="I22" s="22">
        <f>IF(ISERROR(H22/D22),0,(H22/D22))</f>
        <v>0</v>
      </c>
      <c r="J22" s="124">
        <f t="shared" si="0"/>
        <v>8.670008750402209E-3</v>
      </c>
    </row>
    <row r="23" spans="1:10" x14ac:dyDescent="0.2">
      <c r="A23" s="109" t="s">
        <v>95</v>
      </c>
      <c r="B23" s="73"/>
      <c r="C23" s="34"/>
      <c r="D23" s="34">
        <f>SUM(D16:D22)</f>
        <v>2535.5692536000001</v>
      </c>
      <c r="E23" s="72"/>
      <c r="F23" s="34"/>
      <c r="G23" s="34">
        <f>SUM(G16:G22)</f>
        <v>2600.9436536000003</v>
      </c>
      <c r="H23" s="34">
        <f t="shared" si="2"/>
        <v>65.374400000000151</v>
      </c>
      <c r="I23" s="35">
        <f t="shared" si="3"/>
        <v>2.5782928195387134E-2</v>
      </c>
      <c r="J23" s="110">
        <f t="shared" si="0"/>
        <v>0.30983193137071768</v>
      </c>
    </row>
    <row r="24" spans="1:10" x14ac:dyDescent="0.2">
      <c r="A24" s="106" t="s">
        <v>40</v>
      </c>
      <c r="B24" s="72">
        <f>B5</f>
        <v>128</v>
      </c>
      <c r="C24" s="125">
        <f>VLOOKUP($B$3,'Data for Bill Impacts'!$A$3:$Y$15,15,0)</f>
        <v>1.5908</v>
      </c>
      <c r="D24" s="21">
        <f>B24*C24</f>
        <v>203.6224</v>
      </c>
      <c r="E24" s="72">
        <f t="shared" si="4"/>
        <v>128</v>
      </c>
      <c r="F24" s="77">
        <f>VLOOKUP($B$3,'Data for Bill Impacts'!$A$3:$Y$15,24,0)</f>
        <v>1.5908</v>
      </c>
      <c r="G24" s="21">
        <f>E24*F24</f>
        <v>203.6224</v>
      </c>
      <c r="H24" s="21">
        <f t="shared" si="2"/>
        <v>0</v>
      </c>
      <c r="I24" s="22">
        <f t="shared" si="3"/>
        <v>0</v>
      </c>
      <c r="J24" s="124">
        <f t="shared" si="0"/>
        <v>2.4256089275528477E-2</v>
      </c>
    </row>
    <row r="25" spans="1:10" s="1" customFormat="1" x14ac:dyDescent="0.2">
      <c r="A25" s="106" t="s">
        <v>41</v>
      </c>
      <c r="B25" s="72">
        <f>B5</f>
        <v>128</v>
      </c>
      <c r="C25" s="125">
        <f>VLOOKUP($B$3,'Data for Bill Impacts'!$A$3:$Y$15,16,0)</f>
        <v>1.2918000000000001</v>
      </c>
      <c r="D25" s="21">
        <f>B25*C25</f>
        <v>165.35040000000001</v>
      </c>
      <c r="E25" s="72">
        <f t="shared" si="4"/>
        <v>128</v>
      </c>
      <c r="F25" s="77">
        <f>VLOOKUP($B$3,'Data for Bill Impacts'!$A$3:$Y$15,25,0)</f>
        <v>1.2918000000000001</v>
      </c>
      <c r="G25" s="21">
        <f>E25*F25</f>
        <v>165.35040000000001</v>
      </c>
      <c r="H25" s="21">
        <f t="shared" si="2"/>
        <v>0</v>
      </c>
      <c r="I25" s="22">
        <f t="shared" si="3"/>
        <v>0</v>
      </c>
      <c r="J25" s="124">
        <f t="shared" si="0"/>
        <v>1.9697017931938451E-2</v>
      </c>
    </row>
    <row r="26" spans="1:10" x14ac:dyDescent="0.2">
      <c r="A26" s="109" t="s">
        <v>76</v>
      </c>
      <c r="B26" s="73"/>
      <c r="C26" s="34"/>
      <c r="D26" s="34">
        <f>SUM(D24:D25)</f>
        <v>368.97280000000001</v>
      </c>
      <c r="E26" s="72"/>
      <c r="F26" s="34"/>
      <c r="G26" s="34">
        <f>SUM(G24:G25)</f>
        <v>368.97280000000001</v>
      </c>
      <c r="H26" s="34">
        <f t="shared" si="2"/>
        <v>0</v>
      </c>
      <c r="I26" s="35">
        <f t="shared" si="3"/>
        <v>0</v>
      </c>
      <c r="J26" s="110">
        <f t="shared" si="0"/>
        <v>4.3953107207466931E-2</v>
      </c>
    </row>
    <row r="27" spans="1:10" s="1" customFormat="1" x14ac:dyDescent="0.2">
      <c r="A27" s="109" t="s">
        <v>80</v>
      </c>
      <c r="B27" s="73"/>
      <c r="C27" s="34"/>
      <c r="D27" s="34">
        <f>D23+D26</f>
        <v>2904.5420536000001</v>
      </c>
      <c r="E27" s="72"/>
      <c r="F27" s="34"/>
      <c r="G27" s="34">
        <f>G23+G26</f>
        <v>2969.9164536000003</v>
      </c>
      <c r="H27" s="34">
        <f t="shared" si="2"/>
        <v>65.374400000000151</v>
      </c>
      <c r="I27" s="35">
        <f t="shared" si="3"/>
        <v>2.2507644507667783E-2</v>
      </c>
      <c r="J27" s="110">
        <f t="shared" si="0"/>
        <v>0.35378503857818461</v>
      </c>
    </row>
    <row r="28" spans="1:10" x14ac:dyDescent="0.2">
      <c r="A28" s="106" t="s">
        <v>42</v>
      </c>
      <c r="B28" s="72">
        <f>B9</f>
        <v>38306.343999999997</v>
      </c>
      <c r="C28" s="33">
        <v>3.5999999999999999E-3</v>
      </c>
      <c r="D28" s="21">
        <f>B28*C28</f>
        <v>137.90283839999998</v>
      </c>
      <c r="E28" s="72">
        <f t="shared" si="4"/>
        <v>38306.343999999997</v>
      </c>
      <c r="F28" s="33">
        <v>3.5999999999999999E-3</v>
      </c>
      <c r="G28" s="21">
        <f>E28*F28</f>
        <v>137.90283839999998</v>
      </c>
      <c r="H28" s="21">
        <f t="shared" si="2"/>
        <v>0</v>
      </c>
      <c r="I28" s="22">
        <f t="shared" si="3"/>
        <v>0</v>
      </c>
      <c r="J28" s="124">
        <f t="shared" si="0"/>
        <v>1.6427385000762077E-2</v>
      </c>
    </row>
    <row r="29" spans="1:10" x14ac:dyDescent="0.2">
      <c r="A29" s="106" t="s">
        <v>43</v>
      </c>
      <c r="B29" s="72">
        <f>B9</f>
        <v>38306.343999999997</v>
      </c>
      <c r="C29" s="33">
        <v>2.0999999999999999E-3</v>
      </c>
      <c r="D29" s="21">
        <f>B29*C29</f>
        <v>80.443322399999985</v>
      </c>
      <c r="E29" s="72">
        <f t="shared" si="4"/>
        <v>38306.343999999997</v>
      </c>
      <c r="F29" s="33">
        <v>2.0999999999999999E-3</v>
      </c>
      <c r="G29" s="21">
        <f>E29*F29</f>
        <v>80.443322399999985</v>
      </c>
      <c r="H29" s="21">
        <f>G29-D29</f>
        <v>0</v>
      </c>
      <c r="I29" s="22">
        <f t="shared" si="3"/>
        <v>0</v>
      </c>
      <c r="J29" s="124">
        <f t="shared" si="0"/>
        <v>9.5826412504445464E-3</v>
      </c>
    </row>
    <row r="30" spans="1:10" x14ac:dyDescent="0.2">
      <c r="A30" s="106" t="s">
        <v>99</v>
      </c>
      <c r="B30" s="72">
        <f>B9</f>
        <v>38306.343999999997</v>
      </c>
      <c r="C30" s="33">
        <v>1.1000000000000001E-3</v>
      </c>
      <c r="D30" s="21">
        <f>B30*C30</f>
        <v>42.136978399999997</v>
      </c>
      <c r="E30" s="72">
        <f t="shared" si="4"/>
        <v>38306.343999999997</v>
      </c>
      <c r="F30" s="33">
        <v>1.1000000000000001E-3</v>
      </c>
      <c r="G30" s="21">
        <f>E30*F30</f>
        <v>42.136978399999997</v>
      </c>
      <c r="H30" s="21">
        <f>G30-D30</f>
        <v>0</v>
      </c>
      <c r="I30" s="22">
        <f t="shared" si="3"/>
        <v>0</v>
      </c>
      <c r="J30" s="124">
        <f t="shared" si="0"/>
        <v>5.0194787502328576E-3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2.9780723136954085E-5</v>
      </c>
    </row>
    <row r="32" spans="1:10" x14ac:dyDescent="0.2">
      <c r="A32" s="109" t="s">
        <v>45</v>
      </c>
      <c r="B32" s="73"/>
      <c r="C32" s="34"/>
      <c r="D32" s="34">
        <f>SUM(D28:D31)</f>
        <v>260.73313919999993</v>
      </c>
      <c r="E32" s="72"/>
      <c r="F32" s="34"/>
      <c r="G32" s="34">
        <f>SUM(G28:G31)</f>
        <v>260.73313919999993</v>
      </c>
      <c r="H32" s="34">
        <f t="shared" si="2"/>
        <v>0</v>
      </c>
      <c r="I32" s="35">
        <f t="shared" si="3"/>
        <v>0</v>
      </c>
      <c r="J32" s="110">
        <f t="shared" si="0"/>
        <v>3.1059285724576433E-2</v>
      </c>
    </row>
    <row r="33" spans="1:10" ht="13.5" thickBot="1" x14ac:dyDescent="0.25">
      <c r="A33" s="111" t="s">
        <v>46</v>
      </c>
      <c r="B33" s="112">
        <f>B4</f>
        <v>36104</v>
      </c>
      <c r="C33" s="113">
        <v>7.0000000000000001E-3</v>
      </c>
      <c r="D33" s="114">
        <f>B33*C33</f>
        <v>252.72800000000001</v>
      </c>
      <c r="E33" s="115">
        <f t="shared" si="4"/>
        <v>36104</v>
      </c>
      <c r="F33" s="113">
        <f>C33</f>
        <v>7.0000000000000001E-3</v>
      </c>
      <c r="G33" s="114">
        <f>E33*F33</f>
        <v>252.72800000000001</v>
      </c>
      <c r="H33" s="114">
        <f t="shared" si="2"/>
        <v>0</v>
      </c>
      <c r="I33" s="116">
        <f t="shared" si="3"/>
        <v>0</v>
      </c>
      <c r="J33" s="117">
        <f t="shared" si="0"/>
        <v>3.010569038782453E-2</v>
      </c>
    </row>
    <row r="34" spans="1:10" x14ac:dyDescent="0.2">
      <c r="A34" s="36" t="s">
        <v>116</v>
      </c>
      <c r="B34" s="37"/>
      <c r="C34" s="38"/>
      <c r="D34" s="38">
        <f>SUM(D15,D23,D26,D32,D33)</f>
        <v>7363.5566247999986</v>
      </c>
      <c r="E34" s="37"/>
      <c r="F34" s="38"/>
      <c r="G34" s="38">
        <f>SUM(G15,G23,G26,G32,G33)</f>
        <v>7428.9310247999992</v>
      </c>
      <c r="H34" s="38">
        <f t="shared" si="2"/>
        <v>65.374400000000605</v>
      </c>
      <c r="I34" s="39">
        <f>IF(ISERROR(H34/D34),0,(H34/D34))</f>
        <v>8.878101076838835E-3</v>
      </c>
      <c r="J34" s="40">
        <f t="shared" si="0"/>
        <v>0.88495575221238942</v>
      </c>
    </row>
    <row r="35" spans="1:10" x14ac:dyDescent="0.2">
      <c r="A35" s="45" t="s">
        <v>108</v>
      </c>
      <c r="B35" s="42"/>
      <c r="C35" s="25">
        <v>0.13</v>
      </c>
      <c r="D35" s="25">
        <f>D34*C35</f>
        <v>957.26236122399985</v>
      </c>
      <c r="E35" s="25"/>
      <c r="F35" s="25">
        <f>C35</f>
        <v>0.13</v>
      </c>
      <c r="G35" s="25">
        <f>G34*F35</f>
        <v>965.7610332239999</v>
      </c>
      <c r="H35" s="25">
        <f t="shared" si="2"/>
        <v>8.498672000000056</v>
      </c>
      <c r="I35" s="43">
        <f t="shared" ref="I35:I38" si="7">IF(ISERROR(H35/D35),0,(H35/D35))</f>
        <v>8.8781010768388107E-3</v>
      </c>
      <c r="J35" s="44">
        <f t="shared" si="0"/>
        <v>0.11504424778761063</v>
      </c>
    </row>
    <row r="36" spans="1:10" x14ac:dyDescent="0.2">
      <c r="A36" s="45" t="s">
        <v>109</v>
      </c>
      <c r="B36" s="23"/>
      <c r="C36" s="24"/>
      <c r="D36" s="24">
        <f>SUM(D34:D35)</f>
        <v>8320.8189860239981</v>
      </c>
      <c r="E36" s="24"/>
      <c r="F36" s="24"/>
      <c r="G36" s="24">
        <f>SUM(G34:G35)</f>
        <v>8394.6920580239985</v>
      </c>
      <c r="H36" s="24">
        <f t="shared" si="2"/>
        <v>73.87307200000032</v>
      </c>
      <c r="I36" s="26">
        <f t="shared" si="7"/>
        <v>8.8781010768387916E-3</v>
      </c>
      <c r="J36" s="46">
        <f t="shared" si="0"/>
        <v>1</v>
      </c>
    </row>
    <row r="37" spans="1:10" x14ac:dyDescent="0.2">
      <c r="A37" s="45" t="s">
        <v>110</v>
      </c>
      <c r="B37" s="42"/>
      <c r="C37" s="25">
        <v>0</v>
      </c>
      <c r="D37" s="25">
        <f>D34*C37</f>
        <v>0</v>
      </c>
      <c r="E37" s="25"/>
      <c r="F37" s="25">
        <v>0</v>
      </c>
      <c r="G37" s="25">
        <f>G34*F37</f>
        <v>0</v>
      </c>
      <c r="H37" s="25">
        <f t="shared" si="2"/>
        <v>0</v>
      </c>
      <c r="I37" s="43">
        <f t="shared" si="7"/>
        <v>0</v>
      </c>
      <c r="J37" s="44">
        <f t="shared" si="0"/>
        <v>0</v>
      </c>
    </row>
    <row r="38" spans="1:10" ht="13.5" thickBot="1" x14ac:dyDescent="0.25">
      <c r="A38" s="47" t="s">
        <v>111</v>
      </c>
      <c r="B38" s="48"/>
      <c r="C38" s="49"/>
      <c r="D38" s="49">
        <f>SUM(D36:D37)</f>
        <v>8320.8189860239981</v>
      </c>
      <c r="E38" s="49"/>
      <c r="F38" s="49"/>
      <c r="G38" s="49">
        <f>SUM(G36:G37)</f>
        <v>8394.6920580239985</v>
      </c>
      <c r="H38" s="49">
        <f t="shared" si="2"/>
        <v>73.87307200000032</v>
      </c>
      <c r="I38" s="50">
        <f t="shared" si="7"/>
        <v>8.8781010768387916E-3</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5</v>
      </c>
    </row>
    <row r="4" spans="1:10" x14ac:dyDescent="0.2">
      <c r="A4" s="14" t="s">
        <v>62</v>
      </c>
      <c r="B4" s="78">
        <v>175000</v>
      </c>
    </row>
    <row r="5" spans="1:10" x14ac:dyDescent="0.2">
      <c r="A5" s="14" t="s">
        <v>16</v>
      </c>
      <c r="B5" s="78">
        <v>500</v>
      </c>
    </row>
    <row r="6" spans="1:10" x14ac:dyDescent="0.2">
      <c r="A6" s="14" t="s">
        <v>20</v>
      </c>
      <c r="B6" s="79">
        <f>VLOOKUP($B$3,'Data for Bill Impacts'!$A$3:$Y$15,2,0)</f>
        <v>1.0609999999999999</v>
      </c>
    </row>
    <row r="7" spans="1:10" x14ac:dyDescent="0.2">
      <c r="A7" s="80" t="s">
        <v>48</v>
      </c>
      <c r="B7" s="81">
        <f>B4/(B5*730)</f>
        <v>0.47945205479452052</v>
      </c>
    </row>
    <row r="8" spans="1:10" x14ac:dyDescent="0.2">
      <c r="A8" s="14" t="s">
        <v>15</v>
      </c>
      <c r="B8" s="78">
        <f>VLOOKUP($B$3,'Data for Bill Impacts'!$A$3:$Y$15,4,0)</f>
        <v>0</v>
      </c>
    </row>
    <row r="9" spans="1:10" x14ac:dyDescent="0.2">
      <c r="A9" s="14" t="s">
        <v>82</v>
      </c>
      <c r="B9" s="78">
        <f>B4*B6</f>
        <v>185675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185675</v>
      </c>
      <c r="C13" s="102">
        <v>0.10299999999999999</v>
      </c>
      <c r="D13" s="103">
        <f>B13*C13</f>
        <v>19124.524999999998</v>
      </c>
      <c r="E13" s="101">
        <f>B13</f>
        <v>185675</v>
      </c>
      <c r="F13" s="102">
        <f>C13</f>
        <v>0.10299999999999999</v>
      </c>
      <c r="G13" s="103">
        <f>E13*F13</f>
        <v>19124.524999999998</v>
      </c>
      <c r="H13" s="103">
        <f>G13-D13</f>
        <v>0</v>
      </c>
      <c r="I13" s="104">
        <f>IF(ISERROR(H13/D13),0,(H13/D13))</f>
        <v>0</v>
      </c>
      <c r="J13" s="123">
        <f t="shared" ref="J13:J29" si="0">G13/$G$38</f>
        <v>0.71898401430758274</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19124.524999999998</v>
      </c>
      <c r="E15" s="75"/>
      <c r="F15" s="24"/>
      <c r="G15" s="24">
        <f>SUM(G13:G14)</f>
        <v>19124.524999999998</v>
      </c>
      <c r="H15" s="24">
        <f t="shared" si="2"/>
        <v>0</v>
      </c>
      <c r="I15" s="26">
        <f t="shared" si="3"/>
        <v>0</v>
      </c>
      <c r="J15" s="46">
        <f t="shared" si="0"/>
        <v>0.71898401430758274</v>
      </c>
    </row>
    <row r="16" spans="1:10" s="1" customFormat="1" hidden="1" x14ac:dyDescent="0.2">
      <c r="A16" s="106" t="s">
        <v>38</v>
      </c>
      <c r="B16" s="72">
        <v>1</v>
      </c>
      <c r="C16" s="77">
        <f>VLOOKUP($B$3,'Data for Bill Impacts'!$A$3:$Y$15,7,0)</f>
        <v>107.62</v>
      </c>
      <c r="D16" s="21">
        <f>B16*C16</f>
        <v>107.62</v>
      </c>
      <c r="E16" s="72">
        <f t="shared" ref="E16:E31" si="4">B16</f>
        <v>1</v>
      </c>
      <c r="F16" s="77">
        <f>VLOOKUP($B$3,'Data for Bill Impacts'!$A$3:$Y$15,17,0)</f>
        <v>109.34</v>
      </c>
      <c r="G16" s="21">
        <f>E16*F16</f>
        <v>109.34</v>
      </c>
      <c r="H16" s="21">
        <f t="shared" si="2"/>
        <v>1.7199999999999989</v>
      </c>
      <c r="I16" s="22">
        <f t="shared" si="3"/>
        <v>1.598215944991636E-2</v>
      </c>
      <c r="J16" s="124">
        <f t="shared" si="0"/>
        <v>4.1106229892973085E-3</v>
      </c>
    </row>
    <row r="17" spans="1:10" hidden="1" x14ac:dyDescent="0.2">
      <c r="A17" s="106" t="s">
        <v>83</v>
      </c>
      <c r="B17" s="72">
        <v>1</v>
      </c>
      <c r="C17" s="77">
        <f>VLOOKUP($B$3,'Data for Bill Impacts'!$A$3:$Y$15,8,0)</f>
        <v>0</v>
      </c>
      <c r="D17" s="21">
        <f>B17*C17</f>
        <v>0</v>
      </c>
      <c r="E17" s="72">
        <f t="shared" si="4"/>
        <v>1</v>
      </c>
      <c r="F17" s="77">
        <f>VLOOKUP($B$3,'Data for Bill Impacts'!$A$3:$Y$15,12,0)</f>
        <v>0</v>
      </c>
      <c r="G17" s="21">
        <f t="shared" ref="G17:G19" si="5">E17*F17</f>
        <v>0</v>
      </c>
      <c r="H17" s="21">
        <f t="shared" si="2"/>
        <v>0</v>
      </c>
      <c r="I17" s="22">
        <f t="shared" si="3"/>
        <v>0</v>
      </c>
      <c r="J17" s="124">
        <f t="shared" si="0"/>
        <v>0</v>
      </c>
    </row>
    <row r="18" spans="1:10" x14ac:dyDescent="0.2">
      <c r="A18" s="106" t="s">
        <v>84</v>
      </c>
      <c r="B18" s="72">
        <v>1</v>
      </c>
      <c r="C18" s="77">
        <f>VLOOKUP($B$3,'Data for Bill Impacts'!$A$3:$Y$15,11,0)</f>
        <v>0</v>
      </c>
      <c r="D18" s="21">
        <f t="shared" ref="D18:D19" si="6">B18*C18</f>
        <v>0</v>
      </c>
      <c r="E18" s="72">
        <f t="shared" si="4"/>
        <v>1</v>
      </c>
      <c r="F18" s="77">
        <f>VLOOKUP($B$3,'Data for Bill Impacts'!$A$3:$Y$15,20,0)</f>
        <v>1.9E-3</v>
      </c>
      <c r="G18" s="21">
        <f t="shared" si="5"/>
        <v>1.9E-3</v>
      </c>
      <c r="H18" s="21">
        <f t="shared" si="2"/>
        <v>1.9E-3</v>
      </c>
      <c r="I18" s="22">
        <f t="shared" si="3"/>
        <v>0</v>
      </c>
      <c r="J18" s="124">
        <f t="shared" si="0"/>
        <v>7.143025132307378E-8</v>
      </c>
    </row>
    <row r="19" spans="1:10" x14ac:dyDescent="0.2">
      <c r="A19" s="106" t="s">
        <v>85</v>
      </c>
      <c r="B19" s="72">
        <v>1</v>
      </c>
      <c r="C19" s="77">
        <f>VLOOKUP($B$3,'Data for Bill Impacts'!$A$3:$Y$15,13,0)</f>
        <v>-0.02</v>
      </c>
      <c r="D19" s="21">
        <f t="shared" si="6"/>
        <v>-0.02</v>
      </c>
      <c r="E19" s="72">
        <f t="shared" si="4"/>
        <v>1</v>
      </c>
      <c r="F19" s="77">
        <f>VLOOKUP($B$3,'Data for Bill Impacts'!$A$3:$Y$15,22,0)</f>
        <v>-0.02</v>
      </c>
      <c r="G19" s="21">
        <f t="shared" si="5"/>
        <v>-0.02</v>
      </c>
      <c r="H19" s="21">
        <f t="shared" si="2"/>
        <v>0</v>
      </c>
      <c r="I19" s="22">
        <f t="shared" si="3"/>
        <v>0</v>
      </c>
      <c r="J19" s="124">
        <f t="shared" si="0"/>
        <v>-7.5189738234814503E-7</v>
      </c>
    </row>
    <row r="20" spans="1:10" s="1" customFormat="1" hidden="1" x14ac:dyDescent="0.2">
      <c r="A20" s="106" t="s">
        <v>86</v>
      </c>
      <c r="B20" s="72">
        <f>IF($B$10="kWh",$B$4,$B$5)</f>
        <v>500</v>
      </c>
      <c r="C20" s="77">
        <f>VLOOKUP($B$3,'Data for Bill Impacts'!$A$3:$Y$15,12,0)</f>
        <v>0</v>
      </c>
      <c r="D20" s="21">
        <f>B20*C20</f>
        <v>0</v>
      </c>
      <c r="E20" s="72">
        <f>B20</f>
        <v>500</v>
      </c>
      <c r="F20" s="77">
        <f>VLOOKUP($B$3,'Data for Bill Impacts'!$A$3:$Y$15,12,0)</f>
        <v>0</v>
      </c>
      <c r="G20" s="21">
        <f>E20*F20</f>
        <v>0</v>
      </c>
      <c r="H20" s="21">
        <f>G20-D20</f>
        <v>0</v>
      </c>
      <c r="I20" s="22">
        <f>IF(ISERROR(H20/D20),0,(H20/D20))</f>
        <v>0</v>
      </c>
      <c r="J20" s="124">
        <f t="shared" si="0"/>
        <v>0</v>
      </c>
    </row>
    <row r="21" spans="1:10" s="1" customFormat="1" x14ac:dyDescent="0.2">
      <c r="A21" s="106" t="s">
        <v>129</v>
      </c>
      <c r="B21" s="72">
        <f>IF($B$10="kWh",$B$4,$B$5)</f>
        <v>500</v>
      </c>
      <c r="C21" s="77">
        <f>VLOOKUP($B$3,'Data for Bill Impacts'!$A$3:$Y$15,14,0)</f>
        <v>4.7E-2</v>
      </c>
      <c r="D21" s="21">
        <f>B21*C21</f>
        <v>23.5</v>
      </c>
      <c r="E21" s="72">
        <f>B21</f>
        <v>500</v>
      </c>
      <c r="F21" s="77">
        <f>VLOOKUP($B$3,'Data for Bill Impacts'!$A$3:$Y$15,23,0)</f>
        <v>4.7E-2</v>
      </c>
      <c r="G21" s="21">
        <f>E21*F21</f>
        <v>23.5</v>
      </c>
      <c r="H21" s="21">
        <f>G21-D21</f>
        <v>0</v>
      </c>
      <c r="I21" s="22">
        <f>IF(ISERROR(H21/D21),0,(H21/D21))</f>
        <v>0</v>
      </c>
      <c r="J21" s="124">
        <f t="shared" si="0"/>
        <v>8.8347942425907031E-4</v>
      </c>
    </row>
    <row r="22" spans="1:10" x14ac:dyDescent="0.2">
      <c r="A22" s="106" t="s">
        <v>117</v>
      </c>
      <c r="B22" s="72">
        <f>B9</f>
        <v>185675</v>
      </c>
      <c r="C22" s="125">
        <f>VLOOKUP($B$3,'Data for Bill Impacts'!$A$3:$Y$15,20,0)</f>
        <v>1.9E-3</v>
      </c>
      <c r="D22" s="21">
        <f>B22*C22</f>
        <v>352.78250000000003</v>
      </c>
      <c r="E22" s="72">
        <f t="shared" si="4"/>
        <v>185675</v>
      </c>
      <c r="F22" s="125">
        <f>VLOOKUP($B$3,'Data for Bill Impacts'!$A$3:$Y$15,21,0)</f>
        <v>1.9E-3</v>
      </c>
      <c r="G22" s="21">
        <f>E22*F22</f>
        <v>352.78250000000003</v>
      </c>
      <c r="H22" s="21">
        <f t="shared" si="2"/>
        <v>0</v>
      </c>
      <c r="I22" s="22">
        <f t="shared" si="3"/>
        <v>0</v>
      </c>
      <c r="J22" s="124">
        <f t="shared" si="0"/>
        <v>1.3262811914411725E-2</v>
      </c>
    </row>
    <row r="23" spans="1:10" x14ac:dyDescent="0.2">
      <c r="A23" s="109" t="s">
        <v>79</v>
      </c>
      <c r="B23" s="73"/>
      <c r="C23" s="154"/>
      <c r="D23" s="34">
        <f>SUM(D16:D22)</f>
        <v>483.88250000000005</v>
      </c>
      <c r="E23" s="72"/>
      <c r="F23" s="34"/>
      <c r="G23" s="34">
        <f>SUM(G16:G22)</f>
        <v>485.60440000000006</v>
      </c>
      <c r="H23" s="34">
        <f t="shared" si="2"/>
        <v>1.7219000000000051</v>
      </c>
      <c r="I23" s="35">
        <f t="shared" si="3"/>
        <v>3.5585085222135642E-3</v>
      </c>
      <c r="J23" s="110">
        <f t="shared" si="0"/>
        <v>1.8256233860837079E-2</v>
      </c>
    </row>
    <row r="24" spans="1:10" x14ac:dyDescent="0.2">
      <c r="A24" s="106" t="s">
        <v>40</v>
      </c>
      <c r="B24" s="72">
        <f>B5</f>
        <v>500</v>
      </c>
      <c r="C24" s="125">
        <f>VLOOKUP($B$3,'Data for Bill Impacts'!$A$3:$Y$15,15,0)</f>
        <v>1.5908</v>
      </c>
      <c r="D24" s="21">
        <f>B24*C24</f>
        <v>795.4</v>
      </c>
      <c r="E24" s="72">
        <f t="shared" si="4"/>
        <v>500</v>
      </c>
      <c r="F24" s="77">
        <f>VLOOKUP($B$3,'Data for Bill Impacts'!$A$3:$Y$15,24,0)</f>
        <v>1.5908</v>
      </c>
      <c r="G24" s="21">
        <f>E24*F24</f>
        <v>795.4</v>
      </c>
      <c r="H24" s="21">
        <f t="shared" si="2"/>
        <v>0</v>
      </c>
      <c r="I24" s="22">
        <f t="shared" si="3"/>
        <v>0</v>
      </c>
      <c r="J24" s="124">
        <f t="shared" si="0"/>
        <v>2.9902958895985727E-2</v>
      </c>
    </row>
    <row r="25" spans="1:10" s="1" customFormat="1" x14ac:dyDescent="0.2">
      <c r="A25" s="106" t="s">
        <v>41</v>
      </c>
      <c r="B25" s="72">
        <f>B5</f>
        <v>500</v>
      </c>
      <c r="C25" s="77">
        <f>VLOOKUP($B$3,'Data for Bill Impacts'!$A$3:$Y$15,16,0)</f>
        <v>1.2918000000000001</v>
      </c>
      <c r="D25" s="21">
        <f>B25*C25</f>
        <v>645.9</v>
      </c>
      <c r="E25" s="72">
        <f t="shared" si="4"/>
        <v>500</v>
      </c>
      <c r="F25" s="77">
        <f>VLOOKUP($B$3,'Data for Bill Impacts'!$A$3:$Y$15,25,0)</f>
        <v>1.2918000000000001</v>
      </c>
      <c r="G25" s="21">
        <f>E25*F25</f>
        <v>645.9</v>
      </c>
      <c r="H25" s="21">
        <f t="shared" si="2"/>
        <v>0</v>
      </c>
      <c r="I25" s="22">
        <f t="shared" si="3"/>
        <v>0</v>
      </c>
      <c r="J25" s="124">
        <f t="shared" si="0"/>
        <v>2.428252596293334E-2</v>
      </c>
    </row>
    <row r="26" spans="1:10" x14ac:dyDescent="0.2">
      <c r="A26" s="109" t="s">
        <v>76</v>
      </c>
      <c r="B26" s="73"/>
      <c r="C26" s="34"/>
      <c r="D26" s="34">
        <f>SUM(D24:D25)</f>
        <v>1441.3</v>
      </c>
      <c r="E26" s="72"/>
      <c r="F26" s="34"/>
      <c r="G26" s="34">
        <f>SUM(G24:G25)</f>
        <v>1441.3</v>
      </c>
      <c r="H26" s="34">
        <f t="shared" si="2"/>
        <v>0</v>
      </c>
      <c r="I26" s="35">
        <f t="shared" si="3"/>
        <v>0</v>
      </c>
      <c r="J26" s="110">
        <f t="shared" si="0"/>
        <v>5.4185484858919067E-2</v>
      </c>
    </row>
    <row r="27" spans="1:10" s="1" customFormat="1" x14ac:dyDescent="0.2">
      <c r="A27" s="109" t="s">
        <v>80</v>
      </c>
      <c r="B27" s="73"/>
      <c r="C27" s="34"/>
      <c r="D27" s="34">
        <f>D23+D26</f>
        <v>1925.1824999999999</v>
      </c>
      <c r="E27" s="72"/>
      <c r="F27" s="34"/>
      <c r="G27" s="34">
        <f>G23+G26</f>
        <v>1926.9043999999999</v>
      </c>
      <c r="H27" s="34">
        <f t="shared" si="2"/>
        <v>1.7219000000000051</v>
      </c>
      <c r="I27" s="35">
        <f t="shared" si="3"/>
        <v>8.9440871190134188E-4</v>
      </c>
      <c r="J27" s="110">
        <f t="shared" si="0"/>
        <v>7.2441718719756146E-2</v>
      </c>
    </row>
    <row r="28" spans="1:10" x14ac:dyDescent="0.2">
      <c r="A28" s="106" t="s">
        <v>42</v>
      </c>
      <c r="B28" s="72">
        <f>B9</f>
        <v>185675</v>
      </c>
      <c r="C28" s="33">
        <v>3.5999999999999999E-3</v>
      </c>
      <c r="D28" s="21">
        <f>B28*C28</f>
        <v>668.43</v>
      </c>
      <c r="E28" s="72">
        <f t="shared" si="4"/>
        <v>185675</v>
      </c>
      <c r="F28" s="33">
        <v>3.5999999999999999E-3</v>
      </c>
      <c r="G28" s="21">
        <f>E28*F28</f>
        <v>668.43</v>
      </c>
      <c r="H28" s="21">
        <f t="shared" si="2"/>
        <v>0</v>
      </c>
      <c r="I28" s="22">
        <f t="shared" si="3"/>
        <v>0</v>
      </c>
      <c r="J28" s="124">
        <f t="shared" si="0"/>
        <v>2.5129538364148527E-2</v>
      </c>
    </row>
    <row r="29" spans="1:10" x14ac:dyDescent="0.2">
      <c r="A29" s="106" t="s">
        <v>43</v>
      </c>
      <c r="B29" s="72">
        <f>B9</f>
        <v>185675</v>
      </c>
      <c r="C29" s="33">
        <v>2.0999999999999999E-3</v>
      </c>
      <c r="D29" s="21">
        <f>B29*C29</f>
        <v>389.91749999999996</v>
      </c>
      <c r="E29" s="72">
        <f t="shared" si="4"/>
        <v>185675</v>
      </c>
      <c r="F29" s="33">
        <v>2.0999999999999999E-3</v>
      </c>
      <c r="G29" s="21">
        <f>E29*F29</f>
        <v>389.91749999999996</v>
      </c>
      <c r="H29" s="21">
        <f>G29-D29</f>
        <v>0</v>
      </c>
      <c r="I29" s="22">
        <f t="shared" si="3"/>
        <v>0</v>
      </c>
      <c r="J29" s="124">
        <f t="shared" si="0"/>
        <v>1.4658897379086639E-2</v>
      </c>
    </row>
    <row r="30" spans="1:10" x14ac:dyDescent="0.2">
      <c r="A30" s="106" t="s">
        <v>99</v>
      </c>
      <c r="B30" s="72">
        <f>B9</f>
        <v>185675</v>
      </c>
      <c r="C30" s="33">
        <v>1.1000000000000001E-3</v>
      </c>
      <c r="D30" s="21">
        <f>B30*C30</f>
        <v>204.24250000000001</v>
      </c>
      <c r="E30" s="72">
        <f t="shared" si="4"/>
        <v>185675</v>
      </c>
      <c r="F30" s="33">
        <v>1.1000000000000001E-3</v>
      </c>
      <c r="G30" s="21">
        <f>E30*F30</f>
        <v>204.24250000000001</v>
      </c>
      <c r="H30" s="21">
        <f>G30-D30</f>
        <v>0</v>
      </c>
      <c r="I30" s="22">
        <f t="shared" ref="I30" si="7">IF(ISERROR(H30/D30),0,(H30/D30))</f>
        <v>0</v>
      </c>
      <c r="J30" s="124">
        <f t="shared" ref="J30" si="8">G30/$G$38</f>
        <v>7.6784700557120502E-3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G31/$G$38</f>
        <v>9.3987172793518118E-6</v>
      </c>
    </row>
    <row r="32" spans="1:10" x14ac:dyDescent="0.2">
      <c r="A32" s="109" t="s">
        <v>45</v>
      </c>
      <c r="B32" s="73"/>
      <c r="C32" s="34"/>
      <c r="D32" s="34">
        <f>SUM(D28:D31)</f>
        <v>1262.8399999999999</v>
      </c>
      <c r="E32" s="72"/>
      <c r="F32" s="34"/>
      <c r="G32" s="34">
        <f>SUM(G28:G31)</f>
        <v>1262.8399999999999</v>
      </c>
      <c r="H32" s="34">
        <f t="shared" si="2"/>
        <v>0</v>
      </c>
      <c r="I32" s="35">
        <f t="shared" si="3"/>
        <v>0</v>
      </c>
      <c r="J32" s="110">
        <f>G32/$G$38</f>
        <v>4.7476304516226565E-2</v>
      </c>
    </row>
    <row r="33" spans="1:10" ht="13.5" thickBot="1" x14ac:dyDescent="0.25">
      <c r="A33" s="111" t="s">
        <v>46</v>
      </c>
      <c r="B33" s="112">
        <f>B4</f>
        <v>175000</v>
      </c>
      <c r="C33" s="113">
        <v>7.0000000000000001E-3</v>
      </c>
      <c r="D33" s="114">
        <f>B33*C33</f>
        <v>1225</v>
      </c>
      <c r="E33" s="115">
        <f t="shared" ref="E33" si="9">B33</f>
        <v>175000</v>
      </c>
      <c r="F33" s="113">
        <f>C33</f>
        <v>7.0000000000000001E-3</v>
      </c>
      <c r="G33" s="114">
        <f>E33*F33</f>
        <v>1225</v>
      </c>
      <c r="H33" s="114">
        <f t="shared" si="2"/>
        <v>0</v>
      </c>
      <c r="I33" s="116">
        <f t="shared" si="3"/>
        <v>0</v>
      </c>
      <c r="J33" s="117">
        <f t="shared" ref="J33:J38" si="10">G33/$G$38</f>
        <v>4.6053714668823881E-2</v>
      </c>
    </row>
    <row r="34" spans="1:10" x14ac:dyDescent="0.2">
      <c r="A34" s="36" t="s">
        <v>116</v>
      </c>
      <c r="B34" s="37"/>
      <c r="C34" s="38"/>
      <c r="D34" s="38">
        <f>SUM(D15,D23,D26,D32,D33)</f>
        <v>23537.547499999997</v>
      </c>
      <c r="E34" s="37"/>
      <c r="F34" s="38"/>
      <c r="G34" s="38">
        <f>SUM(G15,G23,G26,G32,G33)</f>
        <v>23539.269399999997</v>
      </c>
      <c r="H34" s="38">
        <f t="shared" si="2"/>
        <v>1.7219000000004598</v>
      </c>
      <c r="I34" s="39">
        <f>IF(ISERROR(H34/D34),0,(H34/D34))</f>
        <v>7.3155455129743667E-5</v>
      </c>
      <c r="J34" s="40">
        <f t="shared" si="10"/>
        <v>0.88495575221238942</v>
      </c>
    </row>
    <row r="35" spans="1:10" x14ac:dyDescent="0.2">
      <c r="A35" s="45" t="s">
        <v>108</v>
      </c>
      <c r="B35" s="42"/>
      <c r="C35" s="25">
        <v>0.13</v>
      </c>
      <c r="D35" s="25">
        <f>D34*C35</f>
        <v>3059.8811749999995</v>
      </c>
      <c r="E35" s="25"/>
      <c r="F35" s="25">
        <f>C35</f>
        <v>0.13</v>
      </c>
      <c r="G35" s="25">
        <f>G34*F35</f>
        <v>3060.1050219999997</v>
      </c>
      <c r="H35" s="25">
        <f t="shared" si="2"/>
        <v>0.2238470000002053</v>
      </c>
      <c r="I35" s="43">
        <f t="shared" ref="I35:I38" si="11">IF(ISERROR(H35/D35),0,(H35/D35))</f>
        <v>7.3155455129791222E-5</v>
      </c>
      <c r="J35" s="44">
        <f t="shared" si="10"/>
        <v>0.11504424778761062</v>
      </c>
    </row>
    <row r="36" spans="1:10" x14ac:dyDescent="0.2">
      <c r="A36" s="45" t="s">
        <v>109</v>
      </c>
      <c r="B36" s="23"/>
      <c r="C36" s="24"/>
      <c r="D36" s="24">
        <f>SUM(D34:D35)</f>
        <v>26597.428674999996</v>
      </c>
      <c r="E36" s="24"/>
      <c r="F36" s="24"/>
      <c r="G36" s="24">
        <f>SUM(G34:G35)</f>
        <v>26599.374421999997</v>
      </c>
      <c r="H36" s="24">
        <f t="shared" si="2"/>
        <v>1.9457470000015746</v>
      </c>
      <c r="I36" s="26">
        <f t="shared" si="11"/>
        <v>7.3155455129783335E-5</v>
      </c>
      <c r="J36" s="46">
        <f t="shared" si="10"/>
        <v>1</v>
      </c>
    </row>
    <row r="37" spans="1:10" x14ac:dyDescent="0.2">
      <c r="A37" s="45" t="s">
        <v>110</v>
      </c>
      <c r="B37" s="42"/>
      <c r="C37" s="25">
        <v>0</v>
      </c>
      <c r="D37" s="25">
        <f>D34*C37</f>
        <v>0</v>
      </c>
      <c r="E37" s="25"/>
      <c r="F37" s="25">
        <f>C37</f>
        <v>0</v>
      </c>
      <c r="G37" s="25">
        <f>G34*F37</f>
        <v>0</v>
      </c>
      <c r="H37" s="25">
        <f t="shared" si="2"/>
        <v>0</v>
      </c>
      <c r="I37" s="43">
        <f t="shared" si="11"/>
        <v>0</v>
      </c>
      <c r="J37" s="44">
        <f t="shared" si="10"/>
        <v>0</v>
      </c>
    </row>
    <row r="38" spans="1:10" ht="13.5" thickBot="1" x14ac:dyDescent="0.25">
      <c r="A38" s="45" t="s">
        <v>111</v>
      </c>
      <c r="B38" s="48"/>
      <c r="C38" s="49"/>
      <c r="D38" s="49">
        <f>SUM(D36:D37)</f>
        <v>26597.428674999996</v>
      </c>
      <c r="E38" s="49"/>
      <c r="F38" s="49"/>
      <c r="G38" s="49">
        <f>SUM(G36:G37)</f>
        <v>26599.374421999997</v>
      </c>
      <c r="H38" s="49">
        <f t="shared" si="2"/>
        <v>1.9457470000015746</v>
      </c>
      <c r="I38" s="50">
        <f t="shared" si="11"/>
        <v>7.3155455129783335E-5</v>
      </c>
      <c r="J38" s="51">
        <f t="shared" si="1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disablePrompts="1"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Impacts'!$A$12:$A$15</xm:f>
          </x14:formula1>
          <xm:sqref>B3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1" tint="0.499984740745262"/>
    <pageSetUpPr fitToPage="1"/>
  </sheetPr>
  <dimension ref="A1:J54"/>
  <sheetViews>
    <sheetView tabSelected="1" topLeftCell="A10"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47</v>
      </c>
    </row>
    <row r="4" spans="1:10" x14ac:dyDescent="0.2">
      <c r="A4" s="14" t="s">
        <v>62</v>
      </c>
      <c r="B4" s="78">
        <v>300</v>
      </c>
    </row>
    <row r="5" spans="1:10" x14ac:dyDescent="0.2">
      <c r="A5" s="14" t="s">
        <v>16</v>
      </c>
      <c r="B5" s="78">
        <v>10</v>
      </c>
    </row>
    <row r="6" spans="1:10" x14ac:dyDescent="0.2">
      <c r="A6" s="14" t="s">
        <v>20</v>
      </c>
      <c r="B6" s="79">
        <f>VLOOKUP($B$3,'Data for Bill Impacts'!$A$3:$Y$15,2,0)</f>
        <v>1.0609999999999999</v>
      </c>
    </row>
    <row r="7" spans="1:10" x14ac:dyDescent="0.2">
      <c r="A7" s="80" t="s">
        <v>48</v>
      </c>
      <c r="B7" s="81">
        <f>B4/(B5*730)</f>
        <v>4.1095890410958902E-2</v>
      </c>
    </row>
    <row r="8" spans="1:10" x14ac:dyDescent="0.2">
      <c r="A8" s="14" t="s">
        <v>15</v>
      </c>
      <c r="B8" s="78">
        <f>VLOOKUP($B$3,'Data for Bill Impacts'!$A$3:$Y$15,4,0)</f>
        <v>0</v>
      </c>
    </row>
    <row r="9" spans="1:10" x14ac:dyDescent="0.2">
      <c r="A9" s="14" t="s">
        <v>82</v>
      </c>
      <c r="B9" s="78">
        <f>B4*B6</f>
        <v>318.29999999999995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318.29999999999995</v>
      </c>
      <c r="C13" s="102">
        <v>0.10299999999999999</v>
      </c>
      <c r="D13" s="103">
        <f>B13*C13</f>
        <v>32.784899999999993</v>
      </c>
      <c r="E13" s="101">
        <f>B13</f>
        <v>318.29999999999995</v>
      </c>
      <c r="F13" s="102">
        <f>C13</f>
        <v>0.10299999999999999</v>
      </c>
      <c r="G13" s="103">
        <f>E13*F13</f>
        <v>32.784899999999993</v>
      </c>
      <c r="H13" s="103">
        <f>G13-D13</f>
        <v>0</v>
      </c>
      <c r="I13" s="104">
        <f>IF(ISERROR(H13/D13),0,(H13/D13))</f>
        <v>0</v>
      </c>
      <c r="J13" s="123">
        <f t="shared" ref="J13:J29" si="0">G13/$G$38</f>
        <v>7.9053470764389164E-2</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32.784899999999993</v>
      </c>
      <c r="E15" s="75"/>
      <c r="F15" s="24"/>
      <c r="G15" s="24">
        <f>SUM(G13:G14)</f>
        <v>32.784899999999993</v>
      </c>
      <c r="H15" s="24">
        <f t="shared" si="2"/>
        <v>0</v>
      </c>
      <c r="I15" s="26">
        <f t="shared" si="3"/>
        <v>0</v>
      </c>
      <c r="J15" s="46">
        <f t="shared" si="0"/>
        <v>7.9053470764389164E-2</v>
      </c>
    </row>
    <row r="16" spans="1:10" s="1" customFormat="1" x14ac:dyDescent="0.2">
      <c r="A16" s="106" t="s">
        <v>38</v>
      </c>
      <c r="B16" s="72">
        <v>1</v>
      </c>
      <c r="C16" s="77">
        <f>VLOOKUP($B$3,'Data for Bill Impacts'!$A$3:$Y$15,7,0)</f>
        <v>198.03</v>
      </c>
      <c r="D16" s="21">
        <f>B16*C16</f>
        <v>198.03</v>
      </c>
      <c r="E16" s="72">
        <f t="shared" ref="E16:E33" si="4">B16</f>
        <v>1</v>
      </c>
      <c r="F16" s="77">
        <f>VLOOKUP($B$3,'Data for Bill Impacts'!$A$3:$Y$15,17,0)</f>
        <v>198.03</v>
      </c>
      <c r="G16" s="21">
        <f>E16*F16</f>
        <v>198.03</v>
      </c>
      <c r="H16" s="21">
        <f t="shared" si="2"/>
        <v>0</v>
      </c>
      <c r="I16" s="22">
        <f t="shared" si="3"/>
        <v>0</v>
      </c>
      <c r="J16" s="124">
        <f t="shared" si="0"/>
        <v>0.47750515680914046</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2.4112768611278114E-5</v>
      </c>
    </row>
    <row r="20" spans="1:10" x14ac:dyDescent="0.2">
      <c r="A20" s="106" t="s">
        <v>39</v>
      </c>
      <c r="B20" s="72">
        <f>IF($B$10="kWh",$B$4,$B$5)</f>
        <v>10</v>
      </c>
      <c r="C20" s="77">
        <f>VLOOKUP($B$3,'Data for Bill Impacts'!$A$3:$Y$15,10,0)</f>
        <v>11.1084</v>
      </c>
      <c r="D20" s="21">
        <f>B20*C20</f>
        <v>111.084</v>
      </c>
      <c r="E20" s="72">
        <f t="shared" si="4"/>
        <v>10</v>
      </c>
      <c r="F20" s="77">
        <f>VLOOKUP($B$3,'Data for Bill Impacts'!$A$3:$Y$15,19,0)</f>
        <v>11.895300000000001</v>
      </c>
      <c r="G20" s="21">
        <f>E20*F20</f>
        <v>118.953</v>
      </c>
      <c r="H20" s="21">
        <f t="shared" si="2"/>
        <v>7.8689999999999998</v>
      </c>
      <c r="I20" s="22">
        <f t="shared" si="3"/>
        <v>7.0838284541428098E-2</v>
      </c>
      <c r="J20" s="124">
        <f t="shared" si="0"/>
        <v>0.28682861646173657</v>
      </c>
    </row>
    <row r="21" spans="1:10" s="1" customFormat="1" x14ac:dyDescent="0.2">
      <c r="A21" s="106" t="s">
        <v>129</v>
      </c>
      <c r="B21" s="72">
        <f>IF($B$10="kWh",$B$4,$B$5)</f>
        <v>10</v>
      </c>
      <c r="C21" s="77">
        <f>VLOOKUP($B$3,'Data for Bill Impacts'!$A$3:$Y$15,14,0)</f>
        <v>1.72E-2</v>
      </c>
      <c r="D21" s="21">
        <f>B21*C21</f>
        <v>0.17199999999999999</v>
      </c>
      <c r="E21" s="72">
        <f>B21</f>
        <v>10</v>
      </c>
      <c r="F21" s="77">
        <f>VLOOKUP($B$3,'Data for Bill Impacts'!$A$3:$Y$15,23,0)</f>
        <v>1.72E-2</v>
      </c>
      <c r="G21" s="21">
        <f>E21*F21</f>
        <v>0.17199999999999999</v>
      </c>
      <c r="H21" s="21">
        <f>G21-D21</f>
        <v>0</v>
      </c>
      <c r="I21" s="22">
        <f>IF(ISERROR(H21/D21),0,(H21/D21))</f>
        <v>0</v>
      </c>
      <c r="J21" s="124">
        <f t="shared" si="0"/>
        <v>4.1473962011398351E-4</v>
      </c>
    </row>
    <row r="22" spans="1:10" s="1" customFormat="1" x14ac:dyDescent="0.2">
      <c r="A22" s="106" t="s">
        <v>117</v>
      </c>
      <c r="B22" s="72">
        <f>B9</f>
        <v>318.29999999999995</v>
      </c>
      <c r="C22" s="125">
        <f>VLOOKUP($B$3,'Data for Bill Impacts'!$A$3:$Y$15,20,0)</f>
        <v>1.9E-3</v>
      </c>
      <c r="D22" s="21">
        <f>B22*C22</f>
        <v>0.60476999999999992</v>
      </c>
      <c r="E22" s="72">
        <f t="shared" si="4"/>
        <v>318.29999999999995</v>
      </c>
      <c r="F22" s="125">
        <f>VLOOKUP($B$3,'Data for Bill Impacts'!$A$3:$Y$15,21,0)</f>
        <v>1.9E-3</v>
      </c>
      <c r="G22" s="21">
        <f>E22*F22</f>
        <v>0.60476999999999992</v>
      </c>
      <c r="H22" s="21">
        <f t="shared" si="2"/>
        <v>0</v>
      </c>
      <c r="I22" s="22">
        <f>IF(ISERROR(H22/D22),0,(H22/D22))</f>
        <v>0</v>
      </c>
      <c r="J22" s="124">
        <f t="shared" si="0"/>
        <v>1.4582679073042663E-3</v>
      </c>
    </row>
    <row r="23" spans="1:10" x14ac:dyDescent="0.2">
      <c r="A23" s="109" t="s">
        <v>95</v>
      </c>
      <c r="B23" s="73"/>
      <c r="C23" s="34"/>
      <c r="D23" s="34">
        <f>SUM(D16:D22)</f>
        <v>309.90077000000002</v>
      </c>
      <c r="E23" s="72"/>
      <c r="F23" s="34"/>
      <c r="G23" s="34">
        <f>SUM(G16:G22)</f>
        <v>317.76976999999999</v>
      </c>
      <c r="H23" s="34">
        <f t="shared" si="2"/>
        <v>7.8689999999999714</v>
      </c>
      <c r="I23" s="35">
        <f t="shared" si="3"/>
        <v>2.5391998864668749E-2</v>
      </c>
      <c r="J23" s="110">
        <f t="shared" si="0"/>
        <v>0.76623089356690655</v>
      </c>
    </row>
    <row r="24" spans="1:10" x14ac:dyDescent="0.2">
      <c r="A24" s="106" t="s">
        <v>40</v>
      </c>
      <c r="B24" s="72">
        <f>B5</f>
        <v>10</v>
      </c>
      <c r="C24" s="125">
        <f>VLOOKUP($B$3,'Data for Bill Impacts'!$A$3:$Y$15,15,0)</f>
        <v>0.63949999999999996</v>
      </c>
      <c r="D24" s="21">
        <f>B24*C24</f>
        <v>6.3949999999999996</v>
      </c>
      <c r="E24" s="72">
        <f t="shared" si="4"/>
        <v>10</v>
      </c>
      <c r="F24" s="77">
        <f>VLOOKUP($B$3,'Data for Bill Impacts'!$A$3:$Y$15,24,0)</f>
        <v>0.63949999999999996</v>
      </c>
      <c r="G24" s="21">
        <f>E24*F24</f>
        <v>6.3949999999999996</v>
      </c>
      <c r="H24" s="21">
        <f t="shared" si="2"/>
        <v>0</v>
      </c>
      <c r="I24" s="22">
        <f t="shared" si="3"/>
        <v>0</v>
      </c>
      <c r="J24" s="124">
        <f t="shared" si="0"/>
        <v>1.5420115526912352E-2</v>
      </c>
    </row>
    <row r="25" spans="1:10" s="1" customFormat="1" x14ac:dyDescent="0.2">
      <c r="A25" s="106" t="s">
        <v>41</v>
      </c>
      <c r="B25" s="72">
        <f>B5</f>
        <v>10</v>
      </c>
      <c r="C25" s="125">
        <f>VLOOKUP($B$3,'Data for Bill Impacts'!$A$3:$Y$15,16,0)</f>
        <v>0.55430000000000001</v>
      </c>
      <c r="D25" s="21">
        <f>B25*C25</f>
        <v>5.5430000000000001</v>
      </c>
      <c r="E25" s="72">
        <f t="shared" si="4"/>
        <v>10</v>
      </c>
      <c r="F25" s="77">
        <f>VLOOKUP($B$3,'Data for Bill Impacts'!$A$3:$Y$15,25,0)</f>
        <v>0.55430000000000001</v>
      </c>
      <c r="G25" s="21">
        <f>E25*F25</f>
        <v>5.5430000000000001</v>
      </c>
      <c r="H25" s="21">
        <f t="shared" si="2"/>
        <v>0</v>
      </c>
      <c r="I25" s="22">
        <f t="shared" si="3"/>
        <v>0</v>
      </c>
      <c r="J25" s="124">
        <f t="shared" si="0"/>
        <v>1.3365707641231458E-2</v>
      </c>
    </row>
    <row r="26" spans="1:10" x14ac:dyDescent="0.2">
      <c r="A26" s="109" t="s">
        <v>76</v>
      </c>
      <c r="B26" s="73"/>
      <c r="C26" s="34"/>
      <c r="D26" s="34">
        <f>SUM(D24:D25)</f>
        <v>11.937999999999999</v>
      </c>
      <c r="E26" s="72"/>
      <c r="F26" s="34"/>
      <c r="G26" s="34">
        <f>SUM(G24:G25)</f>
        <v>11.937999999999999</v>
      </c>
      <c r="H26" s="34">
        <f t="shared" si="2"/>
        <v>0</v>
      </c>
      <c r="I26" s="35">
        <f t="shared" si="3"/>
        <v>0</v>
      </c>
      <c r="J26" s="110">
        <f t="shared" si="0"/>
        <v>2.878582316814381E-2</v>
      </c>
    </row>
    <row r="27" spans="1:10" s="1" customFormat="1" x14ac:dyDescent="0.2">
      <c r="A27" s="109" t="s">
        <v>80</v>
      </c>
      <c r="B27" s="73"/>
      <c r="C27" s="34"/>
      <c r="D27" s="34">
        <f>D23+D26</f>
        <v>321.83877000000001</v>
      </c>
      <c r="E27" s="72"/>
      <c r="F27" s="34"/>
      <c r="G27" s="34">
        <f>G23+G26</f>
        <v>329.70776999999998</v>
      </c>
      <c r="H27" s="34">
        <f t="shared" si="2"/>
        <v>7.8689999999999714</v>
      </c>
      <c r="I27" s="35">
        <f t="shared" si="3"/>
        <v>2.4450130728501017E-2</v>
      </c>
      <c r="J27" s="110">
        <f t="shared" si="0"/>
        <v>0.79501671673505037</v>
      </c>
    </row>
    <row r="28" spans="1:10" x14ac:dyDescent="0.2">
      <c r="A28" s="106" t="s">
        <v>42</v>
      </c>
      <c r="B28" s="72">
        <f>B9</f>
        <v>318.29999999999995</v>
      </c>
      <c r="C28" s="33">
        <v>3.5999999999999999E-3</v>
      </c>
      <c r="D28" s="21">
        <f>B28*C28</f>
        <v>1.1458799999999998</v>
      </c>
      <c r="E28" s="72">
        <f t="shared" si="4"/>
        <v>318.29999999999995</v>
      </c>
      <c r="F28" s="33">
        <v>3.5999999999999999E-3</v>
      </c>
      <c r="G28" s="21">
        <f>E28*F28</f>
        <v>1.1458799999999998</v>
      </c>
      <c r="H28" s="21">
        <f t="shared" si="2"/>
        <v>0</v>
      </c>
      <c r="I28" s="22">
        <f t="shared" si="3"/>
        <v>0</v>
      </c>
      <c r="J28" s="124">
        <f t="shared" si="0"/>
        <v>2.7630339296291361E-3</v>
      </c>
    </row>
    <row r="29" spans="1:10" x14ac:dyDescent="0.2">
      <c r="A29" s="106" t="s">
        <v>43</v>
      </c>
      <c r="B29" s="72">
        <f>B9</f>
        <v>318.29999999999995</v>
      </c>
      <c r="C29" s="33">
        <v>2.0999999999999999E-3</v>
      </c>
      <c r="D29" s="21">
        <f>B29*C29</f>
        <v>0.66842999999999986</v>
      </c>
      <c r="E29" s="72">
        <f t="shared" si="4"/>
        <v>318.29999999999995</v>
      </c>
      <c r="F29" s="33">
        <v>2.0999999999999999E-3</v>
      </c>
      <c r="G29" s="21">
        <f>E29*F29</f>
        <v>0.66842999999999986</v>
      </c>
      <c r="H29" s="21">
        <f>G29-D29</f>
        <v>0</v>
      </c>
      <c r="I29" s="22">
        <f t="shared" si="3"/>
        <v>0</v>
      </c>
      <c r="J29" s="124">
        <f t="shared" si="0"/>
        <v>1.6117697922836626E-3</v>
      </c>
    </row>
    <row r="30" spans="1:10" x14ac:dyDescent="0.2">
      <c r="A30" s="106" t="s">
        <v>99</v>
      </c>
      <c r="B30" s="72">
        <f>B9</f>
        <v>318.29999999999995</v>
      </c>
      <c r="C30" s="33">
        <v>1.1000000000000001E-3</v>
      </c>
      <c r="D30" s="21">
        <f>B30*C30</f>
        <v>0.35013</v>
      </c>
      <c r="E30" s="72">
        <f t="shared" si="4"/>
        <v>318.29999999999995</v>
      </c>
      <c r="F30" s="33">
        <v>1.1000000000000001E-3</v>
      </c>
      <c r="G30" s="21">
        <f>E30*F30</f>
        <v>0.35013</v>
      </c>
      <c r="H30" s="21">
        <f>G30-D30</f>
        <v>0</v>
      </c>
      <c r="I30" s="22">
        <f t="shared" ref="I30" si="7">IF(ISERROR(H30/D30),0,(H30/D30))</f>
        <v>0</v>
      </c>
      <c r="J30" s="124">
        <f t="shared" ref="J30" si="8">G30/$G$38</f>
        <v>8.4426036738668054E-4</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6.0281921528195284E-4</v>
      </c>
    </row>
    <row r="32" spans="1:10" x14ac:dyDescent="0.2">
      <c r="A32" s="109" t="s">
        <v>45</v>
      </c>
      <c r="B32" s="73"/>
      <c r="C32" s="34"/>
      <c r="D32" s="34">
        <f>SUM(D28:D31)</f>
        <v>2.4144399999999995</v>
      </c>
      <c r="E32" s="72"/>
      <c r="F32" s="34"/>
      <c r="G32" s="34">
        <f>SUM(G28:G31)</f>
        <v>2.4144399999999995</v>
      </c>
      <c r="H32" s="34">
        <f t="shared" si="2"/>
        <v>0</v>
      </c>
      <c r="I32" s="35">
        <f t="shared" si="3"/>
        <v>0</v>
      </c>
      <c r="J32" s="110">
        <f t="shared" si="9"/>
        <v>5.8218833045814312E-3</v>
      </c>
    </row>
    <row r="33" spans="1:10" ht="13.5" thickBot="1" x14ac:dyDescent="0.25">
      <c r="A33" s="111" t="s">
        <v>46</v>
      </c>
      <c r="B33" s="112">
        <f>B4</f>
        <v>300</v>
      </c>
      <c r="C33" s="113">
        <v>7.0000000000000001E-3</v>
      </c>
      <c r="D33" s="114">
        <f>B33*C33</f>
        <v>2.1</v>
      </c>
      <c r="E33" s="115">
        <f t="shared" si="4"/>
        <v>300</v>
      </c>
      <c r="F33" s="113">
        <f>C33</f>
        <v>7.0000000000000001E-3</v>
      </c>
      <c r="G33" s="114">
        <f>E33*F33</f>
        <v>2.1</v>
      </c>
      <c r="H33" s="114">
        <f t="shared" si="2"/>
        <v>0</v>
      </c>
      <c r="I33" s="116">
        <f t="shared" si="3"/>
        <v>0</v>
      </c>
      <c r="J33" s="117">
        <f t="shared" si="9"/>
        <v>5.0636814083684038E-3</v>
      </c>
    </row>
    <row r="34" spans="1:10" x14ac:dyDescent="0.2">
      <c r="A34" s="36" t="s">
        <v>116</v>
      </c>
      <c r="B34" s="37"/>
      <c r="C34" s="38"/>
      <c r="D34" s="38">
        <f>SUM(D15,D23,D26,D32,D33)</f>
        <v>359.13811000000004</v>
      </c>
      <c r="E34" s="37"/>
      <c r="F34" s="38"/>
      <c r="G34" s="38">
        <f>SUM(G15,G23,G26,G32,G33)</f>
        <v>367.00711000000001</v>
      </c>
      <c r="H34" s="38">
        <f t="shared" si="2"/>
        <v>7.8689999999999714</v>
      </c>
      <c r="I34" s="39">
        <f>IF(ISERROR(H34/D34),0,(H34/D34))</f>
        <v>2.1910790809697055E-2</v>
      </c>
      <c r="J34" s="40">
        <f t="shared" si="9"/>
        <v>0.88495575221238942</v>
      </c>
    </row>
    <row r="35" spans="1:10" x14ac:dyDescent="0.2">
      <c r="A35" s="45" t="s">
        <v>108</v>
      </c>
      <c r="B35" s="42"/>
      <c r="C35" s="25">
        <v>0.13</v>
      </c>
      <c r="D35" s="25">
        <f>D34*C35</f>
        <v>46.687954300000008</v>
      </c>
      <c r="E35" s="25"/>
      <c r="F35" s="25">
        <f>C35</f>
        <v>0.13</v>
      </c>
      <c r="G35" s="25">
        <f>G34*F35</f>
        <v>47.710924300000002</v>
      </c>
      <c r="H35" s="25">
        <f t="shared" si="2"/>
        <v>1.0229699999999937</v>
      </c>
      <c r="I35" s="43">
        <f t="shared" ref="I35:I38" si="10">IF(ISERROR(H35/D35),0,(H35/D35))</f>
        <v>2.1910790809697E-2</v>
      </c>
      <c r="J35" s="44">
        <f t="shared" si="9"/>
        <v>0.11504424778761062</v>
      </c>
    </row>
    <row r="36" spans="1:10" x14ac:dyDescent="0.2">
      <c r="A36" s="45" t="s">
        <v>109</v>
      </c>
      <c r="B36" s="23"/>
      <c r="C36" s="24"/>
      <c r="D36" s="24">
        <f>SUM(D34:D35)</f>
        <v>405.82606430000004</v>
      </c>
      <c r="E36" s="24"/>
      <c r="F36" s="24"/>
      <c r="G36" s="24">
        <f>SUM(G34:G35)</f>
        <v>414.7180343</v>
      </c>
      <c r="H36" s="24">
        <f t="shared" si="2"/>
        <v>8.891969999999958</v>
      </c>
      <c r="I36" s="26">
        <f t="shared" si="10"/>
        <v>2.1910790809697031E-2</v>
      </c>
      <c r="J36" s="46">
        <f t="shared" si="9"/>
        <v>1</v>
      </c>
    </row>
    <row r="37" spans="1:10" x14ac:dyDescent="0.2">
      <c r="A37" s="45" t="s">
        <v>110</v>
      </c>
      <c r="B37" s="42"/>
      <c r="C37" s="25">
        <v>0</v>
      </c>
      <c r="D37" s="25">
        <f>D34*C37</f>
        <v>0</v>
      </c>
      <c r="E37" s="25"/>
      <c r="F37" s="25">
        <v>0</v>
      </c>
      <c r="G37" s="25">
        <f>G34*F37</f>
        <v>0</v>
      </c>
      <c r="H37" s="25">
        <f t="shared" si="2"/>
        <v>0</v>
      </c>
      <c r="I37" s="43">
        <f t="shared" si="10"/>
        <v>0</v>
      </c>
      <c r="J37" s="44">
        <f t="shared" si="9"/>
        <v>0</v>
      </c>
    </row>
    <row r="38" spans="1:10" ht="13.5" thickBot="1" x14ac:dyDescent="0.25">
      <c r="A38" s="45" t="s">
        <v>111</v>
      </c>
      <c r="B38" s="48"/>
      <c r="C38" s="49"/>
      <c r="D38" s="49">
        <f>SUM(D36:D37)</f>
        <v>405.82606430000004</v>
      </c>
      <c r="E38" s="49"/>
      <c r="F38" s="49"/>
      <c r="G38" s="49">
        <f>SUM(G36:G37)</f>
        <v>414.7180343</v>
      </c>
      <c r="H38" s="49">
        <f t="shared" si="2"/>
        <v>8.891969999999958</v>
      </c>
      <c r="I38" s="50">
        <f t="shared" si="10"/>
        <v>2.1910790809697031E-2</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1" tint="0.499984740745262"/>
    <pageSetUpPr fitToPage="1"/>
  </sheetPr>
  <dimension ref="A1:J54"/>
  <sheetViews>
    <sheetView tabSelected="1" topLeftCell="A10"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47</v>
      </c>
    </row>
    <row r="4" spans="1:10" x14ac:dyDescent="0.2">
      <c r="A4" s="14" t="s">
        <v>62</v>
      </c>
      <c r="B4" s="78">
        <f>'Data for Bill Impacts_HONI Avg '!C14</f>
        <v>1328</v>
      </c>
    </row>
    <row r="5" spans="1:10" x14ac:dyDescent="0.2">
      <c r="A5" s="14" t="s">
        <v>16</v>
      </c>
      <c r="B5" s="78">
        <v>12</v>
      </c>
    </row>
    <row r="6" spans="1:10" x14ac:dyDescent="0.2">
      <c r="A6" s="14" t="s">
        <v>20</v>
      </c>
      <c r="B6" s="79">
        <f>VLOOKUP($B$3,'Data for Bill Impacts'!$A$3:$Y$15,2,0)</f>
        <v>1.0609999999999999</v>
      </c>
    </row>
    <row r="7" spans="1:10" x14ac:dyDescent="0.2">
      <c r="A7" s="80" t="s">
        <v>48</v>
      </c>
      <c r="B7" s="81">
        <f>B4/(B5*730)</f>
        <v>0.15159817351598173</v>
      </c>
    </row>
    <row r="8" spans="1:10" x14ac:dyDescent="0.2">
      <c r="A8" s="14" t="s">
        <v>15</v>
      </c>
      <c r="B8" s="78">
        <f>VLOOKUP($B$3,'Data for Bill Impacts'!$A$3:$Y$15,4,0)</f>
        <v>0</v>
      </c>
    </row>
    <row r="9" spans="1:10" x14ac:dyDescent="0.2">
      <c r="A9" s="14" t="s">
        <v>82</v>
      </c>
      <c r="B9" s="78">
        <f>B4*B6</f>
        <v>1409.0079999999998</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1409.0079999999998</v>
      </c>
      <c r="C13" s="102">
        <v>0.10299999999999999</v>
      </c>
      <c r="D13" s="103">
        <f>B13*C13</f>
        <v>145.12782399999998</v>
      </c>
      <c r="E13" s="101">
        <f>B13</f>
        <v>1409.0079999999998</v>
      </c>
      <c r="F13" s="102">
        <f>C13</f>
        <v>0.10299999999999999</v>
      </c>
      <c r="G13" s="103">
        <f>E13*F13</f>
        <v>145.12782399999998</v>
      </c>
      <c r="H13" s="103">
        <f>G13-D13</f>
        <v>0</v>
      </c>
      <c r="I13" s="104">
        <f>IF(ISERROR(H13/D13),0,(H13/D13))</f>
        <v>0</v>
      </c>
      <c r="J13" s="123">
        <f t="shared" ref="J13:J38" si="0">G13/$G$38</f>
        <v>0.24592100575390008</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145.12782399999998</v>
      </c>
      <c r="E15" s="75"/>
      <c r="F15" s="24"/>
      <c r="G15" s="24">
        <f>SUM(G13:G14)</f>
        <v>145.12782399999998</v>
      </c>
      <c r="H15" s="24">
        <f t="shared" si="2"/>
        <v>0</v>
      </c>
      <c r="I15" s="26">
        <f t="shared" si="3"/>
        <v>0</v>
      </c>
      <c r="J15" s="46">
        <f t="shared" si="0"/>
        <v>0.24592100575390008</v>
      </c>
    </row>
    <row r="16" spans="1:10" s="1" customFormat="1" x14ac:dyDescent="0.2">
      <c r="A16" s="106" t="s">
        <v>38</v>
      </c>
      <c r="B16" s="72">
        <v>1</v>
      </c>
      <c r="C16" s="77">
        <f>VLOOKUP($B$3,'Data for Bill Impacts'!$A$3:$Y$15,7,0)</f>
        <v>198.03</v>
      </c>
      <c r="D16" s="21">
        <f>B16*C16</f>
        <v>198.03</v>
      </c>
      <c r="E16" s="72">
        <f t="shared" ref="E16:E33" si="4">B16</f>
        <v>1</v>
      </c>
      <c r="F16" s="21">
        <f>VLOOKUP($B$3,'Data for Bill Impacts'!$A$3:$Y$15,17,0)</f>
        <v>198.03</v>
      </c>
      <c r="G16" s="21">
        <f>E16*F16</f>
        <v>198.03</v>
      </c>
      <c r="H16" s="21">
        <f t="shared" si="2"/>
        <v>0</v>
      </c>
      <c r="I16" s="22">
        <f t="shared" si="3"/>
        <v>0</v>
      </c>
      <c r="J16" s="124">
        <f t="shared" si="0"/>
        <v>0.33556443848730788</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96</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1.6945131469338377E-5</v>
      </c>
    </row>
    <row r="20" spans="1:10" x14ac:dyDescent="0.2">
      <c r="A20" s="106" t="s">
        <v>39</v>
      </c>
      <c r="B20" s="72">
        <f>IF($B$10="kWh",$B$4,$B$5)</f>
        <v>12</v>
      </c>
      <c r="C20" s="77">
        <f>VLOOKUP($B$3,'Data for Bill Impacts'!$A$3:$Y$15,10,0)</f>
        <v>11.1084</v>
      </c>
      <c r="D20" s="21">
        <f>B20*C20</f>
        <v>133.30079999999998</v>
      </c>
      <c r="E20" s="72">
        <f t="shared" si="4"/>
        <v>12</v>
      </c>
      <c r="F20" s="77">
        <f>VLOOKUP($B$3,'Data for Bill Impacts'!$A$3:$Y$15,19,0)</f>
        <v>11.895300000000001</v>
      </c>
      <c r="G20" s="21">
        <f>E20*F20</f>
        <v>142.74360000000001</v>
      </c>
      <c r="H20" s="21">
        <f t="shared" si="2"/>
        <v>9.4428000000000338</v>
      </c>
      <c r="I20" s="22">
        <f t="shared" si="3"/>
        <v>7.0838284541428376E-2</v>
      </c>
      <c r="J20" s="124">
        <f t="shared" si="0"/>
        <v>0.24188090684066499</v>
      </c>
    </row>
    <row r="21" spans="1:10" s="1" customFormat="1" x14ac:dyDescent="0.2">
      <c r="A21" s="106" t="s">
        <v>129</v>
      </c>
      <c r="B21" s="72">
        <f>IF($B$10="kWh",$B$4,$B$5)</f>
        <v>12</v>
      </c>
      <c r="C21" s="77">
        <f>VLOOKUP($B$3,'Data for Bill Impacts'!$A$3:$Y$15,14,0)</f>
        <v>1.72E-2</v>
      </c>
      <c r="D21" s="21">
        <f>B21*C21</f>
        <v>0.2064</v>
      </c>
      <c r="E21" s="72">
        <f>B21</f>
        <v>12</v>
      </c>
      <c r="F21" s="77">
        <f>VLOOKUP($B$3,'Data for Bill Impacts'!$A$3:$Y$15,23,0)</f>
        <v>1.72E-2</v>
      </c>
      <c r="G21" s="21">
        <f>E21*F21</f>
        <v>0.2064</v>
      </c>
      <c r="H21" s="21">
        <f>G21-D21</f>
        <v>0</v>
      </c>
      <c r="I21" s="22">
        <f>IF(ISERROR(H21/D21),0,(H21/D21))</f>
        <v>0</v>
      </c>
      <c r="J21" s="124">
        <f t="shared" si="0"/>
        <v>3.4974751352714412E-4</v>
      </c>
    </row>
    <row r="22" spans="1:10" s="1" customFormat="1" x14ac:dyDescent="0.2">
      <c r="A22" s="106" t="s">
        <v>117</v>
      </c>
      <c r="B22" s="72">
        <f>B9</f>
        <v>1409.0079999999998</v>
      </c>
      <c r="C22" s="125">
        <f>VLOOKUP($B$3,'Data for Bill Impacts'!$A$3:$Y$15,20,0)</f>
        <v>1.9E-3</v>
      </c>
      <c r="D22" s="21">
        <f>B22*C22</f>
        <v>2.6771151999999998</v>
      </c>
      <c r="E22" s="72">
        <f t="shared" si="4"/>
        <v>1409.0079999999998</v>
      </c>
      <c r="F22" s="125">
        <f>VLOOKUP($B$3,'Data for Bill Impacts'!$A$3:$Y$15,21,0)</f>
        <v>1.9E-3</v>
      </c>
      <c r="G22" s="21">
        <f>E22*F22</f>
        <v>2.6771151999999998</v>
      </c>
      <c r="H22" s="21">
        <f t="shared" si="2"/>
        <v>0</v>
      </c>
      <c r="I22" s="22">
        <f>IF(ISERROR(H22/D22),0,(H22/D22))</f>
        <v>0</v>
      </c>
      <c r="J22" s="124">
        <f t="shared" si="0"/>
        <v>4.53640690225641E-3</v>
      </c>
    </row>
    <row r="23" spans="1:10" x14ac:dyDescent="0.2">
      <c r="A23" s="109" t="s">
        <v>79</v>
      </c>
      <c r="B23" s="73"/>
      <c r="C23" s="34"/>
      <c r="D23" s="34">
        <f>SUM(D16:D22)</f>
        <v>334.22431519999992</v>
      </c>
      <c r="E23" s="72"/>
      <c r="F23" s="34"/>
      <c r="G23" s="34">
        <f>SUM(G16:G22)</f>
        <v>343.66711519999996</v>
      </c>
      <c r="H23" s="34">
        <f t="shared" si="2"/>
        <v>9.4428000000000338</v>
      </c>
      <c r="I23" s="35">
        <f t="shared" si="3"/>
        <v>2.8252881584481547E-2</v>
      </c>
      <c r="J23" s="110">
        <f t="shared" si="0"/>
        <v>0.58234844487522563</v>
      </c>
    </row>
    <row r="24" spans="1:10" x14ac:dyDescent="0.2">
      <c r="A24" s="106" t="s">
        <v>40</v>
      </c>
      <c r="B24" s="72">
        <f>B5</f>
        <v>12</v>
      </c>
      <c r="C24" s="125">
        <f>VLOOKUP($B$3,'Data for Bill Impacts'!$A$3:$Y$15,15,0)</f>
        <v>0.63949999999999996</v>
      </c>
      <c r="D24" s="21">
        <f>B24*C24</f>
        <v>7.6739999999999995</v>
      </c>
      <c r="E24" s="72">
        <f t="shared" si="4"/>
        <v>12</v>
      </c>
      <c r="F24" s="77">
        <f>VLOOKUP($B$3,'Data for Bill Impacts'!$A$3:$Y$15,24,0)</f>
        <v>0.63949999999999996</v>
      </c>
      <c r="G24" s="21">
        <f>E24*F24</f>
        <v>7.6739999999999995</v>
      </c>
      <c r="H24" s="21">
        <f t="shared" si="2"/>
        <v>0</v>
      </c>
      <c r="I24" s="22">
        <f t="shared" si="3"/>
        <v>0</v>
      </c>
      <c r="J24" s="124">
        <f t="shared" si="0"/>
        <v>1.300369388957027E-2</v>
      </c>
    </row>
    <row r="25" spans="1:10" s="1" customFormat="1" x14ac:dyDescent="0.2">
      <c r="A25" s="106" t="s">
        <v>41</v>
      </c>
      <c r="B25" s="72">
        <f>B5</f>
        <v>12</v>
      </c>
      <c r="C25" s="125">
        <f>VLOOKUP($B$3,'Data for Bill Impacts'!$A$3:$Y$15,16,0)</f>
        <v>0.55430000000000001</v>
      </c>
      <c r="D25" s="21">
        <f>B25*C25</f>
        <v>6.6516000000000002</v>
      </c>
      <c r="E25" s="72">
        <f t="shared" si="4"/>
        <v>12</v>
      </c>
      <c r="F25" s="77">
        <f>VLOOKUP($B$3,'Data for Bill Impacts'!$A$3:$Y$15,25,0)</f>
        <v>0.55430000000000001</v>
      </c>
      <c r="G25" s="21">
        <f>E25*F25</f>
        <v>6.6516000000000002</v>
      </c>
      <c r="H25" s="21">
        <f t="shared" si="2"/>
        <v>0</v>
      </c>
      <c r="I25" s="22">
        <f t="shared" si="3"/>
        <v>0</v>
      </c>
      <c r="J25" s="124">
        <f t="shared" si="0"/>
        <v>1.1271223648145114E-2</v>
      </c>
    </row>
    <row r="26" spans="1:10" x14ac:dyDescent="0.2">
      <c r="A26" s="109" t="s">
        <v>76</v>
      </c>
      <c r="B26" s="73"/>
      <c r="C26" s="34"/>
      <c r="D26" s="34">
        <f>SUM(D24:D25)</f>
        <v>14.3256</v>
      </c>
      <c r="E26" s="72"/>
      <c r="F26" s="34"/>
      <c r="G26" s="34">
        <f>SUM(G24:G25)</f>
        <v>14.3256</v>
      </c>
      <c r="H26" s="34">
        <f t="shared" si="2"/>
        <v>0</v>
      </c>
      <c r="I26" s="35">
        <f t="shared" si="3"/>
        <v>0</v>
      </c>
      <c r="J26" s="110">
        <f t="shared" si="0"/>
        <v>2.4274917537715383E-2</v>
      </c>
    </row>
    <row r="27" spans="1:10" s="1" customFormat="1" x14ac:dyDescent="0.2">
      <c r="A27" s="109" t="s">
        <v>80</v>
      </c>
      <c r="B27" s="73"/>
      <c r="C27" s="34"/>
      <c r="D27" s="34">
        <f>D23+D26</f>
        <v>348.54991519999993</v>
      </c>
      <c r="E27" s="72"/>
      <c r="F27" s="34"/>
      <c r="G27" s="34">
        <f>G23+G26</f>
        <v>357.99271519999996</v>
      </c>
      <c r="H27" s="34">
        <f t="shared" si="2"/>
        <v>9.4428000000000338</v>
      </c>
      <c r="I27" s="35">
        <f t="shared" si="3"/>
        <v>2.7091672062469735E-2</v>
      </c>
      <c r="J27" s="110">
        <f t="shared" si="0"/>
        <v>0.60662336241294101</v>
      </c>
    </row>
    <row r="28" spans="1:10" x14ac:dyDescent="0.2">
      <c r="A28" s="106" t="s">
        <v>42</v>
      </c>
      <c r="B28" s="72">
        <f>B9</f>
        <v>1409.0079999999998</v>
      </c>
      <c r="C28" s="33">
        <v>3.5999999999999999E-3</v>
      </c>
      <c r="D28" s="21">
        <f>B28*C28</f>
        <v>5.0724287999999991</v>
      </c>
      <c r="E28" s="72">
        <f t="shared" si="4"/>
        <v>1409.0079999999998</v>
      </c>
      <c r="F28" s="33">
        <v>3.5999999999999999E-3</v>
      </c>
      <c r="G28" s="21">
        <f>E28*F28</f>
        <v>5.0724287999999991</v>
      </c>
      <c r="H28" s="21">
        <f t="shared" si="2"/>
        <v>0</v>
      </c>
      <c r="I28" s="22">
        <f t="shared" si="3"/>
        <v>0</v>
      </c>
      <c r="J28" s="124">
        <f t="shared" si="0"/>
        <v>8.595297288485829E-3</v>
      </c>
    </row>
    <row r="29" spans="1:10" x14ac:dyDescent="0.2">
      <c r="A29" s="106" t="s">
        <v>43</v>
      </c>
      <c r="B29" s="72">
        <f>B9</f>
        <v>1409.0079999999998</v>
      </c>
      <c r="C29" s="33">
        <v>2.0999999999999999E-3</v>
      </c>
      <c r="D29" s="21">
        <f>B29*C29</f>
        <v>2.9589167999999995</v>
      </c>
      <c r="E29" s="72">
        <f t="shared" si="4"/>
        <v>1409.0079999999998</v>
      </c>
      <c r="F29" s="33">
        <v>2.0999999999999999E-3</v>
      </c>
      <c r="G29" s="21">
        <f>E29*F29</f>
        <v>2.9589167999999995</v>
      </c>
      <c r="H29" s="21">
        <f>G29-D29</f>
        <v>0</v>
      </c>
      <c r="I29" s="22">
        <f t="shared" si="3"/>
        <v>0</v>
      </c>
      <c r="J29" s="124">
        <f t="shared" si="0"/>
        <v>5.0139234182834001E-3</v>
      </c>
    </row>
    <row r="30" spans="1:10" x14ac:dyDescent="0.2">
      <c r="A30" s="106" t="s">
        <v>99</v>
      </c>
      <c r="B30" s="72">
        <f>B9</f>
        <v>1409.0079999999998</v>
      </c>
      <c r="C30" s="33">
        <v>1.1000000000000001E-3</v>
      </c>
      <c r="D30" s="21">
        <f>B30*C30</f>
        <v>1.5499087999999999</v>
      </c>
      <c r="E30" s="72">
        <f t="shared" si="4"/>
        <v>1409.0079999999998</v>
      </c>
      <c r="F30" s="33">
        <v>1.1000000000000001E-3</v>
      </c>
      <c r="G30" s="21">
        <f>E30*F30</f>
        <v>1.5499087999999999</v>
      </c>
      <c r="H30" s="21">
        <f>G30-D30</f>
        <v>0</v>
      </c>
      <c r="I30" s="22">
        <f t="shared" si="3"/>
        <v>0</v>
      </c>
      <c r="J30" s="124">
        <f t="shared" si="0"/>
        <v>2.6263408381484478E-3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4.2362828673345941E-4</v>
      </c>
    </row>
    <row r="32" spans="1:10" x14ac:dyDescent="0.2">
      <c r="A32" s="109" t="s">
        <v>45</v>
      </c>
      <c r="B32" s="73"/>
      <c r="C32" s="34"/>
      <c r="D32" s="34">
        <f>SUM(D28:D31)</f>
        <v>9.8312543999999988</v>
      </c>
      <c r="E32" s="72"/>
      <c r="F32" s="34"/>
      <c r="G32" s="34">
        <f>SUM(G28:G31)</f>
        <v>9.8312543999999988</v>
      </c>
      <c r="H32" s="34">
        <f t="shared" si="2"/>
        <v>0</v>
      </c>
      <c r="I32" s="35">
        <f t="shared" si="3"/>
        <v>0</v>
      </c>
      <c r="J32" s="110">
        <f t="shared" si="0"/>
        <v>1.6659189831651135E-2</v>
      </c>
    </row>
    <row r="33" spans="1:10" ht="13.5" thickBot="1" x14ac:dyDescent="0.25">
      <c r="A33" s="111" t="s">
        <v>46</v>
      </c>
      <c r="B33" s="112">
        <f>B4</f>
        <v>1328</v>
      </c>
      <c r="C33" s="113">
        <v>7.0000000000000001E-3</v>
      </c>
      <c r="D33" s="114">
        <f>B33*C33</f>
        <v>9.2959999999999994</v>
      </c>
      <c r="E33" s="115">
        <f t="shared" si="4"/>
        <v>1328</v>
      </c>
      <c r="F33" s="113">
        <f>C33</f>
        <v>7.0000000000000001E-3</v>
      </c>
      <c r="G33" s="114">
        <f>E33*F33</f>
        <v>9.2959999999999994</v>
      </c>
      <c r="H33" s="114">
        <f t="shared" si="2"/>
        <v>0</v>
      </c>
      <c r="I33" s="116">
        <f t="shared" si="3"/>
        <v>0</v>
      </c>
      <c r="J33" s="117">
        <f t="shared" si="0"/>
        <v>1.5752194213896953E-2</v>
      </c>
    </row>
    <row r="34" spans="1:10" x14ac:dyDescent="0.2">
      <c r="A34" s="36" t="s">
        <v>116</v>
      </c>
      <c r="B34" s="37"/>
      <c r="C34" s="38"/>
      <c r="D34" s="38">
        <f>SUM(D15,D23,D26,D32,D33)</f>
        <v>512.80499359999988</v>
      </c>
      <c r="E34" s="37"/>
      <c r="F34" s="38"/>
      <c r="G34" s="38">
        <f>SUM(G15,G23,G26,G32,G33)</f>
        <v>522.24779360000002</v>
      </c>
      <c r="H34" s="38">
        <f t="shared" si="2"/>
        <v>9.4428000000001475</v>
      </c>
      <c r="I34" s="39">
        <f>IF(ISERROR(H34/D34),0,(H34/D34))</f>
        <v>1.8414017253829157E-2</v>
      </c>
      <c r="J34" s="40">
        <f t="shared" si="0"/>
        <v>0.88495575221238931</v>
      </c>
    </row>
    <row r="35" spans="1:10" x14ac:dyDescent="0.2">
      <c r="A35" s="45" t="s">
        <v>108</v>
      </c>
      <c r="B35" s="42"/>
      <c r="C35" s="25">
        <v>0.13</v>
      </c>
      <c r="D35" s="25">
        <f>D34*C35</f>
        <v>66.664649167999983</v>
      </c>
      <c r="E35" s="25"/>
      <c r="F35" s="25">
        <f>C35</f>
        <v>0.13</v>
      </c>
      <c r="G35" s="25">
        <f>G34*F35</f>
        <v>67.892213168000012</v>
      </c>
      <c r="H35" s="25">
        <f t="shared" si="2"/>
        <v>1.2275640000000294</v>
      </c>
      <c r="I35" s="43">
        <f t="shared" ref="I35:I38" si="7">IF(ISERROR(H35/D35),0,(H35/D35))</f>
        <v>1.841401725382931E-2</v>
      </c>
      <c r="J35" s="44">
        <f t="shared" si="0"/>
        <v>0.11504424778761063</v>
      </c>
    </row>
    <row r="36" spans="1:10" x14ac:dyDescent="0.2">
      <c r="A36" s="45" t="s">
        <v>109</v>
      </c>
      <c r="B36" s="23"/>
      <c r="C36" s="24"/>
      <c r="D36" s="24">
        <f>SUM(D34:D35)</f>
        <v>579.46964276799986</v>
      </c>
      <c r="E36" s="24"/>
      <c r="F36" s="24"/>
      <c r="G36" s="24">
        <f>SUM(G34:G35)</f>
        <v>590.14000676800003</v>
      </c>
      <c r="H36" s="24">
        <f t="shared" si="2"/>
        <v>10.670364000000177</v>
      </c>
      <c r="I36" s="26">
        <f t="shared" si="7"/>
        <v>1.8414017253829174E-2</v>
      </c>
      <c r="J36" s="46">
        <f t="shared" si="0"/>
        <v>1</v>
      </c>
    </row>
    <row r="37" spans="1:10" x14ac:dyDescent="0.2">
      <c r="A37" s="45" t="s">
        <v>110</v>
      </c>
      <c r="B37" s="42"/>
      <c r="C37" s="25">
        <v>0</v>
      </c>
      <c r="D37" s="25">
        <f>D34*C37</f>
        <v>0</v>
      </c>
      <c r="E37" s="25"/>
      <c r="F37" s="25">
        <f>C37</f>
        <v>0</v>
      </c>
      <c r="G37" s="25">
        <f>G34*F37</f>
        <v>0</v>
      </c>
      <c r="H37" s="25">
        <f t="shared" si="2"/>
        <v>0</v>
      </c>
      <c r="I37" s="43">
        <f t="shared" si="7"/>
        <v>0</v>
      </c>
      <c r="J37" s="44">
        <f t="shared" si="0"/>
        <v>0</v>
      </c>
    </row>
    <row r="38" spans="1:10" ht="13.5" thickBot="1" x14ac:dyDescent="0.25">
      <c r="A38" s="45" t="s">
        <v>111</v>
      </c>
      <c r="B38" s="48"/>
      <c r="C38" s="49"/>
      <c r="D38" s="49">
        <f>SUM(D36:D37)</f>
        <v>579.46964276799986</v>
      </c>
      <c r="E38" s="49"/>
      <c r="F38" s="49"/>
      <c r="G38" s="49">
        <f>SUM(G36:G37)</f>
        <v>590.14000676800003</v>
      </c>
      <c r="H38" s="49">
        <f t="shared" si="2"/>
        <v>10.670364000000177</v>
      </c>
      <c r="I38" s="50">
        <f t="shared" si="7"/>
        <v>1.8414017253829174E-2</v>
      </c>
      <c r="J38" s="51">
        <f t="shared" si="0"/>
        <v>1</v>
      </c>
    </row>
    <row r="39" spans="1:10" x14ac:dyDescent="0.2">
      <c r="A39" s="185"/>
      <c r="F39" s="68"/>
      <c r="G39" s="128"/>
    </row>
    <row r="40" spans="1:10" x14ac:dyDescent="0.2">
      <c r="A40" s="185"/>
      <c r="F40" s="131"/>
    </row>
    <row r="41" spans="1:10" x14ac:dyDescent="0.2">
      <c r="A41" s="185"/>
      <c r="F41" s="129"/>
    </row>
    <row r="42" spans="1:10" x14ac:dyDescent="0.2">
      <c r="A42" s="185"/>
      <c r="F42" s="130"/>
      <c r="G42" s="128"/>
      <c r="H42" s="128"/>
    </row>
    <row r="43" spans="1:10" x14ac:dyDescent="0.2">
      <c r="A43" s="185"/>
      <c r="F43" s="129"/>
      <c r="G43" s="128"/>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47</v>
      </c>
    </row>
    <row r="4" spans="1:10" x14ac:dyDescent="0.2">
      <c r="A4" s="14" t="s">
        <v>62</v>
      </c>
      <c r="B4" s="78">
        <v>5000</v>
      </c>
    </row>
    <row r="5" spans="1:10" x14ac:dyDescent="0.2">
      <c r="A5" s="14" t="s">
        <v>16</v>
      </c>
      <c r="B5" s="78">
        <v>100</v>
      </c>
    </row>
    <row r="6" spans="1:10" x14ac:dyDescent="0.2">
      <c r="A6" s="14" t="s">
        <v>20</v>
      </c>
      <c r="B6" s="79">
        <f>VLOOKUP($B$3,'Data for Bill Impacts'!$A$3:$Y$15,2,0)</f>
        <v>1.0609999999999999</v>
      </c>
    </row>
    <row r="7" spans="1:10" x14ac:dyDescent="0.2">
      <c r="A7" s="80" t="s">
        <v>48</v>
      </c>
      <c r="B7" s="81">
        <f>B4/(B5*730)</f>
        <v>6.8493150684931503E-2</v>
      </c>
    </row>
    <row r="8" spans="1:10" x14ac:dyDescent="0.2">
      <c r="A8" s="14" t="s">
        <v>15</v>
      </c>
      <c r="B8" s="78">
        <f>VLOOKUP($B$3,'Data for Bill Impacts'!$A$3:$Y$15,4,0)</f>
        <v>0</v>
      </c>
    </row>
    <row r="9" spans="1:10" x14ac:dyDescent="0.2">
      <c r="A9" s="14" t="s">
        <v>82</v>
      </c>
      <c r="B9" s="78">
        <f>B4*B6</f>
        <v>5305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5305</v>
      </c>
      <c r="C13" s="102">
        <v>0.10299999999999999</v>
      </c>
      <c r="D13" s="103">
        <f>B13*C13</f>
        <v>546.41499999999996</v>
      </c>
      <c r="E13" s="101">
        <f>B13</f>
        <v>5305</v>
      </c>
      <c r="F13" s="102">
        <f>C13</f>
        <v>0.10299999999999999</v>
      </c>
      <c r="G13" s="103">
        <f>E13*F13</f>
        <v>546.41499999999996</v>
      </c>
      <c r="H13" s="103">
        <f>G13-D13</f>
        <v>0</v>
      </c>
      <c r="I13" s="104">
        <f>IF(ISERROR(H13/D13),0,(H13/D13))</f>
        <v>0</v>
      </c>
      <c r="J13" s="123">
        <f t="shared" ref="J13:J29" si="0">G13/$G$38</f>
        <v>0.2263307747011663</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546.41499999999996</v>
      </c>
      <c r="E15" s="75"/>
      <c r="F15" s="24"/>
      <c r="G15" s="24">
        <f>SUM(G13:G14)</f>
        <v>546.41499999999996</v>
      </c>
      <c r="H15" s="24">
        <f t="shared" si="2"/>
        <v>0</v>
      </c>
      <c r="I15" s="26">
        <f t="shared" si="3"/>
        <v>0</v>
      </c>
      <c r="J15" s="46">
        <f t="shared" si="0"/>
        <v>0.2263307747011663</v>
      </c>
    </row>
    <row r="16" spans="1:10" s="1" customFormat="1" x14ac:dyDescent="0.2">
      <c r="A16" s="106" t="s">
        <v>38</v>
      </c>
      <c r="B16" s="72">
        <v>1</v>
      </c>
      <c r="C16" s="77">
        <f>VLOOKUP($B$3,'Data for Bill Impacts'!$A$3:$Y$15,7,0)</f>
        <v>198.03</v>
      </c>
      <c r="D16" s="21">
        <f>B16*C16</f>
        <v>198.03</v>
      </c>
      <c r="E16" s="72">
        <f t="shared" ref="E16:E33" si="4">B16</f>
        <v>1</v>
      </c>
      <c r="F16" s="77">
        <f>VLOOKUP($B$3,'Data for Bill Impacts'!$A$3:$Y$15,17,0)</f>
        <v>198.03</v>
      </c>
      <c r="G16" s="21">
        <f>E16*F16</f>
        <v>198.03</v>
      </c>
      <c r="H16" s="21">
        <f t="shared" si="2"/>
        <v>0</v>
      </c>
      <c r="I16" s="22">
        <f t="shared" si="3"/>
        <v>0</v>
      </c>
      <c r="J16" s="124">
        <f t="shared" si="0"/>
        <v>8.2026085144207186E-2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0.01</v>
      </c>
      <c r="D19" s="21">
        <f t="shared" si="6"/>
        <v>0.01</v>
      </c>
      <c r="E19" s="72">
        <f t="shared" si="4"/>
        <v>1</v>
      </c>
      <c r="F19" s="77">
        <f>VLOOKUP($B$3,'Data for Bill Impacts'!$A$3:$Y$15,22,0)</f>
        <v>0.01</v>
      </c>
      <c r="G19" s="21">
        <f t="shared" si="5"/>
        <v>0.01</v>
      </c>
      <c r="H19" s="21">
        <f t="shared" si="2"/>
        <v>0</v>
      </c>
      <c r="I19" s="22">
        <f t="shared" si="3"/>
        <v>0</v>
      </c>
      <c r="J19" s="124">
        <f t="shared" si="0"/>
        <v>4.1421039814274192E-6</v>
      </c>
    </row>
    <row r="20" spans="1:10" x14ac:dyDescent="0.2">
      <c r="A20" s="106" t="s">
        <v>39</v>
      </c>
      <c r="B20" s="72">
        <f>IF($B$10="kWh",$B$4,$B$5)</f>
        <v>100</v>
      </c>
      <c r="C20" s="77">
        <f>VLOOKUP($B$3,'Data for Bill Impacts'!$A$3:$Y$15,10,0)</f>
        <v>11.1084</v>
      </c>
      <c r="D20" s="21">
        <f>B20*C20</f>
        <v>1110.8399999999999</v>
      </c>
      <c r="E20" s="72">
        <f t="shared" si="4"/>
        <v>100</v>
      </c>
      <c r="F20" s="77">
        <f>VLOOKUP($B$3,'Data for Bill Impacts'!$A$3:$Y$15,19,0)</f>
        <v>11.895300000000001</v>
      </c>
      <c r="G20" s="21">
        <f>E20*F20</f>
        <v>1189.53</v>
      </c>
      <c r="H20" s="21">
        <f t="shared" si="2"/>
        <v>78.690000000000055</v>
      </c>
      <c r="I20" s="22">
        <f t="shared" si="3"/>
        <v>7.0838284541428168E-2</v>
      </c>
      <c r="J20" s="124">
        <f t="shared" si="0"/>
        <v>0.49271569490273576</v>
      </c>
    </row>
    <row r="21" spans="1:10" s="1" customFormat="1" x14ac:dyDescent="0.2">
      <c r="A21" s="106" t="s">
        <v>129</v>
      </c>
      <c r="B21" s="72">
        <f>IF($B$10="kWh",$B$4,$B$5)</f>
        <v>100</v>
      </c>
      <c r="C21" s="77">
        <f>VLOOKUP($B$3,'Data for Bill Impacts'!$A$3:$Y$15,14,0)</f>
        <v>1.72E-2</v>
      </c>
      <c r="D21" s="21">
        <f>B21*C21</f>
        <v>1.72</v>
      </c>
      <c r="E21" s="72">
        <f>B21</f>
        <v>100</v>
      </c>
      <c r="F21" s="77">
        <f>VLOOKUP($B$3,'Data for Bill Impacts'!$A$3:$Y$15,23,0)</f>
        <v>1.72E-2</v>
      </c>
      <c r="G21" s="21">
        <f>E21*F21</f>
        <v>1.72</v>
      </c>
      <c r="H21" s="21">
        <f>G21-D21</f>
        <v>0</v>
      </c>
      <c r="I21" s="22">
        <f>IF(ISERROR(H21/D21),0,(H21/D21))</f>
        <v>0</v>
      </c>
      <c r="J21" s="124">
        <f t="shared" si="0"/>
        <v>7.1244188480551604E-4</v>
      </c>
    </row>
    <row r="22" spans="1:10" s="1" customFormat="1" x14ac:dyDescent="0.2">
      <c r="A22" s="106" t="s">
        <v>117</v>
      </c>
      <c r="B22" s="72">
        <f>B9</f>
        <v>5305</v>
      </c>
      <c r="C22" s="125">
        <f>VLOOKUP($B$3,'Data for Bill Impacts'!$A$3:$Y$15,20,0)</f>
        <v>1.9E-3</v>
      </c>
      <c r="D22" s="21">
        <f>B22*C22</f>
        <v>10.079499999999999</v>
      </c>
      <c r="E22" s="72">
        <f t="shared" si="4"/>
        <v>5305</v>
      </c>
      <c r="F22" s="125">
        <f>VLOOKUP($B$3,'Data for Bill Impacts'!$A$3:$Y$15,21,0)</f>
        <v>1.9E-3</v>
      </c>
      <c r="G22" s="21">
        <f>E22*F22</f>
        <v>10.079499999999999</v>
      </c>
      <c r="H22" s="21">
        <f t="shared" si="2"/>
        <v>0</v>
      </c>
      <c r="I22" s="22">
        <f>IF(ISERROR(H22/D22),0,(H22/D22))</f>
        <v>0</v>
      </c>
      <c r="J22" s="124">
        <f t="shared" si="0"/>
        <v>4.1750337080797666E-3</v>
      </c>
    </row>
    <row r="23" spans="1:10" x14ac:dyDescent="0.2">
      <c r="A23" s="109" t="s">
        <v>95</v>
      </c>
      <c r="B23" s="73"/>
      <c r="C23" s="34"/>
      <c r="D23" s="34">
        <f>SUM(D16:D22)</f>
        <v>1320.6795</v>
      </c>
      <c r="E23" s="72"/>
      <c r="F23" s="34"/>
      <c r="G23" s="34">
        <f>SUM(G16:G22)</f>
        <v>1399.3695</v>
      </c>
      <c r="H23" s="34">
        <f t="shared" si="2"/>
        <v>78.690000000000055</v>
      </c>
      <c r="I23" s="35">
        <f t="shared" si="3"/>
        <v>5.9582964678409907E-2</v>
      </c>
      <c r="J23" s="110">
        <f t="shared" si="0"/>
        <v>0.57963339774380962</v>
      </c>
    </row>
    <row r="24" spans="1:10" x14ac:dyDescent="0.2">
      <c r="A24" s="106" t="s">
        <v>40</v>
      </c>
      <c r="B24" s="72">
        <f>B5</f>
        <v>100</v>
      </c>
      <c r="C24" s="125">
        <f>VLOOKUP($B$3,'Data for Bill Impacts'!$A$3:$Y$15,15,0)</f>
        <v>0.63949999999999996</v>
      </c>
      <c r="D24" s="21">
        <f>B24*C24</f>
        <v>63.949999999999996</v>
      </c>
      <c r="E24" s="72">
        <f t="shared" si="4"/>
        <v>100</v>
      </c>
      <c r="F24" s="77">
        <f>VLOOKUP($B$3,'Data for Bill Impacts'!$A$3:$Y$15,24,0)</f>
        <v>0.63949999999999996</v>
      </c>
      <c r="G24" s="21">
        <f>E24*F24</f>
        <v>63.949999999999996</v>
      </c>
      <c r="H24" s="21">
        <f t="shared" si="2"/>
        <v>0</v>
      </c>
      <c r="I24" s="22">
        <f t="shared" si="3"/>
        <v>0</v>
      </c>
      <c r="J24" s="124">
        <f t="shared" si="0"/>
        <v>2.6488754961228343E-2</v>
      </c>
    </row>
    <row r="25" spans="1:10" s="1" customFormat="1" x14ac:dyDescent="0.2">
      <c r="A25" s="106" t="s">
        <v>41</v>
      </c>
      <c r="B25" s="72">
        <f>B5</f>
        <v>100</v>
      </c>
      <c r="C25" s="125">
        <f>VLOOKUP($B$3,'Data for Bill Impacts'!$A$3:$Y$15,16,0)</f>
        <v>0.55430000000000001</v>
      </c>
      <c r="D25" s="21">
        <f>B25*C25</f>
        <v>55.43</v>
      </c>
      <c r="E25" s="72">
        <f t="shared" si="4"/>
        <v>100</v>
      </c>
      <c r="F25" s="77">
        <f>VLOOKUP($B$3,'Data for Bill Impacts'!$A$3:$Y$15,25,0)</f>
        <v>0.55430000000000001</v>
      </c>
      <c r="G25" s="21">
        <f>E25*F25</f>
        <v>55.43</v>
      </c>
      <c r="H25" s="21">
        <f t="shared" si="2"/>
        <v>0</v>
      </c>
      <c r="I25" s="22">
        <f t="shared" si="3"/>
        <v>0</v>
      </c>
      <c r="J25" s="124">
        <f t="shared" si="0"/>
        <v>2.2959682369052183E-2</v>
      </c>
    </row>
    <row r="26" spans="1:10" x14ac:dyDescent="0.2">
      <c r="A26" s="109" t="s">
        <v>76</v>
      </c>
      <c r="B26" s="73"/>
      <c r="C26" s="34"/>
      <c r="D26" s="34">
        <f>SUM(D24:D25)</f>
        <v>119.38</v>
      </c>
      <c r="E26" s="72"/>
      <c r="F26" s="34"/>
      <c r="G26" s="34">
        <f>SUM(G24:G25)</f>
        <v>119.38</v>
      </c>
      <c r="H26" s="34">
        <f t="shared" si="2"/>
        <v>0</v>
      </c>
      <c r="I26" s="35">
        <f t="shared" si="3"/>
        <v>0</v>
      </c>
      <c r="J26" s="110">
        <f t="shared" si="0"/>
        <v>4.944843733028053E-2</v>
      </c>
    </row>
    <row r="27" spans="1:10" s="1" customFormat="1" x14ac:dyDescent="0.2">
      <c r="A27" s="109" t="s">
        <v>80</v>
      </c>
      <c r="B27" s="73"/>
      <c r="C27" s="34"/>
      <c r="D27" s="34">
        <f>D23+D26</f>
        <v>1440.0594999999998</v>
      </c>
      <c r="E27" s="72"/>
      <c r="F27" s="34"/>
      <c r="G27" s="34">
        <f>G23+G26</f>
        <v>1518.7494999999999</v>
      </c>
      <c r="H27" s="34">
        <f t="shared" si="2"/>
        <v>78.690000000000055</v>
      </c>
      <c r="I27" s="35">
        <f t="shared" si="3"/>
        <v>5.4643575491151626E-2</v>
      </c>
      <c r="J27" s="110">
        <f t="shared" si="0"/>
        <v>0.6290818350740901</v>
      </c>
    </row>
    <row r="28" spans="1:10" x14ac:dyDescent="0.2">
      <c r="A28" s="106" t="s">
        <v>42</v>
      </c>
      <c r="B28" s="72">
        <f>B9</f>
        <v>5305</v>
      </c>
      <c r="C28" s="33">
        <v>3.5999999999999999E-3</v>
      </c>
      <c r="D28" s="21">
        <f>B28*C28</f>
        <v>19.097999999999999</v>
      </c>
      <c r="E28" s="72">
        <f t="shared" si="4"/>
        <v>5305</v>
      </c>
      <c r="F28" s="33">
        <v>3.5999999999999999E-3</v>
      </c>
      <c r="G28" s="21">
        <f>E28*F28</f>
        <v>19.097999999999999</v>
      </c>
      <c r="H28" s="21">
        <f t="shared" si="2"/>
        <v>0</v>
      </c>
      <c r="I28" s="22">
        <f t="shared" si="3"/>
        <v>0</v>
      </c>
      <c r="J28" s="124">
        <f t="shared" si="0"/>
        <v>7.9105901837300853E-3</v>
      </c>
    </row>
    <row r="29" spans="1:10" x14ac:dyDescent="0.2">
      <c r="A29" s="106" t="s">
        <v>43</v>
      </c>
      <c r="B29" s="72">
        <f>B9</f>
        <v>5305</v>
      </c>
      <c r="C29" s="33">
        <v>2.0999999999999999E-3</v>
      </c>
      <c r="D29" s="21">
        <f>B29*C29</f>
        <v>11.140499999999999</v>
      </c>
      <c r="E29" s="72">
        <f t="shared" si="4"/>
        <v>5305</v>
      </c>
      <c r="F29" s="33">
        <v>2.0999999999999999E-3</v>
      </c>
      <c r="G29" s="21">
        <f>E29*F29</f>
        <v>11.140499999999999</v>
      </c>
      <c r="H29" s="21">
        <f>G29-D29</f>
        <v>0</v>
      </c>
      <c r="I29" s="22">
        <f t="shared" si="3"/>
        <v>0</v>
      </c>
      <c r="J29" s="124">
        <f t="shared" si="0"/>
        <v>4.6145109405092161E-3</v>
      </c>
    </row>
    <row r="30" spans="1:10" x14ac:dyDescent="0.2">
      <c r="A30" s="106" t="s">
        <v>99</v>
      </c>
      <c r="B30" s="72">
        <f>B9</f>
        <v>5305</v>
      </c>
      <c r="C30" s="33">
        <v>1.1000000000000001E-3</v>
      </c>
      <c r="D30" s="21">
        <f>B30*C30</f>
        <v>5.8355000000000006</v>
      </c>
      <c r="E30" s="72">
        <f t="shared" si="4"/>
        <v>5305</v>
      </c>
      <c r="F30" s="33">
        <v>1.1000000000000001E-3</v>
      </c>
      <c r="G30" s="21">
        <f>E30*F30</f>
        <v>5.8355000000000006</v>
      </c>
      <c r="H30" s="21">
        <f>G30-D30</f>
        <v>0</v>
      </c>
      <c r="I30" s="22">
        <f t="shared" ref="I30" si="7">IF(ISERROR(H30/D30),0,(H30/D30))</f>
        <v>0</v>
      </c>
      <c r="J30" s="124">
        <f t="shared" ref="J30" si="8">G30/$G$38</f>
        <v>2.4171247783619705E-3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1.0355259953568547E-4</v>
      </c>
    </row>
    <row r="32" spans="1:10" x14ac:dyDescent="0.2">
      <c r="A32" s="109" t="s">
        <v>45</v>
      </c>
      <c r="B32" s="73"/>
      <c r="C32" s="34"/>
      <c r="D32" s="34">
        <f>SUM(D28:D31)</f>
        <v>36.323999999999998</v>
      </c>
      <c r="E32" s="72"/>
      <c r="F32" s="34"/>
      <c r="G32" s="34">
        <f>SUM(G28:G31)</f>
        <v>36.323999999999998</v>
      </c>
      <c r="H32" s="34">
        <f t="shared" si="2"/>
        <v>0</v>
      </c>
      <c r="I32" s="35">
        <f t="shared" si="3"/>
        <v>0</v>
      </c>
      <c r="J32" s="110">
        <f t="shared" si="9"/>
        <v>1.5045778502136956E-2</v>
      </c>
    </row>
    <row r="33" spans="1:10" ht="13.5" thickBot="1" x14ac:dyDescent="0.25">
      <c r="A33" s="111" t="s">
        <v>46</v>
      </c>
      <c r="B33" s="112">
        <f>B4</f>
        <v>5000</v>
      </c>
      <c r="C33" s="113">
        <v>7.0000000000000001E-3</v>
      </c>
      <c r="D33" s="114">
        <f>B33*C33</f>
        <v>35</v>
      </c>
      <c r="E33" s="115">
        <f t="shared" si="4"/>
        <v>5000</v>
      </c>
      <c r="F33" s="113">
        <f>C33</f>
        <v>7.0000000000000001E-3</v>
      </c>
      <c r="G33" s="114">
        <f>E33*F33</f>
        <v>35</v>
      </c>
      <c r="H33" s="114">
        <f t="shared" si="2"/>
        <v>0</v>
      </c>
      <c r="I33" s="116">
        <f t="shared" si="3"/>
        <v>0</v>
      </c>
      <c r="J33" s="117">
        <f t="shared" si="9"/>
        <v>1.4497363934995967E-2</v>
      </c>
    </row>
    <row r="34" spans="1:10" x14ac:dyDescent="0.2">
      <c r="A34" s="36" t="s">
        <v>116</v>
      </c>
      <c r="B34" s="37"/>
      <c r="C34" s="38"/>
      <c r="D34" s="38">
        <f>SUM(D15,D23,D26,D32,D33)</f>
        <v>2057.7984999999999</v>
      </c>
      <c r="E34" s="37"/>
      <c r="F34" s="38"/>
      <c r="G34" s="38">
        <f>SUM(G15,G23,G26,G32,G33)</f>
        <v>2136.4884999999999</v>
      </c>
      <c r="H34" s="38">
        <f t="shared" si="2"/>
        <v>78.690000000000055</v>
      </c>
      <c r="I34" s="39">
        <f>IF(ISERROR(H34/D34),0,(H34/D34))</f>
        <v>3.8239895694354945E-2</v>
      </c>
      <c r="J34" s="40">
        <f t="shared" si="9"/>
        <v>0.88495575221238942</v>
      </c>
    </row>
    <row r="35" spans="1:10" x14ac:dyDescent="0.2">
      <c r="A35" s="45" t="s">
        <v>108</v>
      </c>
      <c r="B35" s="42"/>
      <c r="C35" s="25">
        <v>0.13</v>
      </c>
      <c r="D35" s="25">
        <f>D34*C35</f>
        <v>267.51380499999999</v>
      </c>
      <c r="E35" s="25"/>
      <c r="F35" s="25">
        <f>C35</f>
        <v>0.13</v>
      </c>
      <c r="G35" s="25">
        <f>G34*F35</f>
        <v>277.74350500000003</v>
      </c>
      <c r="H35" s="25">
        <f t="shared" si="2"/>
        <v>10.229700000000037</v>
      </c>
      <c r="I35" s="43">
        <f t="shared" ref="I35:I38" si="10">IF(ISERROR(H35/D35),0,(H35/D35))</f>
        <v>3.8239895694355056E-2</v>
      </c>
      <c r="J35" s="44">
        <f t="shared" si="9"/>
        <v>0.11504424778761063</v>
      </c>
    </row>
    <row r="36" spans="1:10" x14ac:dyDescent="0.2">
      <c r="A36" s="45" t="s">
        <v>109</v>
      </c>
      <c r="B36" s="23"/>
      <c r="C36" s="24"/>
      <c r="D36" s="24">
        <f>SUM(D34:D35)</f>
        <v>2325.3123049999999</v>
      </c>
      <c r="E36" s="24"/>
      <c r="F36" s="24"/>
      <c r="G36" s="24">
        <f>SUM(G34:G35)</f>
        <v>2414.2320049999998</v>
      </c>
      <c r="H36" s="24">
        <f t="shared" si="2"/>
        <v>88.919699999999921</v>
      </c>
      <c r="I36" s="26">
        <f t="shared" si="10"/>
        <v>3.8239895694354882E-2</v>
      </c>
      <c r="J36" s="46">
        <f t="shared" si="9"/>
        <v>1</v>
      </c>
    </row>
    <row r="37" spans="1:10" x14ac:dyDescent="0.2">
      <c r="A37" s="45" t="s">
        <v>110</v>
      </c>
      <c r="B37" s="42"/>
      <c r="C37" s="25">
        <v>0</v>
      </c>
      <c r="D37" s="25">
        <f>D34*C37</f>
        <v>0</v>
      </c>
      <c r="E37" s="25"/>
      <c r="F37" s="25">
        <f>C37</f>
        <v>0</v>
      </c>
      <c r="G37" s="25">
        <f>G34*F37</f>
        <v>0</v>
      </c>
      <c r="H37" s="25">
        <f t="shared" si="2"/>
        <v>0</v>
      </c>
      <c r="I37" s="43">
        <f t="shared" si="10"/>
        <v>0</v>
      </c>
      <c r="J37" s="44">
        <f t="shared" si="9"/>
        <v>0</v>
      </c>
    </row>
    <row r="38" spans="1:10" ht="13.5" thickBot="1" x14ac:dyDescent="0.25">
      <c r="A38" s="45" t="s">
        <v>111</v>
      </c>
      <c r="B38" s="48"/>
      <c r="C38" s="49"/>
      <c r="D38" s="49">
        <f>SUM(D36:D37)</f>
        <v>2325.3123049999999</v>
      </c>
      <c r="E38" s="49"/>
      <c r="F38" s="49"/>
      <c r="G38" s="49">
        <f>SUM(G36:G37)</f>
        <v>2414.2320049999998</v>
      </c>
      <c r="H38" s="49">
        <f t="shared" si="2"/>
        <v>88.919699999999921</v>
      </c>
      <c r="I38" s="50">
        <f t="shared" si="10"/>
        <v>3.8239895694354882E-2</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1" tint="0.499984740745262"/>
    <pageSetUpPr fitToPage="1"/>
  </sheetPr>
  <dimension ref="A1:J54"/>
  <sheetViews>
    <sheetView tabSelected="1" topLeftCell="A10"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11</v>
      </c>
    </row>
    <row r="4" spans="1:10" x14ac:dyDescent="0.2">
      <c r="A4" s="14" t="s">
        <v>62</v>
      </c>
      <c r="B4" s="78">
        <v>200000</v>
      </c>
    </row>
    <row r="5" spans="1:10" x14ac:dyDescent="0.2">
      <c r="A5" s="14" t="s">
        <v>16</v>
      </c>
      <c r="B5" s="78">
        <v>500</v>
      </c>
    </row>
    <row r="6" spans="1:10" x14ac:dyDescent="0.2">
      <c r="A6" s="14" t="s">
        <v>20</v>
      </c>
      <c r="B6" s="79">
        <f>VLOOKUP($B$3,'Data for Bill Impacts'!$A$3:$Y$15,2,0)</f>
        <v>1.034</v>
      </c>
    </row>
    <row r="7" spans="1:10" x14ac:dyDescent="0.2">
      <c r="A7" s="80" t="s">
        <v>48</v>
      </c>
      <c r="B7" s="81">
        <f>B4/(B5*730)</f>
        <v>0.54794520547945202</v>
      </c>
    </row>
    <row r="8" spans="1:10" x14ac:dyDescent="0.2">
      <c r="A8" s="14" t="s">
        <v>15</v>
      </c>
      <c r="B8" s="78">
        <f>VLOOKUP($B$3,'Data for Bill Impacts'!$A$3:$Y$15,4,0)</f>
        <v>0</v>
      </c>
    </row>
    <row r="9" spans="1:10" x14ac:dyDescent="0.2">
      <c r="A9" s="14" t="s">
        <v>82</v>
      </c>
      <c r="B9" s="78">
        <f>B4*B6</f>
        <v>206800</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206800</v>
      </c>
      <c r="C13" s="102">
        <v>0.10299999999999999</v>
      </c>
      <c r="D13" s="103">
        <f>B13*C13</f>
        <v>21300.399999999998</v>
      </c>
      <c r="E13" s="101">
        <f>B13</f>
        <v>206800</v>
      </c>
      <c r="F13" s="102">
        <f>C13</f>
        <v>0.10299999999999999</v>
      </c>
      <c r="G13" s="103">
        <f>E13*F13</f>
        <v>21300.399999999998</v>
      </c>
      <c r="H13" s="103">
        <f>G13-D13</f>
        <v>0</v>
      </c>
      <c r="I13" s="104">
        <f>IF(ISERROR(H13/D13),0,(H13/D13))</f>
        <v>0</v>
      </c>
      <c r="J13" s="123">
        <f t="shared" ref="J13:J29" si="0">G13/$G$38</f>
        <v>0.63297815748681718</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21300.399999999998</v>
      </c>
      <c r="E15" s="75"/>
      <c r="F15" s="24"/>
      <c r="G15" s="24">
        <f>SUM(G13:G14)</f>
        <v>21300.399999999998</v>
      </c>
      <c r="H15" s="24">
        <f t="shared" si="2"/>
        <v>0</v>
      </c>
      <c r="I15" s="26">
        <f t="shared" si="3"/>
        <v>0</v>
      </c>
      <c r="J15" s="46">
        <f t="shared" si="0"/>
        <v>0.63297815748681718</v>
      </c>
    </row>
    <row r="16" spans="1:10" s="1" customFormat="1" x14ac:dyDescent="0.2">
      <c r="A16" s="106" t="s">
        <v>38</v>
      </c>
      <c r="B16" s="72">
        <v>1</v>
      </c>
      <c r="C16" s="77">
        <f>VLOOKUP($B$3,'Data for Bill Impacts'!$A$3:$Y$15,7,0)</f>
        <v>1269.2</v>
      </c>
      <c r="D16" s="21">
        <f>B16*C16</f>
        <v>1269.2</v>
      </c>
      <c r="E16" s="72">
        <f t="shared" ref="E16:E33" si="4">B16</f>
        <v>1</v>
      </c>
      <c r="F16" s="77">
        <f>VLOOKUP($B$3,'Data for Bill Impacts'!$A$3:$Y$15,17,0)</f>
        <v>1300.28</v>
      </c>
      <c r="G16" s="21">
        <f>E16*F16</f>
        <v>1300.28</v>
      </c>
      <c r="H16" s="21">
        <f t="shared" si="2"/>
        <v>31.079999999999927</v>
      </c>
      <c r="I16" s="22">
        <f t="shared" si="3"/>
        <v>2.4487866372518062E-2</v>
      </c>
      <c r="J16" s="124">
        <f t="shared" si="0"/>
        <v>3.8640064910375332E-2</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3.83</v>
      </c>
      <c r="D19" s="21">
        <f t="shared" si="6"/>
        <v>3.83</v>
      </c>
      <c r="E19" s="72">
        <f t="shared" si="4"/>
        <v>1</v>
      </c>
      <c r="F19" s="77">
        <f>VLOOKUP($B$3,'Data for Bill Impacts'!$A$3:$Y$15,22,0)</f>
        <v>3.83</v>
      </c>
      <c r="G19" s="21">
        <f t="shared" si="5"/>
        <v>3.83</v>
      </c>
      <c r="H19" s="21">
        <f t="shared" si="2"/>
        <v>0</v>
      </c>
      <c r="I19" s="22">
        <f t="shared" si="3"/>
        <v>0</v>
      </c>
      <c r="J19" s="124">
        <f t="shared" si="0"/>
        <v>1.138150618380176E-4</v>
      </c>
    </row>
    <row r="20" spans="1:10" x14ac:dyDescent="0.2">
      <c r="A20" s="106" t="s">
        <v>39</v>
      </c>
      <c r="B20" s="72">
        <f>IF($B$10="kWh",$B$4,$B$5)</f>
        <v>500</v>
      </c>
      <c r="C20" s="77">
        <f>VLOOKUP($B$3,'Data for Bill Impacts'!$A$3:$Y$15,10,0)</f>
        <v>1.4475424689830076</v>
      </c>
      <c r="D20" s="21">
        <f>B20*C20</f>
        <v>723.77123449150383</v>
      </c>
      <c r="E20" s="72">
        <f t="shared" si="4"/>
        <v>500</v>
      </c>
      <c r="F20" s="77">
        <f>VLOOKUP($B$3,'Data for Bill Impacts'!$A$3:$Y$15,19,0)</f>
        <v>1.4905974986544777</v>
      </c>
      <c r="G20" s="21">
        <f>E20*F20</f>
        <v>745.29874932723885</v>
      </c>
      <c r="H20" s="21">
        <f t="shared" si="2"/>
        <v>21.527514835735019</v>
      </c>
      <c r="I20" s="22">
        <f t="shared" si="3"/>
        <v>2.9743534710742536E-2</v>
      </c>
      <c r="J20" s="124">
        <f t="shared" si="0"/>
        <v>2.2147838966704143E-2</v>
      </c>
    </row>
    <row r="21" spans="1:10" s="1" customFormat="1" x14ac:dyDescent="0.2">
      <c r="A21" s="106" t="s">
        <v>129</v>
      </c>
      <c r="B21" s="72">
        <f>IF($B$10="kWh",$B$4,$B$5)</f>
        <v>500</v>
      </c>
      <c r="C21" s="125">
        <f>VLOOKUP($B$3,'Data for Bill Impacts'!$A$3:$Y$15,14,0)</f>
        <v>0.27289999999999998</v>
      </c>
      <c r="D21" s="21">
        <f>B21*C21</f>
        <v>136.44999999999999</v>
      </c>
      <c r="E21" s="72">
        <f>B21</f>
        <v>500</v>
      </c>
      <c r="F21" s="125">
        <f>VLOOKUP($B$3,'Data for Bill Impacts'!$A$3:$Y$15,23,0)</f>
        <v>0.27289999999999998</v>
      </c>
      <c r="G21" s="21">
        <f>E21*F21</f>
        <v>136.44999999999999</v>
      </c>
      <c r="H21" s="21">
        <f>G21-D21</f>
        <v>0</v>
      </c>
      <c r="I21" s="22">
        <f>IF(ISERROR(H21/D21),0,(H21/D21))</f>
        <v>0</v>
      </c>
      <c r="J21" s="124">
        <f t="shared" si="0"/>
        <v>4.0548473075189299E-3</v>
      </c>
    </row>
    <row r="22" spans="1:10" s="1" customFormat="1" x14ac:dyDescent="0.2">
      <c r="A22" s="106" t="s">
        <v>117</v>
      </c>
      <c r="B22" s="72">
        <f>B9</f>
        <v>206800</v>
      </c>
      <c r="C22" s="77">
        <f>VLOOKUP($B$3,'Data for Bill Impacts'!$A$3:$Y$15,20,0)</f>
        <v>1.9E-3</v>
      </c>
      <c r="D22" s="21">
        <f>B22*C22</f>
        <v>392.92</v>
      </c>
      <c r="E22" s="72">
        <f t="shared" si="4"/>
        <v>206800</v>
      </c>
      <c r="F22" s="77">
        <f>VLOOKUP($B$3,'Data for Bill Impacts'!$A$3:$Y$15,21,0)</f>
        <v>1.9E-3</v>
      </c>
      <c r="G22" s="21">
        <f>E22*F22</f>
        <v>392.92</v>
      </c>
      <c r="H22" s="21">
        <f t="shared" si="2"/>
        <v>0</v>
      </c>
      <c r="I22" s="22">
        <f>IF(ISERROR(H22/D22),0,(H22/D22))</f>
        <v>0</v>
      </c>
      <c r="J22" s="124">
        <f t="shared" si="0"/>
        <v>1.1676296108980124E-2</v>
      </c>
    </row>
    <row r="23" spans="1:10" x14ac:dyDescent="0.2">
      <c r="A23" s="109" t="s">
        <v>95</v>
      </c>
      <c r="B23" s="73"/>
      <c r="C23" s="34"/>
      <c r="D23" s="34">
        <f>SUM(D16:D22)</f>
        <v>2526.1712344915036</v>
      </c>
      <c r="E23" s="72"/>
      <c r="F23" s="34"/>
      <c r="G23" s="34">
        <f>SUM(G16:G22)</f>
        <v>2578.7787493272385</v>
      </c>
      <c r="H23" s="34">
        <f t="shared" si="2"/>
        <v>52.607514835734946</v>
      </c>
      <c r="I23" s="35">
        <f t="shared" si="3"/>
        <v>2.0824999555631621E-2</v>
      </c>
      <c r="J23" s="110">
        <f t="shared" si="0"/>
        <v>7.6632862355416539E-2</v>
      </c>
    </row>
    <row r="24" spans="1:10" x14ac:dyDescent="0.2">
      <c r="A24" s="106" t="s">
        <v>40</v>
      </c>
      <c r="B24" s="72">
        <f>B5</f>
        <v>500</v>
      </c>
      <c r="C24" s="125">
        <f>VLOOKUP($B$3,'Data for Bill Impacts'!$A$3:$Y$15,15,0)</f>
        <v>3.5367000000000002</v>
      </c>
      <c r="D24" s="21">
        <f>B24*C24</f>
        <v>1768.3500000000001</v>
      </c>
      <c r="E24" s="72">
        <f t="shared" si="4"/>
        <v>500</v>
      </c>
      <c r="F24" s="77">
        <f>VLOOKUP($B$3,'Data for Bill Impacts'!$A$3:$Y$15,24,0)</f>
        <v>3.5367000000000002</v>
      </c>
      <c r="G24" s="21">
        <f>E24*F24</f>
        <v>1768.3500000000001</v>
      </c>
      <c r="H24" s="21">
        <f t="shared" si="2"/>
        <v>0</v>
      </c>
      <c r="I24" s="22">
        <f t="shared" si="3"/>
        <v>0</v>
      </c>
      <c r="J24" s="124">
        <f t="shared" si="0"/>
        <v>5.254957300293954E-2</v>
      </c>
    </row>
    <row r="25" spans="1:10" s="1" customFormat="1" x14ac:dyDescent="0.2">
      <c r="A25" s="106" t="s">
        <v>41</v>
      </c>
      <c r="B25" s="72">
        <f>B5</f>
        <v>500</v>
      </c>
      <c r="C25" s="125">
        <f>VLOOKUP($B$3,'Data for Bill Impacts'!$A$3:$Y$15,16,0)</f>
        <v>2.6514000000000002</v>
      </c>
      <c r="D25" s="21">
        <f>B25*C25</f>
        <v>1325.7</v>
      </c>
      <c r="E25" s="72">
        <f t="shared" si="4"/>
        <v>500</v>
      </c>
      <c r="F25" s="77">
        <f>VLOOKUP($B$3,'Data for Bill Impacts'!$A$3:$Y$15,25,0)</f>
        <v>2.6514000000000002</v>
      </c>
      <c r="G25" s="21">
        <f>E25*F25</f>
        <v>1325.7</v>
      </c>
      <c r="H25" s="21">
        <f t="shared" si="2"/>
        <v>0</v>
      </c>
      <c r="I25" s="22">
        <f t="shared" si="3"/>
        <v>0</v>
      </c>
      <c r="J25" s="124">
        <f t="shared" si="0"/>
        <v>3.9395464093644889E-2</v>
      </c>
    </row>
    <row r="26" spans="1:10" x14ac:dyDescent="0.2">
      <c r="A26" s="109" t="s">
        <v>76</v>
      </c>
      <c r="B26" s="73"/>
      <c r="C26" s="34"/>
      <c r="D26" s="34">
        <f>SUM(D24:D25)</f>
        <v>3094.05</v>
      </c>
      <c r="E26" s="72"/>
      <c r="F26" s="34"/>
      <c r="G26" s="34">
        <f>SUM(G24:G25)</f>
        <v>3094.05</v>
      </c>
      <c r="H26" s="34">
        <f t="shared" si="2"/>
        <v>0</v>
      </c>
      <c r="I26" s="35">
        <f t="shared" si="3"/>
        <v>0</v>
      </c>
      <c r="J26" s="110">
        <f t="shared" si="0"/>
        <v>9.1945037096584428E-2</v>
      </c>
    </row>
    <row r="27" spans="1:10" s="1" customFormat="1" x14ac:dyDescent="0.2">
      <c r="A27" s="109" t="s">
        <v>80</v>
      </c>
      <c r="B27" s="73"/>
      <c r="C27" s="34"/>
      <c r="D27" s="34">
        <f>D23+D26</f>
        <v>5620.2212344915042</v>
      </c>
      <c r="E27" s="72"/>
      <c r="F27" s="34"/>
      <c r="G27" s="34">
        <f>G23+G26</f>
        <v>5672.8287493272383</v>
      </c>
      <c r="H27" s="34">
        <f t="shared" si="2"/>
        <v>52.607514835734037</v>
      </c>
      <c r="I27" s="35">
        <f t="shared" si="3"/>
        <v>9.3603992869319419E-3</v>
      </c>
      <c r="J27" s="110">
        <f t="shared" si="0"/>
        <v>0.16857789945200097</v>
      </c>
    </row>
    <row r="28" spans="1:10" x14ac:dyDescent="0.2">
      <c r="A28" s="106" t="s">
        <v>42</v>
      </c>
      <c r="B28" s="72">
        <f>B9</f>
        <v>206800</v>
      </c>
      <c r="C28" s="33">
        <v>3.5999999999999999E-3</v>
      </c>
      <c r="D28" s="21">
        <f>B28*C28</f>
        <v>744.48</v>
      </c>
      <c r="E28" s="72">
        <f t="shared" si="4"/>
        <v>206800</v>
      </c>
      <c r="F28" s="33">
        <v>3.5999999999999999E-3</v>
      </c>
      <c r="G28" s="21">
        <f>E28*F28</f>
        <v>744.48</v>
      </c>
      <c r="H28" s="21">
        <f t="shared" si="2"/>
        <v>0</v>
      </c>
      <c r="I28" s="22">
        <f t="shared" si="3"/>
        <v>0</v>
      </c>
      <c r="J28" s="124">
        <f t="shared" si="0"/>
        <v>2.2123508417014971E-2</v>
      </c>
    </row>
    <row r="29" spans="1:10" x14ac:dyDescent="0.2">
      <c r="A29" s="106" t="s">
        <v>43</v>
      </c>
      <c r="B29" s="72">
        <f>B9</f>
        <v>206800</v>
      </c>
      <c r="C29" s="33">
        <v>2.0999999999999999E-3</v>
      </c>
      <c r="D29" s="21">
        <f>B29*C29</f>
        <v>434.28</v>
      </c>
      <c r="E29" s="72">
        <f t="shared" si="4"/>
        <v>206800</v>
      </c>
      <c r="F29" s="33">
        <v>2.0999999999999999E-3</v>
      </c>
      <c r="G29" s="21">
        <f>E29*F29</f>
        <v>434.28</v>
      </c>
      <c r="H29" s="21">
        <f>G29-D29</f>
        <v>0</v>
      </c>
      <c r="I29" s="22">
        <f t="shared" si="3"/>
        <v>0</v>
      </c>
      <c r="J29" s="124">
        <f t="shared" si="0"/>
        <v>1.2905379909925399E-2</v>
      </c>
    </row>
    <row r="30" spans="1:10" x14ac:dyDescent="0.2">
      <c r="A30" s="106" t="s">
        <v>99</v>
      </c>
      <c r="B30" s="72">
        <f>B9</f>
        <v>206800</v>
      </c>
      <c r="C30" s="33">
        <v>1.1000000000000001E-3</v>
      </c>
      <c r="D30" s="21">
        <f>B30*C30</f>
        <v>227.48000000000002</v>
      </c>
      <c r="E30" s="72">
        <f t="shared" si="4"/>
        <v>206800</v>
      </c>
      <c r="F30" s="33">
        <v>1.1000000000000001E-3</v>
      </c>
      <c r="G30" s="21">
        <f>E30*F30</f>
        <v>227.48000000000002</v>
      </c>
      <c r="H30" s="21">
        <f>G30-D30</f>
        <v>0</v>
      </c>
      <c r="I30" s="22">
        <f t="shared" ref="I30" si="7">IF(ISERROR(H30/D30),0,(H30/D30))</f>
        <v>0</v>
      </c>
      <c r="J30" s="124">
        <f t="shared" ref="J30" si="8">G30/$G$38</f>
        <v>6.7599609051990197E-3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7.4291815821160311E-6</v>
      </c>
    </row>
    <row r="32" spans="1:10" x14ac:dyDescent="0.2">
      <c r="A32" s="109" t="s">
        <v>45</v>
      </c>
      <c r="B32" s="73"/>
      <c r="C32" s="34"/>
      <c r="D32" s="34">
        <f>SUM(D28:D31)</f>
        <v>1406.49</v>
      </c>
      <c r="E32" s="72"/>
      <c r="F32" s="34"/>
      <c r="G32" s="34">
        <f>SUM(G28:G31)</f>
        <v>1406.49</v>
      </c>
      <c r="H32" s="34">
        <f t="shared" si="2"/>
        <v>0</v>
      </c>
      <c r="I32" s="35">
        <f t="shared" si="3"/>
        <v>0</v>
      </c>
      <c r="J32" s="110">
        <f t="shared" si="9"/>
        <v>4.1796278413721508E-2</v>
      </c>
    </row>
    <row r="33" spans="1:10" ht="13.5" thickBot="1" x14ac:dyDescent="0.25">
      <c r="A33" s="111" t="s">
        <v>46</v>
      </c>
      <c r="B33" s="112">
        <f>B4</f>
        <v>200000</v>
      </c>
      <c r="C33" s="113">
        <v>7.0000000000000001E-3</v>
      </c>
      <c r="D33" s="114">
        <f>B33*C33</f>
        <v>1400</v>
      </c>
      <c r="E33" s="115">
        <f t="shared" si="4"/>
        <v>200000</v>
      </c>
      <c r="F33" s="113">
        <f>C33</f>
        <v>7.0000000000000001E-3</v>
      </c>
      <c r="G33" s="114">
        <f>E33*F33</f>
        <v>1400</v>
      </c>
      <c r="H33" s="114">
        <f t="shared" si="2"/>
        <v>0</v>
      </c>
      <c r="I33" s="116">
        <f t="shared" si="3"/>
        <v>0</v>
      </c>
      <c r="J33" s="117">
        <f t="shared" si="9"/>
        <v>4.1603416859849772E-2</v>
      </c>
    </row>
    <row r="34" spans="1:10" x14ac:dyDescent="0.2">
      <c r="A34" s="36" t="s">
        <v>116</v>
      </c>
      <c r="B34" s="37"/>
      <c r="C34" s="38"/>
      <c r="D34" s="38">
        <f>SUM(D15,D23,D26,D32,D33)</f>
        <v>29727.111234491502</v>
      </c>
      <c r="E34" s="37"/>
      <c r="F34" s="38"/>
      <c r="G34" s="38">
        <f>SUM(G15,G23,G26,G32,G33)</f>
        <v>29779.718749327236</v>
      </c>
      <c r="H34" s="38">
        <f t="shared" si="2"/>
        <v>52.607514835734037</v>
      </c>
      <c r="I34" s="39">
        <f>IF(ISERROR(H34/D34),0,(H34/D34))</f>
        <v>1.7696813666406668E-3</v>
      </c>
      <c r="J34" s="40">
        <f t="shared" si="9"/>
        <v>0.88495575221238942</v>
      </c>
    </row>
    <row r="35" spans="1:10" x14ac:dyDescent="0.2">
      <c r="A35" s="45" t="s">
        <v>108</v>
      </c>
      <c r="B35" s="42"/>
      <c r="C35" s="25">
        <v>0.13</v>
      </c>
      <c r="D35" s="25">
        <f>D34*C35</f>
        <v>3864.5244604838954</v>
      </c>
      <c r="E35" s="25"/>
      <c r="F35" s="25">
        <f>C35</f>
        <v>0.13</v>
      </c>
      <c r="G35" s="25">
        <f>G34*F35</f>
        <v>3871.3634374125409</v>
      </c>
      <c r="H35" s="25">
        <f t="shared" si="2"/>
        <v>6.8389769286454793</v>
      </c>
      <c r="I35" s="43">
        <f t="shared" ref="I35:I38" si="10">IF(ISERROR(H35/D35),0,(H35/D35))</f>
        <v>1.7696813666406807E-3</v>
      </c>
      <c r="J35" s="44">
        <f t="shared" si="9"/>
        <v>0.11504424778761063</v>
      </c>
    </row>
    <row r="36" spans="1:10" x14ac:dyDescent="0.2">
      <c r="A36" s="45" t="s">
        <v>109</v>
      </c>
      <c r="B36" s="23"/>
      <c r="C36" s="24"/>
      <c r="D36" s="24">
        <f>SUM(D34:D35)</f>
        <v>33591.635694975397</v>
      </c>
      <c r="E36" s="24"/>
      <c r="F36" s="24"/>
      <c r="G36" s="24">
        <f>SUM(G34:G35)</f>
        <v>33651.082186739775</v>
      </c>
      <c r="H36" s="24">
        <f t="shared" si="2"/>
        <v>59.446491764378152</v>
      </c>
      <c r="I36" s="26">
        <f t="shared" si="10"/>
        <v>1.7696813666406277E-3</v>
      </c>
      <c r="J36" s="46">
        <f t="shared" si="9"/>
        <v>1</v>
      </c>
    </row>
    <row r="37" spans="1:10" x14ac:dyDescent="0.2">
      <c r="A37" s="45" t="s">
        <v>110</v>
      </c>
      <c r="B37" s="42"/>
      <c r="C37" s="25">
        <v>0</v>
      </c>
      <c r="D37" s="25">
        <f>D34*C37</f>
        <v>0</v>
      </c>
      <c r="E37" s="25"/>
      <c r="F37" s="25">
        <f>C37</f>
        <v>0</v>
      </c>
      <c r="G37" s="25">
        <f>G34*F37</f>
        <v>0</v>
      </c>
      <c r="H37" s="25">
        <f t="shared" si="2"/>
        <v>0</v>
      </c>
      <c r="I37" s="43">
        <f t="shared" si="10"/>
        <v>0</v>
      </c>
      <c r="J37" s="44">
        <f t="shared" si="9"/>
        <v>0</v>
      </c>
    </row>
    <row r="38" spans="1:10" ht="13.5" thickBot="1" x14ac:dyDescent="0.25">
      <c r="A38" s="45" t="s">
        <v>111</v>
      </c>
      <c r="B38" s="48"/>
      <c r="C38" s="49"/>
      <c r="D38" s="49">
        <f>SUM(D36:D37)</f>
        <v>33591.635694975397</v>
      </c>
      <c r="E38" s="49"/>
      <c r="F38" s="49"/>
      <c r="G38" s="49">
        <f>SUM(G36:G37)</f>
        <v>33651.082186739775</v>
      </c>
      <c r="H38" s="49">
        <f t="shared" si="2"/>
        <v>59.446491764378152</v>
      </c>
      <c r="I38" s="50">
        <f t="shared" si="10"/>
        <v>1.7696813666406277E-3</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11</v>
      </c>
    </row>
    <row r="4" spans="1:10" x14ac:dyDescent="0.2">
      <c r="A4" s="14" t="s">
        <v>62</v>
      </c>
      <c r="B4" s="78">
        <f>'Data for Bill Impacts_HONI Avg '!C15</f>
        <v>1601036</v>
      </c>
    </row>
    <row r="5" spans="1:10" x14ac:dyDescent="0.2">
      <c r="A5" s="14" t="s">
        <v>16</v>
      </c>
      <c r="B5" s="78">
        <v>2960</v>
      </c>
    </row>
    <row r="6" spans="1:10" x14ac:dyDescent="0.2">
      <c r="A6" s="14" t="s">
        <v>20</v>
      </c>
      <c r="B6" s="79">
        <f>VLOOKUP($B$3,'Data for Bill Impacts'!$A$3:$Y$15,2,0)</f>
        <v>1.034</v>
      </c>
    </row>
    <row r="7" spans="1:10" x14ac:dyDescent="0.2">
      <c r="A7" s="80" t="s">
        <v>48</v>
      </c>
      <c r="B7" s="81">
        <f>B4/(B5*730)</f>
        <v>0.74094594594594598</v>
      </c>
    </row>
    <row r="8" spans="1:10" x14ac:dyDescent="0.2">
      <c r="A8" s="14" t="s">
        <v>15</v>
      </c>
      <c r="B8" s="78">
        <f>VLOOKUP($B$3,'Data for Bill Impacts'!$A$3:$Y$15,4,0)</f>
        <v>0</v>
      </c>
    </row>
    <row r="9" spans="1:10" x14ac:dyDescent="0.2">
      <c r="A9" s="14" t="s">
        <v>82</v>
      </c>
      <c r="B9" s="78">
        <f>B4*B6</f>
        <v>1655471.2240000002</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1655471.2240000002</v>
      </c>
      <c r="C13" s="102">
        <v>0.10299999999999999</v>
      </c>
      <c r="D13" s="103">
        <f>B13*C13</f>
        <v>170513.53607200002</v>
      </c>
      <c r="E13" s="101">
        <f>B13</f>
        <v>1655471.2240000002</v>
      </c>
      <c r="F13" s="102">
        <f>C13</f>
        <v>0.10299999999999999</v>
      </c>
      <c r="G13" s="103">
        <f>E13*F13</f>
        <v>170513.53607200002</v>
      </c>
      <c r="H13" s="103">
        <f>G13-D13</f>
        <v>0</v>
      </c>
      <c r="I13" s="104">
        <f>IF(ISERROR(H13/D13),0,(H13/D13))</f>
        <v>0</v>
      </c>
      <c r="J13" s="123">
        <f t="shared" ref="J13:J38" si="0">G13/$G$38</f>
        <v>0.68290132917399904</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170513.53607200002</v>
      </c>
      <c r="E15" s="75"/>
      <c r="F15" s="24"/>
      <c r="G15" s="24">
        <f>SUM(G13:G14)</f>
        <v>170513.53607200002</v>
      </c>
      <c r="H15" s="24">
        <f t="shared" si="2"/>
        <v>0</v>
      </c>
      <c r="I15" s="26">
        <f t="shared" si="3"/>
        <v>0</v>
      </c>
      <c r="J15" s="46">
        <f t="shared" si="0"/>
        <v>0.68290132917399904</v>
      </c>
    </row>
    <row r="16" spans="1:10" s="1" customFormat="1" x14ac:dyDescent="0.2">
      <c r="A16" s="106" t="s">
        <v>38</v>
      </c>
      <c r="B16" s="72">
        <v>1</v>
      </c>
      <c r="C16" s="77">
        <f>VLOOKUP($B$3,'Data for Bill Impacts'!$A$3:$Y$15,7,0)</f>
        <v>1269.2</v>
      </c>
      <c r="D16" s="21">
        <f>B16*C16</f>
        <v>1269.2</v>
      </c>
      <c r="E16" s="72">
        <f t="shared" ref="E16:E33" si="4">B16</f>
        <v>1</v>
      </c>
      <c r="F16" s="77">
        <f>VLOOKUP($B$3,'Data for Bill Impacts'!$A$3:$Y$15,17,0)</f>
        <v>1300.28</v>
      </c>
      <c r="G16" s="21">
        <f>E16*F16</f>
        <v>1300.28</v>
      </c>
      <c r="H16" s="21">
        <f t="shared" si="2"/>
        <v>31.079999999999927</v>
      </c>
      <c r="I16" s="22">
        <f t="shared" si="3"/>
        <v>2.4487866372518062E-2</v>
      </c>
      <c r="J16" s="124">
        <f t="shared" si="0"/>
        <v>5.2075803525851554E-3</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3.83</v>
      </c>
      <c r="D19" s="21">
        <f t="shared" si="6"/>
        <v>3.83</v>
      </c>
      <c r="E19" s="72">
        <f t="shared" si="4"/>
        <v>1</v>
      </c>
      <c r="F19" s="77">
        <f>VLOOKUP($B$3,'Data for Bill Impacts'!$A$3:$Y$15,22,0)</f>
        <v>3.83</v>
      </c>
      <c r="G19" s="21">
        <f t="shared" si="5"/>
        <v>3.83</v>
      </c>
      <c r="H19" s="21">
        <f t="shared" si="2"/>
        <v>0</v>
      </c>
      <c r="I19" s="22">
        <f t="shared" si="3"/>
        <v>0</v>
      </c>
      <c r="J19" s="124">
        <f t="shared" si="0"/>
        <v>1.5339029094042164E-5</v>
      </c>
    </row>
    <row r="20" spans="1:10" x14ac:dyDescent="0.2">
      <c r="A20" s="106" t="s">
        <v>39</v>
      </c>
      <c r="B20" s="72">
        <f>IF($B$10="kWh",$B$4,$B$5)</f>
        <v>2960</v>
      </c>
      <c r="C20" s="77">
        <f>VLOOKUP($B$3,'Data for Bill Impacts'!$A$3:$Y$15,10,0)</f>
        <v>1.4475424689830076</v>
      </c>
      <c r="D20" s="21">
        <f>B20*C20</f>
        <v>4284.7257081897023</v>
      </c>
      <c r="E20" s="72">
        <f t="shared" si="4"/>
        <v>2960</v>
      </c>
      <c r="F20" s="77">
        <f>VLOOKUP($B$3,'Data for Bill Impacts'!$A$3:$Y$15,19,0)</f>
        <v>1.4905974986544777</v>
      </c>
      <c r="G20" s="21">
        <f>E20*F20</f>
        <v>4412.1685960172535</v>
      </c>
      <c r="H20" s="21">
        <f t="shared" si="2"/>
        <v>127.4428878275512</v>
      </c>
      <c r="I20" s="22">
        <f t="shared" si="3"/>
        <v>2.9743534710742512E-2</v>
      </c>
      <c r="J20" s="124">
        <f t="shared" si="0"/>
        <v>1.7670595943114313E-2</v>
      </c>
    </row>
    <row r="21" spans="1:10" s="1" customFormat="1" x14ac:dyDescent="0.2">
      <c r="A21" s="106" t="s">
        <v>129</v>
      </c>
      <c r="B21" s="72">
        <f>IF($B$10="kWh",$B$4,$B$5)</f>
        <v>2960</v>
      </c>
      <c r="C21" s="125">
        <f>VLOOKUP($B$3,'Data for Bill Impacts'!$A$3:$Y$15,14,0)</f>
        <v>0.27289999999999998</v>
      </c>
      <c r="D21" s="21">
        <f>B21*C21</f>
        <v>807.78399999999988</v>
      </c>
      <c r="E21" s="72">
        <f>B21</f>
        <v>2960</v>
      </c>
      <c r="F21" s="125">
        <f>VLOOKUP($B$3,'Data for Bill Impacts'!$A$3:$Y$15,23,0)</f>
        <v>0.27289999999999998</v>
      </c>
      <c r="G21" s="21">
        <f>E21*F21</f>
        <v>807.78399999999988</v>
      </c>
      <c r="H21" s="21">
        <f>G21-D21</f>
        <v>0</v>
      </c>
      <c r="I21" s="22">
        <f>IF(ISERROR(H21/D21),0,(H21/D21))</f>
        <v>0</v>
      </c>
      <c r="J21" s="124">
        <f t="shared" si="0"/>
        <v>3.2351494197654707E-3</v>
      </c>
    </row>
    <row r="22" spans="1:10" s="1" customFormat="1" x14ac:dyDescent="0.2">
      <c r="A22" s="106" t="s">
        <v>117</v>
      </c>
      <c r="B22" s="72">
        <f>B9</f>
        <v>1655471.2240000002</v>
      </c>
      <c r="C22" s="77">
        <f>VLOOKUP($B$3,'Data for Bill Impacts'!$A$3:$Y$15,20,0)</f>
        <v>1.9E-3</v>
      </c>
      <c r="D22" s="21">
        <f>B22*C22</f>
        <v>3145.3953256000004</v>
      </c>
      <c r="E22" s="72">
        <f t="shared" si="4"/>
        <v>1655471.2240000002</v>
      </c>
      <c r="F22" s="77">
        <f>VLOOKUP($B$3,'Data for Bill Impacts'!$A$3:$Y$15,21,0)</f>
        <v>1.9E-3</v>
      </c>
      <c r="G22" s="21">
        <f>E22*F22</f>
        <v>3145.3953256000004</v>
      </c>
      <c r="H22" s="21">
        <f t="shared" si="2"/>
        <v>0</v>
      </c>
      <c r="I22" s="22">
        <f>IF(ISERROR(H22/D22),0,(H22/D22))</f>
        <v>0</v>
      </c>
      <c r="J22" s="124">
        <f t="shared" si="0"/>
        <v>1.2597208984763089E-2</v>
      </c>
    </row>
    <row r="23" spans="1:10" x14ac:dyDescent="0.2">
      <c r="A23" s="109" t="s">
        <v>79</v>
      </c>
      <c r="B23" s="73"/>
      <c r="C23" s="34"/>
      <c r="D23" s="34">
        <f>SUM(D16:D22)</f>
        <v>9510.9350337897013</v>
      </c>
      <c r="E23" s="72"/>
      <c r="F23" s="34"/>
      <c r="G23" s="34">
        <f>SUM(G16:G22)</f>
        <v>9669.4579216172533</v>
      </c>
      <c r="H23" s="34">
        <f t="shared" si="2"/>
        <v>158.52288782755204</v>
      </c>
      <c r="I23" s="35">
        <f t="shared" si="3"/>
        <v>1.6667434617560147E-2</v>
      </c>
      <c r="J23" s="110">
        <f t="shared" si="0"/>
        <v>3.8725873729322069E-2</v>
      </c>
    </row>
    <row r="24" spans="1:10" x14ac:dyDescent="0.2">
      <c r="A24" s="106" t="s">
        <v>40</v>
      </c>
      <c r="B24" s="72">
        <f>B5</f>
        <v>2960</v>
      </c>
      <c r="C24" s="125">
        <f>VLOOKUP($B$3,'Data for Bill Impacts'!$A$3:$Y$15,15,0)</f>
        <v>3.5367000000000002</v>
      </c>
      <c r="D24" s="21">
        <f>B24*C24</f>
        <v>10468.632000000001</v>
      </c>
      <c r="E24" s="72">
        <f t="shared" si="4"/>
        <v>2960</v>
      </c>
      <c r="F24" s="77">
        <f>VLOOKUP($B$3,'Data for Bill Impacts'!$A$3:$Y$15,24,0)</f>
        <v>3.5367000000000002</v>
      </c>
      <c r="G24" s="21">
        <f>E24*F24</f>
        <v>10468.632000000001</v>
      </c>
      <c r="H24" s="21">
        <f t="shared" si="2"/>
        <v>0</v>
      </c>
      <c r="I24" s="22">
        <f t="shared" si="3"/>
        <v>0</v>
      </c>
      <c r="J24" s="124">
        <f t="shared" si="0"/>
        <v>4.1926540684809617E-2</v>
      </c>
    </row>
    <row r="25" spans="1:10" s="1" customFormat="1" x14ac:dyDescent="0.2">
      <c r="A25" s="106" t="s">
        <v>41</v>
      </c>
      <c r="B25" s="72">
        <f>B5</f>
        <v>2960</v>
      </c>
      <c r="C25" s="125">
        <f>VLOOKUP($B$3,'Data for Bill Impacts'!$A$3:$Y$15,16,0)</f>
        <v>2.6514000000000002</v>
      </c>
      <c r="D25" s="21">
        <f>B25*C25</f>
        <v>7848.1440000000002</v>
      </c>
      <c r="E25" s="72">
        <f t="shared" si="4"/>
        <v>2960</v>
      </c>
      <c r="F25" s="77">
        <f>VLOOKUP($B$3,'Data for Bill Impacts'!$A$3:$Y$15,25,0)</f>
        <v>2.6514000000000002</v>
      </c>
      <c r="G25" s="21">
        <f>E25*F25</f>
        <v>7848.1440000000002</v>
      </c>
      <c r="H25" s="21">
        <f t="shared" si="2"/>
        <v>0</v>
      </c>
      <c r="I25" s="22">
        <f t="shared" si="3"/>
        <v>0</v>
      </c>
      <c r="J25" s="124">
        <f t="shared" si="0"/>
        <v>3.1431568968729097E-2</v>
      </c>
    </row>
    <row r="26" spans="1:10" x14ac:dyDescent="0.2">
      <c r="A26" s="109" t="s">
        <v>76</v>
      </c>
      <c r="B26" s="73"/>
      <c r="C26" s="34"/>
      <c r="D26" s="34">
        <f>SUM(D24:D25)</f>
        <v>18316.776000000002</v>
      </c>
      <c r="E26" s="72"/>
      <c r="F26" s="34"/>
      <c r="G26" s="34">
        <f>SUM(G24:G25)</f>
        <v>18316.776000000002</v>
      </c>
      <c r="H26" s="34">
        <f t="shared" si="2"/>
        <v>0</v>
      </c>
      <c r="I26" s="35">
        <f t="shared" si="3"/>
        <v>0</v>
      </c>
      <c r="J26" s="110">
        <f t="shared" si="0"/>
        <v>7.3358109653538714E-2</v>
      </c>
    </row>
    <row r="27" spans="1:10" s="1" customFormat="1" x14ac:dyDescent="0.2">
      <c r="A27" s="109" t="s">
        <v>80</v>
      </c>
      <c r="B27" s="73"/>
      <c r="C27" s="34"/>
      <c r="D27" s="34">
        <f>D23+D26</f>
        <v>27827.711033789703</v>
      </c>
      <c r="E27" s="72"/>
      <c r="F27" s="34"/>
      <c r="G27" s="34">
        <f>G23+G26</f>
        <v>27986.233921617255</v>
      </c>
      <c r="H27" s="34">
        <f t="shared" si="2"/>
        <v>158.52288782755204</v>
      </c>
      <c r="I27" s="35">
        <f t="shared" si="3"/>
        <v>5.6965837986123315E-3</v>
      </c>
      <c r="J27" s="110">
        <f t="shared" si="0"/>
        <v>0.11208398338286078</v>
      </c>
    </row>
    <row r="28" spans="1:10" x14ac:dyDescent="0.2">
      <c r="A28" s="106" t="s">
        <v>42</v>
      </c>
      <c r="B28" s="72">
        <f>B9</f>
        <v>1655471.2240000002</v>
      </c>
      <c r="C28" s="33">
        <v>3.5999999999999999E-3</v>
      </c>
      <c r="D28" s="21">
        <f>B28*C28</f>
        <v>5959.6964064000003</v>
      </c>
      <c r="E28" s="72">
        <f t="shared" si="4"/>
        <v>1655471.2240000002</v>
      </c>
      <c r="F28" s="33">
        <v>3.5999999999999999E-3</v>
      </c>
      <c r="G28" s="21">
        <f>E28*F28</f>
        <v>5959.6964064000003</v>
      </c>
      <c r="H28" s="21">
        <f t="shared" si="2"/>
        <v>0</v>
      </c>
      <c r="I28" s="22">
        <f t="shared" si="3"/>
        <v>0</v>
      </c>
      <c r="J28" s="124">
        <f t="shared" si="0"/>
        <v>2.3868395971130062E-2</v>
      </c>
    </row>
    <row r="29" spans="1:10" x14ac:dyDescent="0.2">
      <c r="A29" s="106" t="s">
        <v>43</v>
      </c>
      <c r="B29" s="72">
        <f>B9</f>
        <v>1655471.2240000002</v>
      </c>
      <c r="C29" s="33">
        <v>2.0999999999999999E-3</v>
      </c>
      <c r="D29" s="21">
        <f>B29*C29</f>
        <v>3476.4895704</v>
      </c>
      <c r="E29" s="72">
        <f t="shared" si="4"/>
        <v>1655471.2240000002</v>
      </c>
      <c r="F29" s="33">
        <v>2.0999999999999999E-3</v>
      </c>
      <c r="G29" s="21">
        <f>E29*F29</f>
        <v>3476.4895704</v>
      </c>
      <c r="H29" s="21">
        <f>G29-D29</f>
        <v>0</v>
      </c>
      <c r="I29" s="22">
        <f t="shared" si="3"/>
        <v>0</v>
      </c>
      <c r="J29" s="124">
        <f t="shared" si="0"/>
        <v>1.3923230983159202E-2</v>
      </c>
    </row>
    <row r="30" spans="1:10" x14ac:dyDescent="0.2">
      <c r="A30" s="106" t="s">
        <v>99</v>
      </c>
      <c r="B30" s="72">
        <f>B9</f>
        <v>1655471.2240000002</v>
      </c>
      <c r="C30" s="33">
        <v>1.1000000000000001E-3</v>
      </c>
      <c r="D30" s="21">
        <f>B30*C30</f>
        <v>1821.0183464000004</v>
      </c>
      <c r="E30" s="72">
        <f t="shared" si="4"/>
        <v>1655471.2240000002</v>
      </c>
      <c r="F30" s="33">
        <v>1.1000000000000001E-3</v>
      </c>
      <c r="G30" s="21">
        <f>E30*F30</f>
        <v>1821.0183464000004</v>
      </c>
      <c r="H30" s="21">
        <f>G30-D30</f>
        <v>0</v>
      </c>
      <c r="I30" s="22">
        <f t="shared" si="3"/>
        <v>0</v>
      </c>
      <c r="J30" s="124">
        <f t="shared" si="0"/>
        <v>7.2931209911786306E-3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1.0012421079661986E-6</v>
      </c>
    </row>
    <row r="32" spans="1:10" x14ac:dyDescent="0.2">
      <c r="A32" s="109" t="s">
        <v>45</v>
      </c>
      <c r="B32" s="73"/>
      <c r="C32" s="34"/>
      <c r="D32" s="34">
        <f>SUM(D28:D31)</f>
        <v>11257.4543232</v>
      </c>
      <c r="E32" s="72"/>
      <c r="F32" s="34"/>
      <c r="G32" s="34">
        <f>SUM(G28:G31)</f>
        <v>11257.4543232</v>
      </c>
      <c r="H32" s="34">
        <f t="shared" si="2"/>
        <v>0</v>
      </c>
      <c r="I32" s="35">
        <f t="shared" si="3"/>
        <v>0</v>
      </c>
      <c r="J32" s="110">
        <f t="shared" si="0"/>
        <v>4.5085749187575852E-2</v>
      </c>
    </row>
    <row r="33" spans="1:10" ht="13.5" thickBot="1" x14ac:dyDescent="0.25">
      <c r="A33" s="111" t="s">
        <v>46</v>
      </c>
      <c r="B33" s="112">
        <f>B4</f>
        <v>1601036</v>
      </c>
      <c r="C33" s="113">
        <v>7.0000000000000001E-3</v>
      </c>
      <c r="D33" s="114">
        <f>B33*C33</f>
        <v>11207.252</v>
      </c>
      <c r="E33" s="115">
        <f t="shared" si="4"/>
        <v>1601036</v>
      </c>
      <c r="F33" s="113">
        <f>C33</f>
        <v>7.0000000000000001E-3</v>
      </c>
      <c r="G33" s="114">
        <f>E33*F33</f>
        <v>11207.252</v>
      </c>
      <c r="H33" s="114">
        <f t="shared" si="2"/>
        <v>0</v>
      </c>
      <c r="I33" s="116">
        <f t="shared" si="3"/>
        <v>0</v>
      </c>
      <c r="J33" s="117">
        <f t="shared" si="0"/>
        <v>4.4884690467953584E-2</v>
      </c>
    </row>
    <row r="34" spans="1:10" x14ac:dyDescent="0.2">
      <c r="A34" s="36" t="s">
        <v>116</v>
      </c>
      <c r="B34" s="37"/>
      <c r="C34" s="38"/>
      <c r="D34" s="38">
        <f>SUM(D15,D23,D26,D32,D33)</f>
        <v>220805.95342898971</v>
      </c>
      <c r="E34" s="37"/>
      <c r="F34" s="38"/>
      <c r="G34" s="38">
        <f>SUM(G15,G23,G26,G32,G33)</f>
        <v>220964.47631681731</v>
      </c>
      <c r="H34" s="38">
        <f t="shared" si="2"/>
        <v>158.5228878275957</v>
      </c>
      <c r="I34" s="39">
        <f>IF(ISERROR(H34/D34),0,(H34/D34))</f>
        <v>7.1792850403635514E-4</v>
      </c>
      <c r="J34" s="40">
        <f t="shared" si="0"/>
        <v>0.88495575221238931</v>
      </c>
    </row>
    <row r="35" spans="1:10" x14ac:dyDescent="0.2">
      <c r="A35" s="45" t="s">
        <v>108</v>
      </c>
      <c r="B35" s="42"/>
      <c r="C35" s="25">
        <v>0.13</v>
      </c>
      <c r="D35" s="25">
        <f>D34*C35</f>
        <v>28704.773945768662</v>
      </c>
      <c r="E35" s="25"/>
      <c r="F35" s="25">
        <f>C35</f>
        <v>0.13</v>
      </c>
      <c r="G35" s="25">
        <f>G34*F35</f>
        <v>28725.38192118625</v>
      </c>
      <c r="H35" s="25">
        <f t="shared" si="2"/>
        <v>20.607975417588023</v>
      </c>
      <c r="I35" s="43">
        <f t="shared" ref="I35:I38" si="7">IF(ISERROR(H35/D35),0,(H35/D35))</f>
        <v>7.1792850403637552E-4</v>
      </c>
      <c r="J35" s="44">
        <f t="shared" si="0"/>
        <v>0.11504424778761062</v>
      </c>
    </row>
    <row r="36" spans="1:10" x14ac:dyDescent="0.2">
      <c r="A36" s="45" t="s">
        <v>109</v>
      </c>
      <c r="B36" s="23"/>
      <c r="C36" s="24"/>
      <c r="D36" s="24">
        <f>SUM(D34:D35)</f>
        <v>249510.72737475837</v>
      </c>
      <c r="E36" s="24"/>
      <c r="F36" s="24"/>
      <c r="G36" s="24">
        <f>SUM(G34:G35)</f>
        <v>249689.85823800357</v>
      </c>
      <c r="H36" s="24">
        <f t="shared" si="2"/>
        <v>179.13086324519827</v>
      </c>
      <c r="I36" s="26">
        <f t="shared" si="7"/>
        <v>7.1792850403641585E-4</v>
      </c>
      <c r="J36" s="46">
        <f t="shared" si="0"/>
        <v>1</v>
      </c>
    </row>
    <row r="37" spans="1:10" x14ac:dyDescent="0.2">
      <c r="A37" s="45" t="s">
        <v>110</v>
      </c>
      <c r="B37" s="42"/>
      <c r="C37" s="25">
        <v>0</v>
      </c>
      <c r="D37" s="25">
        <f>D34*C37</f>
        <v>0</v>
      </c>
      <c r="E37" s="25"/>
      <c r="F37" s="25">
        <f>C37</f>
        <v>0</v>
      </c>
      <c r="G37" s="25">
        <f>G34*F37</f>
        <v>0</v>
      </c>
      <c r="H37" s="25">
        <f t="shared" si="2"/>
        <v>0</v>
      </c>
      <c r="I37" s="43">
        <f t="shared" si="7"/>
        <v>0</v>
      </c>
      <c r="J37" s="44">
        <f t="shared" si="0"/>
        <v>0</v>
      </c>
    </row>
    <row r="38" spans="1:10" ht="13.5" thickBot="1" x14ac:dyDescent="0.25">
      <c r="A38" s="45" t="s">
        <v>111</v>
      </c>
      <c r="B38" s="48"/>
      <c r="C38" s="49"/>
      <c r="D38" s="49">
        <f>SUM(D36:D37)</f>
        <v>249510.72737475837</v>
      </c>
      <c r="E38" s="49"/>
      <c r="F38" s="49"/>
      <c r="G38" s="49">
        <f>SUM(G36:G37)</f>
        <v>249689.85823800357</v>
      </c>
      <c r="H38" s="49">
        <f t="shared" si="2"/>
        <v>179.13086324519827</v>
      </c>
      <c r="I38" s="50">
        <f t="shared" si="7"/>
        <v>7.1792850403641585E-4</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tint="0.499984740745262"/>
    <pageSetUpPr fitToPage="1"/>
  </sheetPr>
  <dimension ref="A1:J54"/>
  <sheetViews>
    <sheetView tabSelected="1" topLeftCell="A10"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11</v>
      </c>
    </row>
    <row r="4" spans="1:10" x14ac:dyDescent="0.2">
      <c r="A4" s="14" t="s">
        <v>62</v>
      </c>
      <c r="B4" s="78">
        <v>4000000</v>
      </c>
    </row>
    <row r="5" spans="1:10" x14ac:dyDescent="0.2">
      <c r="A5" s="14" t="s">
        <v>16</v>
      </c>
      <c r="B5" s="78">
        <v>10000</v>
      </c>
    </row>
    <row r="6" spans="1:10" x14ac:dyDescent="0.2">
      <c r="A6" s="14" t="s">
        <v>20</v>
      </c>
      <c r="B6" s="79">
        <f>VLOOKUP($B$3,'Data for Bill Impacts'!$A$3:$Y$15,2,0)</f>
        <v>1.034</v>
      </c>
    </row>
    <row r="7" spans="1:10" x14ac:dyDescent="0.2">
      <c r="A7" s="80" t="s">
        <v>48</v>
      </c>
      <c r="B7" s="81">
        <f>B4/(B5*730)</f>
        <v>0.54794520547945202</v>
      </c>
    </row>
    <row r="8" spans="1:10" x14ac:dyDescent="0.2">
      <c r="A8" s="14" t="s">
        <v>15</v>
      </c>
      <c r="B8" s="78">
        <f>VLOOKUP($B$3,'Data for Bill Impacts'!$A$3:$Y$15,4,0)</f>
        <v>0</v>
      </c>
    </row>
    <row r="9" spans="1:10" x14ac:dyDescent="0.2">
      <c r="A9" s="14" t="s">
        <v>82</v>
      </c>
      <c r="B9" s="78">
        <f>B4*B6</f>
        <v>4136000</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4136000</v>
      </c>
      <c r="C13" s="102">
        <v>0.10299999999999999</v>
      </c>
      <c r="D13" s="103">
        <f>B13*C13</f>
        <v>426008</v>
      </c>
      <c r="E13" s="101">
        <f>B13</f>
        <v>4136000</v>
      </c>
      <c r="F13" s="102">
        <f>C13</f>
        <v>0.10299999999999999</v>
      </c>
      <c r="G13" s="103">
        <f>E13*F13</f>
        <v>426008</v>
      </c>
      <c r="H13" s="103">
        <f>G13-D13</f>
        <v>0</v>
      </c>
      <c r="I13" s="104">
        <f>IF(ISERROR(H13/D13),0,(H13/D13))</f>
        <v>0</v>
      </c>
      <c r="J13" s="123">
        <f t="shared" ref="J13:J29" si="0">G13/$G$38</f>
        <v>0.66046007654239547</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426008</v>
      </c>
      <c r="E15" s="75"/>
      <c r="F15" s="24"/>
      <c r="G15" s="24">
        <f>SUM(G13:G14)</f>
        <v>426008</v>
      </c>
      <c r="H15" s="24">
        <f t="shared" si="2"/>
        <v>0</v>
      </c>
      <c r="I15" s="26">
        <f t="shared" si="3"/>
        <v>0</v>
      </c>
      <c r="J15" s="46">
        <f t="shared" si="0"/>
        <v>0.66046007654239547</v>
      </c>
    </row>
    <row r="16" spans="1:10" s="1" customFormat="1" x14ac:dyDescent="0.2">
      <c r="A16" s="106" t="s">
        <v>38</v>
      </c>
      <c r="B16" s="72">
        <v>1</v>
      </c>
      <c r="C16" s="77">
        <f>VLOOKUP($B$3,'Data for Bill Impacts'!$A$3:$Y$15,7,0)</f>
        <v>1269.2</v>
      </c>
      <c r="D16" s="21">
        <f>B16*C16</f>
        <v>1269.2</v>
      </c>
      <c r="E16" s="72">
        <f t="shared" ref="E16:E33" si="4">B16</f>
        <v>1</v>
      </c>
      <c r="F16" s="77">
        <f>VLOOKUP($B$3,'Data for Bill Impacts'!$A$3:$Y$15,17,0)</f>
        <v>1300.28</v>
      </c>
      <c r="G16" s="21">
        <f>E16*F16</f>
        <v>1300.28</v>
      </c>
      <c r="H16" s="21">
        <f t="shared" si="2"/>
        <v>31.079999999999927</v>
      </c>
      <c r="I16" s="22">
        <f t="shared" si="3"/>
        <v>2.4487866372518062E-2</v>
      </c>
      <c r="J16" s="124">
        <f t="shared" si="0"/>
        <v>2.0158847447149957E-3</v>
      </c>
    </row>
    <row r="17" spans="1:10" hidden="1" x14ac:dyDescent="0.2">
      <c r="A17" s="106" t="s">
        <v>83</v>
      </c>
      <c r="B17" s="72">
        <v>1</v>
      </c>
      <c r="C17" s="77">
        <f>VLOOKUP($B$3,'Data for Bill Impacts'!$A$3:$Y$15,8,0)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Impacts'!$A$3:$Y$15,11,0)</f>
        <v>0</v>
      </c>
      <c r="D18" s="21">
        <f t="shared" ref="D18:D19" si="6">B18*C18</f>
        <v>0</v>
      </c>
      <c r="E18" s="72">
        <f t="shared" si="4"/>
        <v>1</v>
      </c>
      <c r="F18" s="77">
        <f>VLOOKUP($B$3,'Data for Bill Impacts'!$A$3:$Y$15,12,0)</f>
        <v>0</v>
      </c>
      <c r="G18" s="21">
        <f t="shared" si="5"/>
        <v>0</v>
      </c>
      <c r="H18" s="21">
        <f t="shared" si="2"/>
        <v>0</v>
      </c>
      <c r="I18" s="22">
        <f t="shared" si="3"/>
        <v>0</v>
      </c>
      <c r="J18" s="124">
        <f t="shared" si="0"/>
        <v>0</v>
      </c>
    </row>
    <row r="19" spans="1:10" x14ac:dyDescent="0.2">
      <c r="A19" s="106" t="s">
        <v>85</v>
      </c>
      <c r="B19" s="72">
        <v>1</v>
      </c>
      <c r="C19" s="77">
        <f>VLOOKUP($B$3,'Data for Bill Impacts'!$A$3:$Y$15,13,0)</f>
        <v>3.83</v>
      </c>
      <c r="D19" s="21">
        <f t="shared" si="6"/>
        <v>3.83</v>
      </c>
      <c r="E19" s="72">
        <f t="shared" si="4"/>
        <v>1</v>
      </c>
      <c r="F19" s="77">
        <f>VLOOKUP($B$3,'Data for Bill Impacts'!$A$3:$Y$15,22,0)</f>
        <v>3.83</v>
      </c>
      <c r="G19" s="21">
        <f t="shared" si="5"/>
        <v>3.83</v>
      </c>
      <c r="H19" s="21">
        <f t="shared" si="2"/>
        <v>0</v>
      </c>
      <c r="I19" s="22">
        <f t="shared" si="3"/>
        <v>0</v>
      </c>
      <c r="J19" s="124">
        <f t="shared" si="0"/>
        <v>5.9378276773144513E-6</v>
      </c>
    </row>
    <row r="20" spans="1:10" x14ac:dyDescent="0.2">
      <c r="A20" s="106" t="s">
        <v>39</v>
      </c>
      <c r="B20" s="72">
        <f>IF($B$10="kWh",$B$4,$B$5)</f>
        <v>10000</v>
      </c>
      <c r="C20" s="77">
        <f>VLOOKUP($B$3,'Data for Bill Impacts'!$A$3:$Y$15,10,0)</f>
        <v>1.4475424689830076</v>
      </c>
      <c r="D20" s="21">
        <f>B20*C20</f>
        <v>14475.424689830077</v>
      </c>
      <c r="E20" s="72">
        <f t="shared" si="4"/>
        <v>10000</v>
      </c>
      <c r="F20" s="77">
        <f>VLOOKUP($B$3,'Data for Bill Impacts'!$A$3:$Y$15,19,0)</f>
        <v>1.4905974986544777</v>
      </c>
      <c r="G20" s="21">
        <f>E20*F20</f>
        <v>14905.974986544777</v>
      </c>
      <c r="H20" s="21">
        <f t="shared" si="2"/>
        <v>430.55029671470038</v>
      </c>
      <c r="I20" s="22">
        <f t="shared" si="3"/>
        <v>2.9743534710742533E-2</v>
      </c>
      <c r="J20" s="124">
        <f t="shared" si="0"/>
        <v>2.3109428415786549E-2</v>
      </c>
    </row>
    <row r="21" spans="1:10" s="1" customFormat="1" x14ac:dyDescent="0.2">
      <c r="A21" s="106" t="s">
        <v>129</v>
      </c>
      <c r="B21" s="72">
        <f>IF($B$10="kWh",$B$4,$B$5)</f>
        <v>10000</v>
      </c>
      <c r="C21" s="125">
        <f>VLOOKUP($B$3,'Data for Bill Impacts'!$A$3:$Y$15,14,0)</f>
        <v>0.27289999999999998</v>
      </c>
      <c r="D21" s="21">
        <f>B21*C21</f>
        <v>2728.9999999999995</v>
      </c>
      <c r="E21" s="72">
        <f>B21</f>
        <v>10000</v>
      </c>
      <c r="F21" s="125">
        <f>VLOOKUP($B$3,'Data for Bill Impacts'!$A$3:$Y$15,23,0)</f>
        <v>0.27289999999999998</v>
      </c>
      <c r="G21" s="21">
        <f>E21*F21</f>
        <v>2728.9999999999995</v>
      </c>
      <c r="H21" s="21">
        <f>G21-D21</f>
        <v>0</v>
      </c>
      <c r="I21" s="22">
        <f>IF(ISERROR(H21/D21),0,(H21/D21))</f>
        <v>0</v>
      </c>
      <c r="J21" s="124">
        <f t="shared" si="0"/>
        <v>4.2308960134180501E-3</v>
      </c>
    </row>
    <row r="22" spans="1:10" s="1" customFormat="1" x14ac:dyDescent="0.2">
      <c r="A22" s="106" t="s">
        <v>117</v>
      </c>
      <c r="B22" s="72">
        <f>B9</f>
        <v>4136000</v>
      </c>
      <c r="C22" s="77">
        <f>VLOOKUP($B$3,'Data for Bill Impacts'!$A$3:$Y$15,20,0)</f>
        <v>1.9E-3</v>
      </c>
      <c r="D22" s="21">
        <f>B22*C22</f>
        <v>7858.4</v>
      </c>
      <c r="E22" s="72">
        <f t="shared" si="4"/>
        <v>4136000</v>
      </c>
      <c r="F22" s="77">
        <f>VLOOKUP($B$3,'Data for Bill Impacts'!$A$3:$Y$15,21,0)</f>
        <v>1.9E-3</v>
      </c>
      <c r="G22" s="21">
        <f>E22*F22</f>
        <v>7858.4</v>
      </c>
      <c r="H22" s="21">
        <f t="shared" si="2"/>
        <v>0</v>
      </c>
      <c r="I22" s="22">
        <f>IF(ISERROR(H22/D22),0,(H22/D22))</f>
        <v>0</v>
      </c>
      <c r="J22" s="124">
        <f t="shared" si="0"/>
        <v>1.2183244130393702E-2</v>
      </c>
    </row>
    <row r="23" spans="1:10" x14ac:dyDescent="0.2">
      <c r="A23" s="109" t="s">
        <v>95</v>
      </c>
      <c r="B23" s="73"/>
      <c r="C23" s="34"/>
      <c r="D23" s="34">
        <f>SUM(D16:D22)</f>
        <v>26335.854689830077</v>
      </c>
      <c r="E23" s="72"/>
      <c r="F23" s="34"/>
      <c r="G23" s="34">
        <f>SUM(G16:G22)</f>
        <v>26797.484986544776</v>
      </c>
      <c r="H23" s="34">
        <f t="shared" si="2"/>
        <v>461.63029671469849</v>
      </c>
      <c r="I23" s="35">
        <f t="shared" si="3"/>
        <v>1.7528586110135354E-2</v>
      </c>
      <c r="J23" s="110">
        <f t="shared" si="0"/>
        <v>4.1545391131990607E-2</v>
      </c>
    </row>
    <row r="24" spans="1:10" x14ac:dyDescent="0.2">
      <c r="A24" s="106" t="s">
        <v>40</v>
      </c>
      <c r="B24" s="72">
        <f>B5</f>
        <v>10000</v>
      </c>
      <c r="C24" s="125">
        <f>VLOOKUP($B$3,'Data for Bill Impacts'!$A$3:$Y$15,15,0)</f>
        <v>3.5367000000000002</v>
      </c>
      <c r="D24" s="21">
        <f>B24*C24</f>
        <v>35367</v>
      </c>
      <c r="E24" s="72">
        <f t="shared" si="4"/>
        <v>10000</v>
      </c>
      <c r="F24" s="77">
        <f>VLOOKUP($B$3,'Data for Bill Impacts'!$A$3:$Y$15,24,0)</f>
        <v>3.5367000000000002</v>
      </c>
      <c r="G24" s="21">
        <f>E24*F24</f>
        <v>35367</v>
      </c>
      <c r="H24" s="21">
        <f t="shared" si="2"/>
        <v>0</v>
      </c>
      <c r="I24" s="22">
        <f t="shared" si="3"/>
        <v>0</v>
      </c>
      <c r="J24" s="124">
        <f t="shared" si="0"/>
        <v>5.4831110042710227E-2</v>
      </c>
    </row>
    <row r="25" spans="1:10" s="1" customFormat="1" x14ac:dyDescent="0.2">
      <c r="A25" s="106" t="s">
        <v>41</v>
      </c>
      <c r="B25" s="72">
        <f>B5</f>
        <v>10000</v>
      </c>
      <c r="C25" s="125">
        <f>VLOOKUP($B$3,'Data for Bill Impacts'!$A$3:$Y$15,16,0)</f>
        <v>2.6514000000000002</v>
      </c>
      <c r="D25" s="21">
        <f>B25*C25</f>
        <v>26514.000000000004</v>
      </c>
      <c r="E25" s="72">
        <f t="shared" si="4"/>
        <v>10000</v>
      </c>
      <c r="F25" s="77">
        <f>VLOOKUP($B$3,'Data for Bill Impacts'!$A$3:$Y$15,25,0)</f>
        <v>2.6514000000000002</v>
      </c>
      <c r="G25" s="21">
        <f>E25*F25</f>
        <v>26514.000000000004</v>
      </c>
      <c r="H25" s="21">
        <f t="shared" si="2"/>
        <v>0</v>
      </c>
      <c r="I25" s="22">
        <f t="shared" si="3"/>
        <v>0</v>
      </c>
      <c r="J25" s="124">
        <f t="shared" si="0"/>
        <v>4.1105891132197224E-2</v>
      </c>
    </row>
    <row r="26" spans="1:10" x14ac:dyDescent="0.2">
      <c r="A26" s="109" t="s">
        <v>76</v>
      </c>
      <c r="B26" s="73"/>
      <c r="C26" s="34"/>
      <c r="D26" s="34">
        <f>SUM(D24:D25)</f>
        <v>61881</v>
      </c>
      <c r="E26" s="72"/>
      <c r="F26" s="34"/>
      <c r="G26" s="34">
        <f>SUM(G24:G25)</f>
        <v>61881</v>
      </c>
      <c r="H26" s="34">
        <f t="shared" si="2"/>
        <v>0</v>
      </c>
      <c r="I26" s="35">
        <f t="shared" si="3"/>
        <v>0</v>
      </c>
      <c r="J26" s="110">
        <f t="shared" si="0"/>
        <v>9.5937001174907444E-2</v>
      </c>
    </row>
    <row r="27" spans="1:10" s="1" customFormat="1" x14ac:dyDescent="0.2">
      <c r="A27" s="109" t="s">
        <v>80</v>
      </c>
      <c r="B27" s="73"/>
      <c r="C27" s="34"/>
      <c r="D27" s="34">
        <f>D23+D26</f>
        <v>88216.85468983007</v>
      </c>
      <c r="E27" s="72"/>
      <c r="F27" s="34"/>
      <c r="G27" s="34">
        <f>G23+G26</f>
        <v>88678.484986544776</v>
      </c>
      <c r="H27" s="34">
        <f t="shared" si="2"/>
        <v>461.63029671470576</v>
      </c>
      <c r="I27" s="35">
        <f t="shared" si="3"/>
        <v>5.2329036025801998E-3</v>
      </c>
      <c r="J27" s="110">
        <f t="shared" si="0"/>
        <v>0.13748239230689807</v>
      </c>
    </row>
    <row r="28" spans="1:10" x14ac:dyDescent="0.2">
      <c r="A28" s="106" t="s">
        <v>42</v>
      </c>
      <c r="B28" s="72">
        <f>B9</f>
        <v>4136000</v>
      </c>
      <c r="C28" s="33">
        <v>3.5999999999999999E-3</v>
      </c>
      <c r="D28" s="21">
        <f>B28*C28</f>
        <v>14889.6</v>
      </c>
      <c r="E28" s="72">
        <f t="shared" si="4"/>
        <v>4136000</v>
      </c>
      <c r="F28" s="33">
        <v>3.5999999999999999E-3</v>
      </c>
      <c r="G28" s="21">
        <f>E28*F28</f>
        <v>14889.6</v>
      </c>
      <c r="H28" s="21">
        <f t="shared" si="2"/>
        <v>0</v>
      </c>
      <c r="I28" s="22">
        <f t="shared" si="3"/>
        <v>0</v>
      </c>
      <c r="J28" s="124">
        <f t="shared" si="0"/>
        <v>2.3084041510219647E-2</v>
      </c>
    </row>
    <row r="29" spans="1:10" x14ac:dyDescent="0.2">
      <c r="A29" s="106" t="s">
        <v>43</v>
      </c>
      <c r="B29" s="72">
        <f>B9</f>
        <v>4136000</v>
      </c>
      <c r="C29" s="33">
        <v>2.0999999999999999E-3</v>
      </c>
      <c r="D29" s="21">
        <f>B29*C29</f>
        <v>8685.6</v>
      </c>
      <c r="E29" s="72">
        <f t="shared" si="4"/>
        <v>4136000</v>
      </c>
      <c r="F29" s="33">
        <v>2.0999999999999999E-3</v>
      </c>
      <c r="G29" s="21">
        <f>E29*F29</f>
        <v>8685.6</v>
      </c>
      <c r="H29" s="21">
        <f>G29-D29</f>
        <v>0</v>
      </c>
      <c r="I29" s="22">
        <f t="shared" si="3"/>
        <v>0</v>
      </c>
      <c r="J29" s="124">
        <f t="shared" si="0"/>
        <v>1.3465690880961461E-2</v>
      </c>
    </row>
    <row r="30" spans="1:10" x14ac:dyDescent="0.2">
      <c r="A30" s="106" t="s">
        <v>99</v>
      </c>
      <c r="B30" s="72">
        <f>B9</f>
        <v>4136000</v>
      </c>
      <c r="C30" s="33">
        <v>1.1000000000000001E-3</v>
      </c>
      <c r="D30" s="21">
        <f>B30*C30</f>
        <v>4549.6000000000004</v>
      </c>
      <c r="E30" s="72">
        <f t="shared" si="4"/>
        <v>4136000</v>
      </c>
      <c r="F30" s="33">
        <v>1.1000000000000001E-3</v>
      </c>
      <c r="G30" s="21">
        <f>E30*F30</f>
        <v>4549.6000000000004</v>
      </c>
      <c r="H30" s="21">
        <f>G30-D30</f>
        <v>0</v>
      </c>
      <c r="I30" s="22">
        <f t="shared" ref="I30" si="7">IF(ISERROR(H30/D30),0,(H30/D30))</f>
        <v>0</v>
      </c>
      <c r="J30" s="124">
        <f t="shared" ref="J30" si="8">G30/$G$38</f>
        <v>7.0534571281226704E-3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ref="J31:J38" si="9">G31/$G$38</f>
        <v>3.8758666301008166E-7</v>
      </c>
    </row>
    <row r="32" spans="1:10" x14ac:dyDescent="0.2">
      <c r="A32" s="109" t="s">
        <v>45</v>
      </c>
      <c r="B32" s="73"/>
      <c r="C32" s="34"/>
      <c r="D32" s="34">
        <f>SUM(D28:D31)</f>
        <v>28125.050000000003</v>
      </c>
      <c r="E32" s="72"/>
      <c r="F32" s="34"/>
      <c r="G32" s="34">
        <f>SUM(G28:G31)</f>
        <v>28125.050000000003</v>
      </c>
      <c r="H32" s="34">
        <f t="shared" si="2"/>
        <v>0</v>
      </c>
      <c r="I32" s="35">
        <f t="shared" si="3"/>
        <v>0</v>
      </c>
      <c r="J32" s="110">
        <f t="shared" si="9"/>
        <v>4.3603577105966788E-2</v>
      </c>
    </row>
    <row r="33" spans="1:10" ht="13.5" thickBot="1" x14ac:dyDescent="0.25">
      <c r="A33" s="111" t="s">
        <v>46</v>
      </c>
      <c r="B33" s="112">
        <f>B4</f>
        <v>4000000</v>
      </c>
      <c r="C33" s="113">
        <v>7.0000000000000001E-3</v>
      </c>
      <c r="D33" s="114">
        <f>B33*C33</f>
        <v>28000</v>
      </c>
      <c r="E33" s="115">
        <f t="shared" si="4"/>
        <v>4000000</v>
      </c>
      <c r="F33" s="113">
        <f>C33</f>
        <v>7.0000000000000001E-3</v>
      </c>
      <c r="G33" s="114">
        <f>E33*F33</f>
        <v>28000</v>
      </c>
      <c r="H33" s="114">
        <f t="shared" si="2"/>
        <v>0</v>
      </c>
      <c r="I33" s="116">
        <f t="shared" si="3"/>
        <v>0</v>
      </c>
      <c r="J33" s="117">
        <f t="shared" si="9"/>
        <v>4.3409706257129144E-2</v>
      </c>
    </row>
    <row r="34" spans="1:10" x14ac:dyDescent="0.2">
      <c r="A34" s="36" t="s">
        <v>116</v>
      </c>
      <c r="B34" s="37"/>
      <c r="C34" s="38"/>
      <c r="D34" s="38">
        <f>SUM(D15,D23,D26,D32,D33)</f>
        <v>570349.90468983015</v>
      </c>
      <c r="E34" s="37"/>
      <c r="F34" s="38"/>
      <c r="G34" s="38">
        <f>SUM(G15,G23,G26,G32,G33)</f>
        <v>570811.53498654475</v>
      </c>
      <c r="H34" s="38">
        <f t="shared" si="2"/>
        <v>461.6302967146039</v>
      </c>
      <c r="I34" s="39">
        <f>IF(ISERROR(H34/D34),0,(H34/D34))</f>
        <v>8.0938086062388222E-4</v>
      </c>
      <c r="J34" s="40">
        <f t="shared" si="9"/>
        <v>0.88495575221238942</v>
      </c>
    </row>
    <row r="35" spans="1:10" x14ac:dyDescent="0.2">
      <c r="A35" s="45" t="s">
        <v>108</v>
      </c>
      <c r="B35" s="42"/>
      <c r="C35" s="25">
        <v>0.13</v>
      </c>
      <c r="D35" s="25">
        <f>D34*C35</f>
        <v>74145.487609677919</v>
      </c>
      <c r="E35" s="25"/>
      <c r="F35" s="25">
        <f>C35</f>
        <v>0.13</v>
      </c>
      <c r="G35" s="25">
        <f>G34*F35</f>
        <v>74205.499548250824</v>
      </c>
      <c r="H35" s="25">
        <f t="shared" si="2"/>
        <v>60.01193857290491</v>
      </c>
      <c r="I35" s="43">
        <f t="shared" ref="I35:I38" si="10">IF(ISERROR(H35/D35),0,(H35/D35))</f>
        <v>8.0938086062396853E-4</v>
      </c>
      <c r="J35" s="44">
        <f t="shared" si="9"/>
        <v>0.11504424778761063</v>
      </c>
    </row>
    <row r="36" spans="1:10" x14ac:dyDescent="0.2">
      <c r="A36" s="45" t="s">
        <v>109</v>
      </c>
      <c r="B36" s="23"/>
      <c r="C36" s="24"/>
      <c r="D36" s="24">
        <f>SUM(D34:D35)</f>
        <v>644495.39229950809</v>
      </c>
      <c r="E36" s="24"/>
      <c r="F36" s="24"/>
      <c r="G36" s="24">
        <f>SUM(G34:G35)</f>
        <v>645017.03453479556</v>
      </c>
      <c r="H36" s="24">
        <f t="shared" si="2"/>
        <v>521.64223528746516</v>
      </c>
      <c r="I36" s="26">
        <f t="shared" si="10"/>
        <v>8.0938086062382433E-4</v>
      </c>
      <c r="J36" s="46">
        <f t="shared" si="9"/>
        <v>1</v>
      </c>
    </row>
    <row r="37" spans="1:10" x14ac:dyDescent="0.2">
      <c r="A37" s="45" t="s">
        <v>110</v>
      </c>
      <c r="B37" s="42"/>
      <c r="C37" s="25">
        <v>0</v>
      </c>
      <c r="D37" s="25">
        <f>D34*C37</f>
        <v>0</v>
      </c>
      <c r="E37" s="25"/>
      <c r="F37" s="25">
        <f>C37</f>
        <v>0</v>
      </c>
      <c r="G37" s="25">
        <f>G34*F37</f>
        <v>0</v>
      </c>
      <c r="H37" s="25">
        <f t="shared" si="2"/>
        <v>0</v>
      </c>
      <c r="I37" s="43">
        <f t="shared" si="10"/>
        <v>0</v>
      </c>
      <c r="J37" s="44">
        <f t="shared" si="9"/>
        <v>0</v>
      </c>
    </row>
    <row r="38" spans="1:10" ht="13.5" thickBot="1" x14ac:dyDescent="0.25">
      <c r="A38" s="45" t="s">
        <v>111</v>
      </c>
      <c r="B38" s="48"/>
      <c r="C38" s="49"/>
      <c r="D38" s="49">
        <f>SUM(D36:D37)</f>
        <v>644495.39229950809</v>
      </c>
      <c r="E38" s="49"/>
      <c r="F38" s="49"/>
      <c r="G38" s="49">
        <f>SUM(G36:G37)</f>
        <v>645017.03453479556</v>
      </c>
      <c r="H38" s="49">
        <f t="shared" si="2"/>
        <v>521.64223528746516</v>
      </c>
      <c r="I38" s="50">
        <f t="shared" si="10"/>
        <v>8.0938086062382433E-4</v>
      </c>
      <c r="J38" s="51">
        <f t="shared" si="9"/>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Impacts'!$A$12:$A$15</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0</v>
      </c>
    </row>
    <row r="4" spans="1:11" x14ac:dyDescent="0.2">
      <c r="A4" s="14" t="s">
        <v>62</v>
      </c>
      <c r="B4" s="14">
        <v>350</v>
      </c>
    </row>
    <row r="5" spans="1:11" x14ac:dyDescent="0.2">
      <c r="A5" s="14" t="s">
        <v>16</v>
      </c>
      <c r="B5" s="14">
        <f>VLOOKUP($B$3,'Data for Bill Impacts'!$A$3:$Y$15,5,0)</f>
        <v>0</v>
      </c>
    </row>
    <row r="6" spans="1:11" x14ac:dyDescent="0.2">
      <c r="A6" s="14" t="s">
        <v>20</v>
      </c>
      <c r="B6" s="14">
        <f>VLOOKUP($B$3,'Data for Bill Impacts'!$A$3:$Y$15,2,0)</f>
        <v>1.0569999999999999</v>
      </c>
    </row>
    <row r="7" spans="1:11" x14ac:dyDescent="0.2">
      <c r="A7" s="14" t="s">
        <v>15</v>
      </c>
      <c r="B7" s="14">
        <f>VLOOKUP($B$3,'Data for Bill Impacts'!$A$3:$Y$15,4,0)</f>
        <v>600</v>
      </c>
    </row>
    <row r="8" spans="1:11" x14ac:dyDescent="0.2">
      <c r="A8" s="14" t="s">
        <v>82</v>
      </c>
      <c r="B8" s="149">
        <f>B4*B6</f>
        <v>369.95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350</v>
      </c>
      <c r="C12" s="102">
        <v>0.10299999999999999</v>
      </c>
      <c r="D12" s="103">
        <f>B12*C12</f>
        <v>36.049999999999997</v>
      </c>
      <c r="E12" s="101">
        <f>B12</f>
        <v>350</v>
      </c>
      <c r="F12" s="102">
        <f>C12</f>
        <v>0.10299999999999999</v>
      </c>
      <c r="G12" s="103">
        <f>E12*F12</f>
        <v>36.049999999999997</v>
      </c>
      <c r="H12" s="103">
        <f>G12-D12</f>
        <v>0</v>
      </c>
      <c r="I12" s="104">
        <f>IF(ISERROR(H12/D12),0,(H12/D12))</f>
        <v>0</v>
      </c>
      <c r="J12" s="104">
        <f>G12/$G$46</f>
        <v>0.40684216889851199</v>
      </c>
      <c r="K12" s="105"/>
    </row>
    <row r="13" spans="1:11" x14ac:dyDescent="0.2">
      <c r="A13" s="106" t="s">
        <v>32</v>
      </c>
      <c r="B13" s="72">
        <f>IF(B4&gt;B7,(B4)-B7,0)</f>
        <v>0</v>
      </c>
      <c r="C13" s="20">
        <v>0.121</v>
      </c>
      <c r="D13" s="21">
        <f>B13*C13</f>
        <v>0</v>
      </c>
      <c r="E13" s="72">
        <f t="shared" ref="E13:E41"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36.049999999999997</v>
      </c>
      <c r="E14" s="75"/>
      <c r="F14" s="24"/>
      <c r="G14" s="24">
        <f>SUM(G12:G13)</f>
        <v>36.049999999999997</v>
      </c>
      <c r="H14" s="24">
        <f t="shared" si="1"/>
        <v>0</v>
      </c>
      <c r="I14" s="26">
        <f t="shared" si="2"/>
        <v>0</v>
      </c>
      <c r="J14" s="26">
        <f>G14/$G$46</f>
        <v>0.40684216889851199</v>
      </c>
      <c r="K14" s="107"/>
    </row>
    <row r="15" spans="1:11" s="1" customFormat="1" x14ac:dyDescent="0.2">
      <c r="A15" s="108" t="s">
        <v>34</v>
      </c>
      <c r="B15" s="74">
        <f>B4*0.65</f>
        <v>227.5</v>
      </c>
      <c r="C15" s="27">
        <v>8.6999999999999994E-2</v>
      </c>
      <c r="D15" s="21">
        <f>B15*C15</f>
        <v>19.792499999999997</v>
      </c>
      <c r="E15" s="72">
        <f t="shared" ref="E15:F17" si="3">B15</f>
        <v>227.5</v>
      </c>
      <c r="F15" s="27">
        <f t="shared" si="3"/>
        <v>8.6999999999999994E-2</v>
      </c>
      <c r="G15" s="21">
        <f>E15*F15</f>
        <v>19.792499999999997</v>
      </c>
      <c r="H15" s="21">
        <f t="shared" si="1"/>
        <v>0</v>
      </c>
      <c r="I15" s="22">
        <f t="shared" si="2"/>
        <v>0</v>
      </c>
      <c r="J15" s="22"/>
      <c r="K15" s="107">
        <f t="shared" ref="K15:K23" si="4">G15/$G$51</f>
        <v>0.21544410679533516</v>
      </c>
    </row>
    <row r="16" spans="1:11" s="1" customFormat="1" x14ac:dyDescent="0.2">
      <c r="A16" s="108" t="s">
        <v>35</v>
      </c>
      <c r="B16" s="74">
        <f>B4*0.17</f>
        <v>59.500000000000007</v>
      </c>
      <c r="C16" s="27">
        <v>0.13200000000000001</v>
      </c>
      <c r="D16" s="21">
        <f>B16*C16</f>
        <v>7.854000000000001</v>
      </c>
      <c r="E16" s="72">
        <f t="shared" si="3"/>
        <v>59.500000000000007</v>
      </c>
      <c r="F16" s="27">
        <f t="shared" si="3"/>
        <v>0.13200000000000001</v>
      </c>
      <c r="G16" s="21">
        <f>E16*F16</f>
        <v>7.854000000000001</v>
      </c>
      <c r="H16" s="21">
        <f t="shared" si="1"/>
        <v>0</v>
      </c>
      <c r="I16" s="22">
        <f t="shared" si="2"/>
        <v>0</v>
      </c>
      <c r="J16" s="22"/>
      <c r="K16" s="107">
        <f t="shared" si="4"/>
        <v>8.5491878982976527E-2</v>
      </c>
    </row>
    <row r="17" spans="1:11" s="1" customFormat="1" x14ac:dyDescent="0.2">
      <c r="A17" s="108" t="s">
        <v>36</v>
      </c>
      <c r="B17" s="74">
        <f>B4*0.18</f>
        <v>63</v>
      </c>
      <c r="C17" s="27">
        <v>0.18</v>
      </c>
      <c r="D17" s="21">
        <f>B17*C17</f>
        <v>11.34</v>
      </c>
      <c r="E17" s="72">
        <f t="shared" si="3"/>
        <v>63</v>
      </c>
      <c r="F17" s="27">
        <f t="shared" si="3"/>
        <v>0.18</v>
      </c>
      <c r="G17" s="21">
        <f>E17*F17</f>
        <v>11.34</v>
      </c>
      <c r="H17" s="21">
        <f t="shared" si="1"/>
        <v>0</v>
      </c>
      <c r="I17" s="22">
        <f t="shared" si="2"/>
        <v>0</v>
      </c>
      <c r="J17" s="22"/>
      <c r="K17" s="107">
        <f t="shared" si="4"/>
        <v>0.1234374723283618</v>
      </c>
    </row>
    <row r="18" spans="1:11" s="1" customFormat="1" x14ac:dyDescent="0.2">
      <c r="A18" s="60" t="s">
        <v>37</v>
      </c>
      <c r="B18" s="28"/>
      <c r="C18" s="29"/>
      <c r="D18" s="29">
        <f>SUM(D15:D17)</f>
        <v>38.986499999999992</v>
      </c>
      <c r="E18" s="76"/>
      <c r="F18" s="29"/>
      <c r="G18" s="29">
        <f>SUM(G15:G17)</f>
        <v>38.986499999999992</v>
      </c>
      <c r="H18" s="30">
        <f t="shared" si="1"/>
        <v>0</v>
      </c>
      <c r="I18" s="31">
        <f t="shared" si="2"/>
        <v>0</v>
      </c>
      <c r="J18" s="32">
        <f t="shared" ref="J18:J23" si="5">G18/$G$46</f>
        <v>0.43998203100587613</v>
      </c>
      <c r="K18" s="61">
        <f t="shared" si="4"/>
        <v>0.42437345810667343</v>
      </c>
    </row>
    <row r="19" spans="1:11" x14ac:dyDescent="0.2">
      <c r="A19" s="106" t="s">
        <v>38</v>
      </c>
      <c r="B19" s="72">
        <v>1</v>
      </c>
      <c r="C19" s="121">
        <f>VLOOKUP($B$3,'Data for Bill Impacts'!$A$3:$Y$15,7,0)</f>
        <v>36.72</v>
      </c>
      <c r="D19" s="21">
        <f>B19*C19</f>
        <v>36.72</v>
      </c>
      <c r="E19" s="72">
        <f t="shared" si="0"/>
        <v>1</v>
      </c>
      <c r="F19" s="121">
        <f>VLOOKUP($B$3,'Data for Bill Impacts'!$A$3:$Y$15,17,0)</f>
        <v>37.47</v>
      </c>
      <c r="G19" s="21">
        <f>E19*F19</f>
        <v>37.47</v>
      </c>
      <c r="H19" s="21">
        <f t="shared" si="1"/>
        <v>0.75</v>
      </c>
      <c r="I19" s="22">
        <f t="shared" si="2"/>
        <v>2.042483660130719E-2</v>
      </c>
      <c r="J19" s="22">
        <f t="shared" si="5"/>
        <v>0.42286757471920233</v>
      </c>
      <c r="K19" s="107">
        <f t="shared" si="4"/>
        <v>0.4078661453389521</v>
      </c>
    </row>
    <row r="20" spans="1:11" hidden="1" x14ac:dyDescent="0.2">
      <c r="A20" s="106" t="s">
        <v>83</v>
      </c>
      <c r="B20" s="72">
        <v>1</v>
      </c>
      <c r="C20" s="77">
        <f>VLOOKUP($B$3,'Data for Bill Impacts'!$A$3:$Y$15,8,0)</f>
        <v>0</v>
      </c>
      <c r="D20" s="21">
        <f>B20*C20</f>
        <v>0</v>
      </c>
      <c r="E20" s="72">
        <f t="shared" si="0"/>
        <v>1</v>
      </c>
      <c r="F20" s="77">
        <v>0</v>
      </c>
      <c r="G20" s="21">
        <f t="shared" ref="G20:G22" si="6">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7">B21*C21</f>
        <v>0</v>
      </c>
      <c r="E21" s="72">
        <f t="shared" si="0"/>
        <v>1</v>
      </c>
      <c r="F21" s="121">
        <f>VLOOKUP($B$3,'Data for Bill Impacts'!$A$3:$Y$15,12,0)</f>
        <v>0</v>
      </c>
      <c r="G21" s="21">
        <f t="shared" si="6"/>
        <v>0</v>
      </c>
      <c r="H21" s="21">
        <f t="shared" ref="H21:H22" si="8">G21-D21</f>
        <v>0</v>
      </c>
      <c r="I21" s="22">
        <f t="shared" ref="I21:I22" si="9">IF(ISERROR(H21/D21),0,(H21/D21))</f>
        <v>0</v>
      </c>
      <c r="J21" s="22">
        <f t="shared" si="5"/>
        <v>0</v>
      </c>
      <c r="K21" s="107">
        <f t="shared" si="4"/>
        <v>0</v>
      </c>
    </row>
    <row r="22" spans="1:11" x14ac:dyDescent="0.2">
      <c r="A22" s="106" t="s">
        <v>85</v>
      </c>
      <c r="B22" s="72">
        <v>1</v>
      </c>
      <c r="C22" s="77">
        <f>VLOOKUP($B$3,'Data for Bill Impacts'!$A$3:$Y$15,13,0)</f>
        <v>0.01</v>
      </c>
      <c r="D22" s="21">
        <f t="shared" si="7"/>
        <v>0.01</v>
      </c>
      <c r="E22" s="72">
        <f t="shared" si="0"/>
        <v>1</v>
      </c>
      <c r="F22" s="121">
        <f>VLOOKUP($B$3,'Data for Bill Impacts'!$A$3:$Y$15,22,0)</f>
        <v>0.01</v>
      </c>
      <c r="G22" s="21">
        <f t="shared" si="6"/>
        <v>0.01</v>
      </c>
      <c r="H22" s="21">
        <f t="shared" si="8"/>
        <v>0</v>
      </c>
      <c r="I22" s="22">
        <f t="shared" si="9"/>
        <v>0</v>
      </c>
      <c r="J22" s="22">
        <f t="shared" si="5"/>
        <v>1.1285497056824189E-4</v>
      </c>
      <c r="K22" s="107">
        <f t="shared" si="4"/>
        <v>1.0885138653294693E-4</v>
      </c>
    </row>
    <row r="23" spans="1:11" x14ac:dyDescent="0.2">
      <c r="A23" s="106" t="s">
        <v>39</v>
      </c>
      <c r="B23" s="72">
        <f>IF($B$9="kWh",$B$4,$B$5)</f>
        <v>350</v>
      </c>
      <c r="C23" s="77">
        <f>VLOOKUP($B$3,'Data for Bill Impacts'!$A$3:$Y$15,10,0)</f>
        <v>0</v>
      </c>
      <c r="D23" s="21">
        <f>B23*C23</f>
        <v>0</v>
      </c>
      <c r="E23" s="72">
        <f t="shared" si="0"/>
        <v>350</v>
      </c>
      <c r="F23" s="125">
        <f>VLOOKUP($B$3,'Data for Bill Impacts'!$A$3:$Y$15,19,0)</f>
        <v>0</v>
      </c>
      <c r="G23" s="21">
        <f>E23*F23</f>
        <v>0</v>
      </c>
      <c r="H23" s="21">
        <f t="shared" si="1"/>
        <v>0</v>
      </c>
      <c r="I23" s="22">
        <f t="shared" si="2"/>
        <v>0</v>
      </c>
      <c r="J23" s="22">
        <f t="shared" si="5"/>
        <v>0</v>
      </c>
      <c r="K23" s="107">
        <f t="shared" si="4"/>
        <v>0</v>
      </c>
    </row>
    <row r="24" spans="1:11" x14ac:dyDescent="0.2">
      <c r="A24" s="106" t="s">
        <v>129</v>
      </c>
      <c r="B24" s="72">
        <f>IF($B$9="kWh",$B$4,$B$5)</f>
        <v>350</v>
      </c>
      <c r="C24" s="125">
        <f>VLOOKUP($B$3,'Data for Bill Impacts'!$A$3:$Y$15,14,0)</f>
        <v>2.0000000000000001E-4</v>
      </c>
      <c r="D24" s="21">
        <f>B24*C24</f>
        <v>7.0000000000000007E-2</v>
      </c>
      <c r="E24" s="72">
        <f t="shared" si="0"/>
        <v>350</v>
      </c>
      <c r="F24" s="125">
        <f>VLOOKUP($B$3,'Data for Bill Impacts'!$A$3:$Y$15,23,0)</f>
        <v>2.0000000000000001E-4</v>
      </c>
      <c r="G24" s="21">
        <f>E24*F24</f>
        <v>7.0000000000000007E-2</v>
      </c>
      <c r="H24" s="21">
        <f t="shared" ref="H24" si="10">G24-D24</f>
        <v>0</v>
      </c>
      <c r="I24" s="22">
        <f>IF(ISERROR(H24/D24),0,(H24/D24))</f>
        <v>0</v>
      </c>
      <c r="J24" s="22">
        <f t="shared" ref="J24" si="11">G24/$G$46</f>
        <v>7.8998479397769325E-4</v>
      </c>
      <c r="K24" s="107">
        <f t="shared" ref="K24" si="12">G24/$G$51</f>
        <v>7.6195970573062855E-4</v>
      </c>
    </row>
    <row r="25" spans="1:11" s="1" customFormat="1" x14ac:dyDescent="0.2">
      <c r="A25" s="109" t="s">
        <v>72</v>
      </c>
      <c r="B25" s="73"/>
      <c r="C25" s="34"/>
      <c r="D25" s="34">
        <f>SUM(D19:D24)</f>
        <v>36.799999999999997</v>
      </c>
      <c r="E25" s="72"/>
      <c r="F25" s="34"/>
      <c r="G25" s="34">
        <f>SUM(G19:G24)</f>
        <v>37.549999999999997</v>
      </c>
      <c r="H25" s="34">
        <f t="shared" si="1"/>
        <v>0.75</v>
      </c>
      <c r="I25" s="35">
        <f t="shared" si="2"/>
        <v>2.0380434782608696E-2</v>
      </c>
      <c r="J25" s="35">
        <f>G25/$G$46</f>
        <v>0.42377041448374825</v>
      </c>
      <c r="K25" s="110">
        <f>G25/$G$51</f>
        <v>0.40873695643121566</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8.9155426748911103E-3</v>
      </c>
      <c r="K26" s="107">
        <f>G26/$G$51</f>
        <v>8.5992595361028077E-3</v>
      </c>
    </row>
    <row r="27" spans="1:11" s="1" customFormat="1" x14ac:dyDescent="0.2">
      <c r="A27" s="118" t="s">
        <v>75</v>
      </c>
      <c r="B27" s="119">
        <f>B8-B4</f>
        <v>19.949999999999989</v>
      </c>
      <c r="C27" s="120">
        <f>IF(B4&gt;B7,C13,C12)</f>
        <v>0.10299999999999999</v>
      </c>
      <c r="D27" s="21">
        <f>B27*C27</f>
        <v>2.0548499999999987</v>
      </c>
      <c r="E27" s="72">
        <f>B27</f>
        <v>19.949999999999989</v>
      </c>
      <c r="F27" s="120">
        <f>C27</f>
        <v>0.10299999999999999</v>
      </c>
      <c r="G27" s="21">
        <f>E27*F27</f>
        <v>2.0548499999999987</v>
      </c>
      <c r="H27" s="21">
        <f t="shared" ref="H27:H29" si="13">G27-D27</f>
        <v>0</v>
      </c>
      <c r="I27" s="22">
        <f>IF(ISERROR(H27/D27),0,(H27/D27))</f>
        <v>0</v>
      </c>
      <c r="J27" s="22">
        <f t="shared" ref="J27:J29" si="14">G27/$G$46</f>
        <v>2.3190003627215169E-2</v>
      </c>
      <c r="K27" s="107">
        <f t="shared" ref="K27:K29" si="15">G27/$G$51</f>
        <v>2.2367327161722586E-2</v>
      </c>
    </row>
    <row r="28" spans="1:11" s="1" customFormat="1" x14ac:dyDescent="0.2">
      <c r="A28" s="118" t="s">
        <v>74</v>
      </c>
      <c r="B28" s="119">
        <f>B8-B4</f>
        <v>19.949999999999989</v>
      </c>
      <c r="C28" s="120">
        <f>0.65*C15+0.17*C16+0.18*C17</f>
        <v>0.11139</v>
      </c>
      <c r="D28" s="21">
        <f>B28*C28</f>
        <v>2.2222304999999989</v>
      </c>
      <c r="E28" s="72">
        <f>B28</f>
        <v>19.949999999999989</v>
      </c>
      <c r="F28" s="120">
        <f>C28</f>
        <v>0.11139</v>
      </c>
      <c r="G28" s="21">
        <f>E28*F28</f>
        <v>2.2222304999999989</v>
      </c>
      <c r="H28" s="21">
        <f t="shared" ref="H28" si="16">G28-D28</f>
        <v>0</v>
      </c>
      <c r="I28" s="22">
        <f>IF(ISERROR(H28/D28),0,(H28/D28))</f>
        <v>0</v>
      </c>
      <c r="J28" s="22">
        <f t="shared" ref="J28" si="17">G28/$G$46</f>
        <v>2.5078975767334932E-2</v>
      </c>
      <c r="K28" s="107">
        <f t="shared" ref="K28" si="18">G28/$G$51</f>
        <v>2.418928711208038E-2</v>
      </c>
    </row>
    <row r="29" spans="1:11" s="1" customFormat="1" x14ac:dyDescent="0.2">
      <c r="A29" s="109" t="s">
        <v>78</v>
      </c>
      <c r="B29" s="73"/>
      <c r="C29" s="34"/>
      <c r="D29" s="34">
        <f>SUM(D25,D26:D27)</f>
        <v>39.644849999999998</v>
      </c>
      <c r="E29" s="72"/>
      <c r="F29" s="34"/>
      <c r="G29" s="34">
        <f>SUM(G25,G26:G27)</f>
        <v>40.394849999999998</v>
      </c>
      <c r="H29" s="34">
        <f t="shared" si="13"/>
        <v>0.75</v>
      </c>
      <c r="I29" s="35">
        <f>IF(ISERROR(H29/D29),0,(H29/D29))</f>
        <v>1.8917967907559244E-2</v>
      </c>
      <c r="J29" s="35">
        <f t="shared" si="14"/>
        <v>0.45587596078585457</v>
      </c>
      <c r="K29" s="110">
        <f t="shared" si="15"/>
        <v>0.43970354312904109</v>
      </c>
    </row>
    <row r="30" spans="1:11" s="1" customFormat="1" x14ac:dyDescent="0.2">
      <c r="A30" s="109" t="s">
        <v>77</v>
      </c>
      <c r="B30" s="73"/>
      <c r="C30" s="34"/>
      <c r="D30" s="34">
        <f>SUM(D25,D26,D28)</f>
        <v>39.812230499999998</v>
      </c>
      <c r="E30" s="72"/>
      <c r="F30" s="34"/>
      <c r="G30" s="34">
        <f>SUM(G25,G26,G28)</f>
        <v>40.562230499999998</v>
      </c>
      <c r="H30" s="34">
        <f t="shared" ref="H30" si="19">G30-D30</f>
        <v>0.75</v>
      </c>
      <c r="I30" s="35">
        <f>IF(ISERROR(H30/D30),0,(H30/D30))</f>
        <v>1.883843207428431E-2</v>
      </c>
      <c r="J30" s="35">
        <f t="shared" ref="J30" si="20">G30/$G$46</f>
        <v>0.45776493292597431</v>
      </c>
      <c r="K30" s="110">
        <f t="shared" ref="K30" si="21">G30/$G$51</f>
        <v>0.44152550307939886</v>
      </c>
    </row>
    <row r="31" spans="1:11" x14ac:dyDescent="0.2">
      <c r="A31" s="106" t="s">
        <v>40</v>
      </c>
      <c r="B31" s="72">
        <f>B8</f>
        <v>369.95</v>
      </c>
      <c r="C31" s="125">
        <f>VLOOKUP($B$3,'Data for Bill Impacts'!$A$3:$Y$15,15,0)</f>
        <v>7.7000000000000002E-3</v>
      </c>
      <c r="D31" s="21">
        <f>B31*C31</f>
        <v>2.8486150000000001</v>
      </c>
      <c r="E31" s="72">
        <f t="shared" si="0"/>
        <v>369.95</v>
      </c>
      <c r="F31" s="77">
        <f>VLOOKUP($B$3,'Data for Bill Impacts'!$A$3:$Y$15,24,0)</f>
        <v>7.7000000000000002E-3</v>
      </c>
      <c r="G31" s="21">
        <f>E31*F31</f>
        <v>2.8486150000000001</v>
      </c>
      <c r="H31" s="21">
        <f t="shared" si="1"/>
        <v>0</v>
      </c>
      <c r="I31" s="22">
        <f t="shared" si="2"/>
        <v>0</v>
      </c>
      <c r="J31" s="22">
        <f t="shared" ref="J31:J46" si="22">G31/$G$46</f>
        <v>3.2148036198525236E-2</v>
      </c>
      <c r="K31" s="107">
        <f t="shared" ref="K31:K41" si="23">G31/$G$51</f>
        <v>3.1007569244855062E-2</v>
      </c>
    </row>
    <row r="32" spans="1:11" x14ac:dyDescent="0.2">
      <c r="A32" s="106" t="s">
        <v>41</v>
      </c>
      <c r="B32" s="72">
        <f>B8</f>
        <v>369.95</v>
      </c>
      <c r="C32" s="125">
        <f>VLOOKUP($B$3,'Data for Bill Impacts'!$A$3:$Y$15,16,0)</f>
        <v>6.3E-3</v>
      </c>
      <c r="D32" s="21">
        <f>B32*C32</f>
        <v>2.3306849999999999</v>
      </c>
      <c r="E32" s="72">
        <f t="shared" si="0"/>
        <v>369.95</v>
      </c>
      <c r="F32" s="77">
        <f>VLOOKUP($B$3,'Data for Bill Impacts'!$A$3:$Y$15,25,0)</f>
        <v>6.3E-3</v>
      </c>
      <c r="G32" s="21">
        <f>E32*F32</f>
        <v>2.3306849999999999</v>
      </c>
      <c r="H32" s="21">
        <f t="shared" si="1"/>
        <v>0</v>
      </c>
      <c r="I32" s="22">
        <f t="shared" si="2"/>
        <v>0</v>
      </c>
      <c r="J32" s="22">
        <f t="shared" si="22"/>
        <v>2.6302938707884284E-2</v>
      </c>
      <c r="K32" s="107">
        <f t="shared" si="23"/>
        <v>2.5369829382154138E-2</v>
      </c>
    </row>
    <row r="33" spans="1:11" s="1" customFormat="1" x14ac:dyDescent="0.2">
      <c r="A33" s="109" t="s">
        <v>76</v>
      </c>
      <c r="B33" s="73"/>
      <c r="C33" s="34"/>
      <c r="D33" s="34">
        <f>SUM(D31:D32)</f>
        <v>5.1792999999999996</v>
      </c>
      <c r="E33" s="72"/>
      <c r="F33" s="34"/>
      <c r="G33" s="34">
        <f>SUM(G31:G32)</f>
        <v>5.1792999999999996</v>
      </c>
      <c r="H33" s="34">
        <f t="shared" si="1"/>
        <v>0</v>
      </c>
      <c r="I33" s="35">
        <f t="shared" si="2"/>
        <v>0</v>
      </c>
      <c r="J33" s="35">
        <f t="shared" si="22"/>
        <v>5.845097490640952E-2</v>
      </c>
      <c r="K33" s="110">
        <f t="shared" si="23"/>
        <v>5.6377398627009197E-2</v>
      </c>
    </row>
    <row r="34" spans="1:11" s="1" customFormat="1" x14ac:dyDescent="0.2">
      <c r="A34" s="109" t="s">
        <v>93</v>
      </c>
      <c r="B34" s="73"/>
      <c r="C34" s="34"/>
      <c r="D34" s="34">
        <f>D29+D33</f>
        <v>44.824149999999996</v>
      </c>
      <c r="E34" s="72"/>
      <c r="F34" s="34"/>
      <c r="G34" s="34">
        <f>G29+G33</f>
        <v>45.574149999999996</v>
      </c>
      <c r="H34" s="34">
        <f t="shared" si="1"/>
        <v>0.75</v>
      </c>
      <c r="I34" s="35">
        <f t="shared" si="2"/>
        <v>1.6732051806894275E-2</v>
      </c>
      <c r="J34" s="35">
        <f t="shared" si="22"/>
        <v>0.51432693569226406</v>
      </c>
      <c r="K34" s="110">
        <f t="shared" si="23"/>
        <v>0.49608094175605028</v>
      </c>
    </row>
    <row r="35" spans="1:11" s="1" customFormat="1" x14ac:dyDescent="0.2">
      <c r="A35" s="109" t="s">
        <v>94</v>
      </c>
      <c r="B35" s="73"/>
      <c r="C35" s="34"/>
      <c r="D35" s="34">
        <f>D30+D33</f>
        <v>44.991530499999996</v>
      </c>
      <c r="E35" s="72"/>
      <c r="F35" s="34"/>
      <c r="G35" s="34">
        <f>G30+G33</f>
        <v>45.741530499999996</v>
      </c>
      <c r="H35" s="34">
        <f t="shared" ref="H35" si="24">G35-D35</f>
        <v>0.75</v>
      </c>
      <c r="I35" s="35">
        <f t="shared" ref="I35" si="25">IF(ISERROR(H35/D35),0,(H35/D35))</f>
        <v>1.6669804109020032E-2</v>
      </c>
      <c r="J35" s="35">
        <f t="shared" ref="J35" si="26">G35/$G$46</f>
        <v>0.5162159078323838</v>
      </c>
      <c r="K35" s="110">
        <f t="shared" ref="K35" si="27">G35/$G$51</f>
        <v>0.49790290170640805</v>
      </c>
    </row>
    <row r="36" spans="1:11" x14ac:dyDescent="0.2">
      <c r="A36" s="106" t="s">
        <v>42</v>
      </c>
      <c r="B36" s="72">
        <f>B8</f>
        <v>369.95</v>
      </c>
      <c r="C36" s="33">
        <v>3.5999999999999999E-3</v>
      </c>
      <c r="D36" s="21">
        <f>B36*C36</f>
        <v>1.33182</v>
      </c>
      <c r="E36" s="72">
        <f t="shared" si="0"/>
        <v>369.95</v>
      </c>
      <c r="F36" s="33">
        <v>3.5999999999999999E-3</v>
      </c>
      <c r="G36" s="21">
        <f>E36*F36</f>
        <v>1.33182</v>
      </c>
      <c r="H36" s="21">
        <f t="shared" si="1"/>
        <v>0</v>
      </c>
      <c r="I36" s="22">
        <f t="shared" si="2"/>
        <v>0</v>
      </c>
      <c r="J36" s="22">
        <f t="shared" si="22"/>
        <v>1.5030250690219592E-2</v>
      </c>
      <c r="K36" s="107">
        <f t="shared" si="23"/>
        <v>1.4497045361230938E-2</v>
      </c>
    </row>
    <row r="37" spans="1:11" x14ac:dyDescent="0.2">
      <c r="A37" s="106" t="s">
        <v>43</v>
      </c>
      <c r="B37" s="72">
        <f>B8</f>
        <v>369.95</v>
      </c>
      <c r="C37" s="33">
        <v>2.0999999999999999E-3</v>
      </c>
      <c r="D37" s="21">
        <f>B37*C37</f>
        <v>0.77689499999999989</v>
      </c>
      <c r="E37" s="72">
        <f t="shared" si="0"/>
        <v>369.95</v>
      </c>
      <c r="F37" s="33">
        <v>2.0999999999999999E-3</v>
      </c>
      <c r="G37" s="21">
        <f>E37*F37</f>
        <v>0.77689499999999989</v>
      </c>
      <c r="H37" s="21">
        <f>G37-D37</f>
        <v>0</v>
      </c>
      <c r="I37" s="22">
        <f t="shared" si="2"/>
        <v>0</v>
      </c>
      <c r="J37" s="22">
        <f t="shared" si="22"/>
        <v>8.7676462359614262E-3</v>
      </c>
      <c r="K37" s="107">
        <f t="shared" si="23"/>
        <v>8.4566097940513788E-3</v>
      </c>
    </row>
    <row r="38" spans="1:11" x14ac:dyDescent="0.2">
      <c r="A38" s="106" t="s">
        <v>99</v>
      </c>
      <c r="B38" s="72">
        <f>B8</f>
        <v>369.95</v>
      </c>
      <c r="C38" s="33">
        <v>1.1000000000000001E-3</v>
      </c>
      <c r="D38" s="21">
        <f>B38*C38</f>
        <v>0.406945</v>
      </c>
      <c r="E38" s="72">
        <f t="shared" si="0"/>
        <v>369.95</v>
      </c>
      <c r="F38" s="33">
        <v>1.1000000000000001E-3</v>
      </c>
      <c r="G38" s="21">
        <f>E38*F38</f>
        <v>0.406945</v>
      </c>
      <c r="H38" s="21">
        <f>G38-D38</f>
        <v>0</v>
      </c>
      <c r="I38" s="22">
        <f t="shared" ref="I38" si="28">IF(ISERROR(H38/D38),0,(H38/D38))</f>
        <v>0</v>
      </c>
      <c r="J38" s="22">
        <f t="shared" ref="J38" si="29">G38/$G$46</f>
        <v>4.5925765997893199E-3</v>
      </c>
      <c r="K38" s="107">
        <f t="shared" ref="K38" si="30">G38/$G$51</f>
        <v>4.4296527492650086E-3</v>
      </c>
    </row>
    <row r="39" spans="1:11" x14ac:dyDescent="0.2">
      <c r="A39" s="106" t="s">
        <v>44</v>
      </c>
      <c r="B39" s="72">
        <v>1</v>
      </c>
      <c r="C39" s="21">
        <v>0.25</v>
      </c>
      <c r="D39" s="21">
        <f>B39*C39</f>
        <v>0.25</v>
      </c>
      <c r="E39" s="72">
        <f t="shared" si="0"/>
        <v>1</v>
      </c>
      <c r="F39" s="21">
        <f>C39</f>
        <v>0.25</v>
      </c>
      <c r="G39" s="21">
        <f>E39*F39</f>
        <v>0.25</v>
      </c>
      <c r="H39" s="21">
        <f t="shared" si="1"/>
        <v>0</v>
      </c>
      <c r="I39" s="22">
        <f t="shared" si="2"/>
        <v>0</v>
      </c>
      <c r="J39" s="22">
        <f t="shared" si="22"/>
        <v>2.821374264206047E-3</v>
      </c>
      <c r="K39" s="107">
        <f t="shared" si="23"/>
        <v>2.7212846633236729E-3</v>
      </c>
    </row>
    <row r="40" spans="1:11" s="1" customFormat="1" x14ac:dyDescent="0.2">
      <c r="A40" s="109" t="s">
        <v>45</v>
      </c>
      <c r="B40" s="73"/>
      <c r="C40" s="34"/>
      <c r="D40" s="34">
        <f>SUM(D36:D39)</f>
        <v>2.76566</v>
      </c>
      <c r="E40" s="72"/>
      <c r="F40" s="34"/>
      <c r="G40" s="34">
        <f>SUM(G36:G39)</f>
        <v>2.76566</v>
      </c>
      <c r="H40" s="34">
        <f t="shared" si="1"/>
        <v>0</v>
      </c>
      <c r="I40" s="35">
        <f t="shared" si="2"/>
        <v>0</v>
      </c>
      <c r="J40" s="35">
        <f t="shared" si="22"/>
        <v>3.1211847790176387E-2</v>
      </c>
      <c r="K40" s="110">
        <f t="shared" si="23"/>
        <v>3.0104592567871E-2</v>
      </c>
    </row>
    <row r="41" spans="1:11" s="1" customFormat="1" ht="13.5" thickBot="1" x14ac:dyDescent="0.25">
      <c r="A41" s="111" t="s">
        <v>46</v>
      </c>
      <c r="B41" s="112">
        <f>B4</f>
        <v>350</v>
      </c>
      <c r="C41" s="113">
        <v>0</v>
      </c>
      <c r="D41" s="114">
        <f>B41*C41</f>
        <v>0</v>
      </c>
      <c r="E41" s="115">
        <f t="shared" si="0"/>
        <v>350</v>
      </c>
      <c r="F41" s="113">
        <f>C41</f>
        <v>0</v>
      </c>
      <c r="G41" s="114">
        <f>E41*F41</f>
        <v>0</v>
      </c>
      <c r="H41" s="114">
        <f t="shared" si="1"/>
        <v>0</v>
      </c>
      <c r="I41" s="116">
        <f t="shared" si="2"/>
        <v>0</v>
      </c>
      <c r="J41" s="116">
        <f t="shared" si="22"/>
        <v>0</v>
      </c>
      <c r="K41" s="117">
        <f t="shared" si="23"/>
        <v>0</v>
      </c>
    </row>
    <row r="42" spans="1:11" s="1" customFormat="1" x14ac:dyDescent="0.2">
      <c r="A42" s="36" t="s">
        <v>107</v>
      </c>
      <c r="B42" s="37"/>
      <c r="C42" s="38"/>
      <c r="D42" s="38">
        <f>SUM(D14,D25,D26,D27,D33,D40,D41)</f>
        <v>83.639809999999997</v>
      </c>
      <c r="E42" s="37"/>
      <c r="F42" s="38"/>
      <c r="G42" s="38">
        <f>SUM(G14,G25,G26,G27,G33,G40,G41)</f>
        <v>84.389809999999997</v>
      </c>
      <c r="H42" s="38">
        <f t="shared" si="1"/>
        <v>0.75</v>
      </c>
      <c r="I42" s="39">
        <f>IF(ISERROR(H42/D42),0,(H42/D42))</f>
        <v>8.9670218045689015E-3</v>
      </c>
      <c r="J42" s="39">
        <f t="shared" si="22"/>
        <v>0.95238095238095244</v>
      </c>
      <c r="K42" s="40"/>
    </row>
    <row r="43" spans="1:11" x14ac:dyDescent="0.2">
      <c r="A43" s="143" t="s">
        <v>108</v>
      </c>
      <c r="B43" s="42"/>
      <c r="C43" s="25">
        <v>0.13</v>
      </c>
      <c r="D43" s="25">
        <f>D42*C43</f>
        <v>10.8731753</v>
      </c>
      <c r="E43" s="25"/>
      <c r="F43" s="25">
        <f>C43</f>
        <v>0.13</v>
      </c>
      <c r="G43" s="25">
        <f>G42*F43</f>
        <v>10.9706753</v>
      </c>
      <c r="H43" s="25">
        <f t="shared" si="1"/>
        <v>9.7500000000000142E-2</v>
      </c>
      <c r="I43" s="43">
        <f t="shared" si="2"/>
        <v>8.9670218045689136E-3</v>
      </c>
      <c r="J43" s="43">
        <f t="shared" si="22"/>
        <v>0.12380952380952383</v>
      </c>
      <c r="K43" s="44"/>
    </row>
    <row r="44" spans="1:11" s="1" customFormat="1" x14ac:dyDescent="0.2">
      <c r="A44" s="45" t="s">
        <v>109</v>
      </c>
      <c r="B44" s="23"/>
      <c r="C44" s="24"/>
      <c r="D44" s="24">
        <f>SUM(D42:D43)</f>
        <v>94.512985299999997</v>
      </c>
      <c r="E44" s="24"/>
      <c r="F44" s="24"/>
      <c r="G44" s="24">
        <f>SUM(G42:G43)</f>
        <v>95.360485299999993</v>
      </c>
      <c r="H44" s="24">
        <f t="shared" si="1"/>
        <v>0.84749999999999659</v>
      </c>
      <c r="I44" s="26">
        <f t="shared" si="2"/>
        <v>8.967021804568865E-3</v>
      </c>
      <c r="J44" s="26">
        <f t="shared" si="22"/>
        <v>1.0761904761904761</v>
      </c>
      <c r="K44" s="46"/>
    </row>
    <row r="45" spans="1:11" x14ac:dyDescent="0.2">
      <c r="A45" s="41" t="s">
        <v>110</v>
      </c>
      <c r="B45" s="42"/>
      <c r="C45" s="25">
        <v>-0.08</v>
      </c>
      <c r="D45" s="25">
        <f>D42*C45</f>
        <v>-6.6911848000000003</v>
      </c>
      <c r="E45" s="25"/>
      <c r="F45" s="25">
        <f>C45</f>
        <v>-0.08</v>
      </c>
      <c r="G45" s="25">
        <f>G42*F45</f>
        <v>-6.7511847999999999</v>
      </c>
      <c r="H45" s="25">
        <f t="shared" si="1"/>
        <v>-5.9999999999999609E-2</v>
      </c>
      <c r="I45" s="43">
        <f t="shared" si="2"/>
        <v>8.9670218045688425E-3</v>
      </c>
      <c r="J45" s="43">
        <f t="shared" si="22"/>
        <v>-7.6190476190476197E-2</v>
      </c>
      <c r="K45" s="44"/>
    </row>
    <row r="46" spans="1:11" s="1" customFormat="1" ht="13.5" thickBot="1" x14ac:dyDescent="0.25">
      <c r="A46" s="47" t="s">
        <v>111</v>
      </c>
      <c r="B46" s="48"/>
      <c r="C46" s="49"/>
      <c r="D46" s="49">
        <f>SUM(D44:D45)</f>
        <v>87.821800499999995</v>
      </c>
      <c r="E46" s="49"/>
      <c r="F46" s="49"/>
      <c r="G46" s="49">
        <f>SUM(G44:G45)</f>
        <v>88.609300499999989</v>
      </c>
      <c r="H46" s="49">
        <f t="shared" si="1"/>
        <v>0.78749999999999432</v>
      </c>
      <c r="I46" s="50">
        <f t="shared" si="2"/>
        <v>8.9670218045688373E-3</v>
      </c>
      <c r="J46" s="50">
        <f t="shared" si="22"/>
        <v>1</v>
      </c>
      <c r="K46" s="51"/>
    </row>
    <row r="47" spans="1:11" x14ac:dyDescent="0.2">
      <c r="A47" s="52" t="s">
        <v>112</v>
      </c>
      <c r="B47" s="53"/>
      <c r="C47" s="54"/>
      <c r="D47" s="54">
        <f>SUM(D18,D25,D26,D28,D33,D40,D41)</f>
        <v>86.743690499999985</v>
      </c>
      <c r="E47" s="54"/>
      <c r="F47" s="54"/>
      <c r="G47" s="54">
        <f>SUM(G18,G25,G26,G28,G33,G40,G41)</f>
        <v>87.493690499999985</v>
      </c>
      <c r="H47" s="54">
        <f>G47-D47</f>
        <v>0.75</v>
      </c>
      <c r="I47" s="55">
        <f>IF(ISERROR(H47/D47),0,(H47/D47))</f>
        <v>8.6461619937648389E-3</v>
      </c>
      <c r="J47" s="55"/>
      <c r="K47" s="56">
        <f>G47/$G$51</f>
        <v>0.95238095238095244</v>
      </c>
    </row>
    <row r="48" spans="1:11" x14ac:dyDescent="0.2">
      <c r="A48" s="144" t="s">
        <v>108</v>
      </c>
      <c r="B48" s="58"/>
      <c r="C48" s="30">
        <v>0.13</v>
      </c>
      <c r="D48" s="30">
        <f>D47*C48</f>
        <v>11.276679764999999</v>
      </c>
      <c r="E48" s="30"/>
      <c r="F48" s="30">
        <f>C48</f>
        <v>0.13</v>
      </c>
      <c r="G48" s="30">
        <f>G47*F48</f>
        <v>11.374179764999999</v>
      </c>
      <c r="H48" s="30">
        <f>G48-D48</f>
        <v>9.7500000000000142E-2</v>
      </c>
      <c r="I48" s="31">
        <f>IF(ISERROR(H48/D48),0,(H48/D48))</f>
        <v>8.6461619937648511E-3</v>
      </c>
      <c r="J48" s="31"/>
      <c r="K48" s="59">
        <f>G48/$G$51</f>
        <v>0.12380952380952383</v>
      </c>
    </row>
    <row r="49" spans="1:11" x14ac:dyDescent="0.2">
      <c r="A49" s="60" t="s">
        <v>113</v>
      </c>
      <c r="B49" s="28"/>
      <c r="C49" s="29"/>
      <c r="D49" s="29">
        <f>SUM(D47:D48)</f>
        <v>98.020370264999983</v>
      </c>
      <c r="E49" s="29"/>
      <c r="F49" s="29"/>
      <c r="G49" s="29">
        <f>SUM(G47:G48)</f>
        <v>98.867870264999979</v>
      </c>
      <c r="H49" s="29">
        <f>G49-D49</f>
        <v>0.84749999999999659</v>
      </c>
      <c r="I49" s="32">
        <f>IF(ISERROR(H49/D49),0,(H49/D49))</f>
        <v>8.6461619937648043E-3</v>
      </c>
      <c r="J49" s="32"/>
      <c r="K49" s="61">
        <f>G49/$G$51</f>
        <v>1.0761904761904761</v>
      </c>
    </row>
    <row r="50" spans="1:11" x14ac:dyDescent="0.2">
      <c r="A50" s="57" t="s">
        <v>110</v>
      </c>
      <c r="B50" s="58"/>
      <c r="C50" s="30">
        <v>-0.08</v>
      </c>
      <c r="D50" s="30">
        <f>D47*C50</f>
        <v>-6.9394952399999994</v>
      </c>
      <c r="E50" s="30"/>
      <c r="F50" s="30">
        <f>C50</f>
        <v>-0.08</v>
      </c>
      <c r="G50" s="30">
        <f>G47*F50</f>
        <v>-6.999495239999999</v>
      </c>
      <c r="H50" s="30">
        <f>G50-D50</f>
        <v>-5.9999999999999609E-2</v>
      </c>
      <c r="I50" s="31">
        <f>IF(ISERROR(H50/D50),0,(H50/D50))</f>
        <v>8.6461619937647817E-3</v>
      </c>
      <c r="J50" s="31"/>
      <c r="K50" s="59">
        <f>G50/$G$51</f>
        <v>-7.6190476190476197E-2</v>
      </c>
    </row>
    <row r="51" spans="1:11" ht="13.5" thickBot="1" x14ac:dyDescent="0.25">
      <c r="A51" s="62" t="s">
        <v>114</v>
      </c>
      <c r="B51" s="63"/>
      <c r="C51" s="64"/>
      <c r="D51" s="64">
        <f>SUM(D49:D50)</f>
        <v>91.080875024999983</v>
      </c>
      <c r="E51" s="64"/>
      <c r="F51" s="64"/>
      <c r="G51" s="64">
        <f>SUM(G49:G50)</f>
        <v>91.868375024999978</v>
      </c>
      <c r="H51" s="64">
        <f>G51-D51</f>
        <v>0.78749999999999432</v>
      </c>
      <c r="I51" s="65">
        <f>IF(ISERROR(H51/D51),0,(H51/D51))</f>
        <v>8.6461619937647765E-3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1" tint="0.499984740745262"/>
    <pageSetUpPr fitToPage="1"/>
  </sheetPr>
  <dimension ref="A1:J54"/>
  <sheetViews>
    <sheetView tabSelected="1" topLeftCell="A22"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12</v>
      </c>
    </row>
    <row r="4" spans="1:10" x14ac:dyDescent="0.2">
      <c r="A4" s="14" t="s">
        <v>62</v>
      </c>
      <c r="B4" s="14">
        <v>100</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109.2</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100</v>
      </c>
      <c r="C12" s="102">
        <v>0.10299999999999999</v>
      </c>
      <c r="D12" s="103">
        <f>B12*C12</f>
        <v>10.299999999999999</v>
      </c>
      <c r="E12" s="101">
        <f>B12</f>
        <v>100</v>
      </c>
      <c r="F12" s="102">
        <f>C12</f>
        <v>0.10299999999999999</v>
      </c>
      <c r="G12" s="103">
        <f>E12*F12</f>
        <v>10.299999999999999</v>
      </c>
      <c r="H12" s="103">
        <f>G12-D12</f>
        <v>0</v>
      </c>
      <c r="I12" s="104">
        <f>IF(ISERROR(H12/D12),0,(H12/D12))</f>
        <v>0</v>
      </c>
      <c r="J12" s="123">
        <f t="shared" ref="J12:J30" si="0">G12/$G$39</f>
        <v>0.17681711949530968</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10.299999999999999</v>
      </c>
      <c r="E14" s="75"/>
      <c r="F14" s="24"/>
      <c r="G14" s="24">
        <f>SUM(G12:G13)</f>
        <v>10.299999999999999</v>
      </c>
      <c r="H14" s="24">
        <f t="shared" si="2"/>
        <v>0</v>
      </c>
      <c r="I14" s="26">
        <f t="shared" si="3"/>
        <v>0</v>
      </c>
      <c r="J14" s="46">
        <f t="shared" si="0"/>
        <v>0.17681711949530968</v>
      </c>
    </row>
    <row r="15" spans="1:10" x14ac:dyDescent="0.2">
      <c r="A15" s="106" t="s">
        <v>38</v>
      </c>
      <c r="B15" s="72">
        <v>1</v>
      </c>
      <c r="C15" s="77">
        <f>VLOOKUP($B$3,'Data for Bill Impacts'!$A$3:$Y$15,7,0)</f>
        <v>37.5</v>
      </c>
      <c r="D15" s="21">
        <f>B15*C15</f>
        <v>37.5</v>
      </c>
      <c r="E15" s="72">
        <f t="shared" ref="E15:E34" si="4">B15</f>
        <v>1</v>
      </c>
      <c r="F15" s="77">
        <f>VLOOKUP($B$3,'Data for Bill Impacts'!$A$3:$Y$15,17,0)</f>
        <v>38.49</v>
      </c>
      <c r="G15" s="21">
        <f>E15*F15</f>
        <v>38.49</v>
      </c>
      <c r="H15" s="21">
        <f t="shared" si="2"/>
        <v>0.99000000000000199</v>
      </c>
      <c r="I15" s="22">
        <f t="shared" si="3"/>
        <v>2.6400000000000052E-2</v>
      </c>
      <c r="J15" s="124">
        <f t="shared" si="0"/>
        <v>0.66074669217227877</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-0.01</v>
      </c>
      <c r="D18" s="21">
        <f t="shared" si="6"/>
        <v>-0.01</v>
      </c>
      <c r="E18" s="72">
        <f t="shared" si="4"/>
        <v>1</v>
      </c>
      <c r="F18" s="77">
        <f>VLOOKUP($B$3,'Data for Bill Impacts'!$A$3:$Y$15,22,0)</f>
        <v>-0.01</v>
      </c>
      <c r="G18" s="21">
        <f t="shared" si="5"/>
        <v>-0.01</v>
      </c>
      <c r="H18" s="21">
        <f t="shared" si="2"/>
        <v>0</v>
      </c>
      <c r="I18" s="22">
        <f t="shared" si="3"/>
        <v>0</v>
      </c>
      <c r="J18" s="124">
        <f t="shared" si="0"/>
        <v>-1.7166710630612592E-4</v>
      </c>
    </row>
    <row r="19" spans="1:10" x14ac:dyDescent="0.2">
      <c r="A19" s="106" t="s">
        <v>39</v>
      </c>
      <c r="B19" s="72">
        <f>IF($B$9="kWh",$B$4,$B$5)</f>
        <v>100</v>
      </c>
      <c r="C19" s="125">
        <f>VLOOKUP($B$3,'Data for Bill Impacts'!$A$3:$Y$15,10,0)</f>
        <v>3.04E-2</v>
      </c>
      <c r="D19" s="21">
        <f>B19*C19</f>
        <v>3.04</v>
      </c>
      <c r="E19" s="72">
        <f t="shared" si="4"/>
        <v>100</v>
      </c>
      <c r="F19" s="77">
        <f>VLOOKUP($B$3,'Data for Bill Impacts'!$A$3:$Y$15,19,0)</f>
        <v>3.1099999999999999E-2</v>
      </c>
      <c r="G19" s="21">
        <f>E19*F19</f>
        <v>3.11</v>
      </c>
      <c r="H19" s="21">
        <f t="shared" si="2"/>
        <v>6.999999999999984E-2</v>
      </c>
      <c r="I19" s="22">
        <f t="shared" si="3"/>
        <v>2.3026315789473631E-2</v>
      </c>
      <c r="J19" s="124">
        <f t="shared" si="0"/>
        <v>5.3388470061205159E-2</v>
      </c>
    </row>
    <row r="20" spans="1:10" s="1" customFormat="1" x14ac:dyDescent="0.2">
      <c r="A20" s="106" t="s">
        <v>129</v>
      </c>
      <c r="B20" s="72">
        <f>IF($B$9="kWh",$B$4,$B$5)</f>
        <v>100</v>
      </c>
      <c r="C20" s="125">
        <f>VLOOKUP($B$3,'Data for Bill Impacts'!$A$3:$Y$15,14,0)</f>
        <v>2.0000000000000001E-4</v>
      </c>
      <c r="D20" s="21">
        <f>B20*C20</f>
        <v>0.02</v>
      </c>
      <c r="E20" s="72">
        <f>B20</f>
        <v>100</v>
      </c>
      <c r="F20" s="77">
        <f>VLOOKUP($B$3,'Data for Bill Impacts'!$A$3:$Y$15,23,0)</f>
        <v>2.0000000000000001E-4</v>
      </c>
      <c r="G20" s="21">
        <f>E20*F20</f>
        <v>0.02</v>
      </c>
      <c r="H20" s="21">
        <f>G20-D20</f>
        <v>0</v>
      </c>
      <c r="I20" s="22">
        <f>IF(ISERROR(H20/D20),0,(H20/D20))</f>
        <v>0</v>
      </c>
      <c r="J20" s="124">
        <f t="shared" si="0"/>
        <v>3.4333421261225185E-4</v>
      </c>
    </row>
    <row r="21" spans="1:10" hidden="1" x14ac:dyDescent="0.2">
      <c r="A21" s="106" t="s">
        <v>86</v>
      </c>
      <c r="B21" s="72">
        <f>IF($B$9="kWh",$B$4,$B$5)</f>
        <v>100</v>
      </c>
      <c r="C21" s="125">
        <v>0</v>
      </c>
      <c r="D21" s="21">
        <f>B21*C21</f>
        <v>0</v>
      </c>
      <c r="E21" s="72">
        <f t="shared" si="4"/>
        <v>100</v>
      </c>
      <c r="F21" s="77">
        <v>0</v>
      </c>
      <c r="G21" s="21">
        <f>E21*F21</f>
        <v>0</v>
      </c>
      <c r="H21" s="21">
        <f t="shared" si="2"/>
        <v>0</v>
      </c>
      <c r="I21" s="22">
        <f>IF(ISERROR(H21/D21),0,(H21/D21))</f>
        <v>0</v>
      </c>
      <c r="J21" s="124">
        <f t="shared" si="0"/>
        <v>0</v>
      </c>
    </row>
    <row r="22" spans="1:10" x14ac:dyDescent="0.2">
      <c r="A22" s="109" t="s">
        <v>72</v>
      </c>
      <c r="B22" s="73"/>
      <c r="C22" s="34"/>
      <c r="D22" s="34">
        <f>SUM(D15:D21)</f>
        <v>40.550000000000004</v>
      </c>
      <c r="E22" s="72"/>
      <c r="F22" s="34"/>
      <c r="G22" s="34">
        <f>SUM(G15:G21)</f>
        <v>41.610000000000007</v>
      </c>
      <c r="H22" s="34">
        <f t="shared" si="2"/>
        <v>1.0600000000000023</v>
      </c>
      <c r="I22" s="35">
        <f t="shared" si="3"/>
        <v>2.6140567200986491E-2</v>
      </c>
      <c r="J22" s="110">
        <f t="shared" si="0"/>
        <v>0.71430682933979006</v>
      </c>
    </row>
    <row r="23" spans="1:10" s="1" customFormat="1" x14ac:dyDescent="0.2">
      <c r="A23" s="118" t="s">
        <v>81</v>
      </c>
      <c r="B23" s="119">
        <f>B8-B4</f>
        <v>9.2000000000000028</v>
      </c>
      <c r="C23" s="120">
        <f>IF(B4&gt;B7,C13,C12)</f>
        <v>0.10299999999999999</v>
      </c>
      <c r="D23" s="21">
        <f>B23*C23</f>
        <v>0.94760000000000022</v>
      </c>
      <c r="E23" s="72">
        <f>B23</f>
        <v>9.2000000000000028</v>
      </c>
      <c r="F23" s="120">
        <f>C23</f>
        <v>0.10299999999999999</v>
      </c>
      <c r="G23" s="21">
        <f>E23*F23</f>
        <v>0.94760000000000022</v>
      </c>
      <c r="H23" s="21">
        <f t="shared" si="2"/>
        <v>0</v>
      </c>
      <c r="I23" s="22">
        <f>IF(ISERROR(H23/D23),0,(H23/D23))</f>
        <v>0</v>
      </c>
      <c r="J23" s="124">
        <f t="shared" si="0"/>
        <v>1.6267174993568497E-2</v>
      </c>
    </row>
    <row r="24" spans="1:10" x14ac:dyDescent="0.2">
      <c r="A24" s="109" t="s">
        <v>79</v>
      </c>
      <c r="B24" s="73"/>
      <c r="C24" s="34"/>
      <c r="D24" s="34">
        <f>SUM(D22,D23:D23)</f>
        <v>41.497600000000006</v>
      </c>
      <c r="E24" s="72"/>
      <c r="F24" s="34"/>
      <c r="G24" s="34">
        <f>SUM(G22,G23:G23)</f>
        <v>42.557600000000008</v>
      </c>
      <c r="H24" s="34">
        <f t="shared" si="2"/>
        <v>1.0600000000000023</v>
      </c>
      <c r="I24" s="35">
        <f>IF(ISERROR(H24/D24),0,(H24/D24))</f>
        <v>2.5543645897594128E-2</v>
      </c>
      <c r="J24" s="110">
        <f t="shared" si="0"/>
        <v>0.73057400433335862</v>
      </c>
    </row>
    <row r="25" spans="1:10" x14ac:dyDescent="0.2">
      <c r="A25" s="106" t="s">
        <v>40</v>
      </c>
      <c r="B25" s="72">
        <f>B8</f>
        <v>109.2</v>
      </c>
      <c r="C25" s="125">
        <f>VLOOKUP($B$3,'Data for Bill Impacts'!$A$3:$Y$15,15,0)</f>
        <v>4.7000000000000002E-3</v>
      </c>
      <c r="D25" s="21">
        <f>B25*C25</f>
        <v>0.51324000000000003</v>
      </c>
      <c r="E25" s="72">
        <f t="shared" si="4"/>
        <v>109.2</v>
      </c>
      <c r="F25" s="77">
        <f>VLOOKUP($B$3,'Data for Bill Impacts'!$A$3:$Y$15,24,0)</f>
        <v>4.7000000000000002E-3</v>
      </c>
      <c r="G25" s="21">
        <f>E25*F25</f>
        <v>0.51324000000000003</v>
      </c>
      <c r="H25" s="21">
        <f t="shared" si="2"/>
        <v>0</v>
      </c>
      <c r="I25" s="22">
        <f t="shared" si="3"/>
        <v>0</v>
      </c>
      <c r="J25" s="124">
        <f t="shared" si="0"/>
        <v>8.8106425640556083E-3</v>
      </c>
    </row>
    <row r="26" spans="1:10" s="1" customFormat="1" x14ac:dyDescent="0.2">
      <c r="A26" s="106" t="s">
        <v>41</v>
      </c>
      <c r="B26" s="72">
        <f>B8</f>
        <v>109.2</v>
      </c>
      <c r="C26" s="125">
        <f>VLOOKUP($B$3,'Data for Bill Impacts'!$A$3:$Y$15,16,0)</f>
        <v>3.8E-3</v>
      </c>
      <c r="D26" s="21">
        <f>B26*C26</f>
        <v>0.41496</v>
      </c>
      <c r="E26" s="72">
        <f t="shared" si="4"/>
        <v>109.2</v>
      </c>
      <c r="F26" s="77">
        <f>VLOOKUP($B$3,'Data for Bill Impacts'!$A$3:$Y$15,25,0)</f>
        <v>3.8E-3</v>
      </c>
      <c r="G26" s="21">
        <f>E26*F26</f>
        <v>0.41496</v>
      </c>
      <c r="H26" s="21">
        <f t="shared" si="2"/>
        <v>0</v>
      </c>
      <c r="I26" s="22">
        <f t="shared" si="3"/>
        <v>0</v>
      </c>
      <c r="J26" s="124">
        <f t="shared" si="0"/>
        <v>7.1234982432790009E-3</v>
      </c>
    </row>
    <row r="27" spans="1:10" s="1" customFormat="1" x14ac:dyDescent="0.2">
      <c r="A27" s="109" t="s">
        <v>76</v>
      </c>
      <c r="B27" s="73"/>
      <c r="C27" s="34"/>
      <c r="D27" s="34">
        <f>SUM(D25:D26)</f>
        <v>0.92820000000000003</v>
      </c>
      <c r="E27" s="72"/>
      <c r="F27" s="34"/>
      <c r="G27" s="34">
        <f>SUM(G25:G26)</f>
        <v>0.92820000000000003</v>
      </c>
      <c r="H27" s="34">
        <f t="shared" si="2"/>
        <v>0</v>
      </c>
      <c r="I27" s="35">
        <f t="shared" si="3"/>
        <v>0</v>
      </c>
      <c r="J27" s="110">
        <f t="shared" si="0"/>
        <v>1.5934140807334608E-2</v>
      </c>
    </row>
    <row r="28" spans="1:10" s="1" customFormat="1" x14ac:dyDescent="0.2">
      <c r="A28" s="109" t="s">
        <v>80</v>
      </c>
      <c r="B28" s="73"/>
      <c r="C28" s="34"/>
      <c r="D28" s="34">
        <f>D24+D27</f>
        <v>42.425800000000002</v>
      </c>
      <c r="E28" s="72"/>
      <c r="F28" s="34"/>
      <c r="G28" s="34">
        <f>G24+G27</f>
        <v>43.485800000000005</v>
      </c>
      <c r="H28" s="34">
        <f t="shared" si="2"/>
        <v>1.0600000000000023</v>
      </c>
      <c r="I28" s="35">
        <f t="shared" si="3"/>
        <v>2.4984796986739253E-2</v>
      </c>
      <c r="J28" s="110">
        <f t="shared" si="0"/>
        <v>0.74650814514069319</v>
      </c>
    </row>
    <row r="29" spans="1:10" x14ac:dyDescent="0.2">
      <c r="A29" s="106" t="s">
        <v>42</v>
      </c>
      <c r="B29" s="72">
        <f>B8</f>
        <v>109.2</v>
      </c>
      <c r="C29" s="33">
        <v>3.5999999999999999E-3</v>
      </c>
      <c r="D29" s="21">
        <f>B29*C29</f>
        <v>0.39312000000000002</v>
      </c>
      <c r="E29" s="72">
        <f t="shared" si="4"/>
        <v>109.2</v>
      </c>
      <c r="F29" s="33">
        <v>3.5999999999999999E-3</v>
      </c>
      <c r="G29" s="21">
        <f>E29*F29</f>
        <v>0.39312000000000002</v>
      </c>
      <c r="H29" s="21">
        <f t="shared" si="2"/>
        <v>0</v>
      </c>
      <c r="I29" s="22">
        <f t="shared" si="3"/>
        <v>0</v>
      </c>
      <c r="J29" s="124">
        <f t="shared" si="0"/>
        <v>6.7485772831064232E-3</v>
      </c>
    </row>
    <row r="30" spans="1:10" s="1" customFormat="1" x14ac:dyDescent="0.2">
      <c r="A30" s="106" t="s">
        <v>43</v>
      </c>
      <c r="B30" s="72">
        <f>B8</f>
        <v>109.2</v>
      </c>
      <c r="C30" s="33">
        <v>2.0999999999999999E-3</v>
      </c>
      <c r="D30" s="21">
        <f>B30*C30</f>
        <v>0.22932</v>
      </c>
      <c r="E30" s="72">
        <f t="shared" si="4"/>
        <v>109.2</v>
      </c>
      <c r="F30" s="33">
        <v>2.0999999999999999E-3</v>
      </c>
      <c r="G30" s="21">
        <f>E30*F30</f>
        <v>0.22932</v>
      </c>
      <c r="H30" s="21">
        <f>G30-D30</f>
        <v>0</v>
      </c>
      <c r="I30" s="22">
        <f t="shared" si="3"/>
        <v>0</v>
      </c>
      <c r="J30" s="124">
        <f t="shared" si="0"/>
        <v>3.9366700818120794E-3</v>
      </c>
    </row>
    <row r="31" spans="1:10" s="1" customFormat="1" x14ac:dyDescent="0.2">
      <c r="A31" s="106" t="s">
        <v>99</v>
      </c>
      <c r="B31" s="72">
        <f>B8</f>
        <v>109.2</v>
      </c>
      <c r="C31" s="33">
        <v>1.1000000000000001E-3</v>
      </c>
      <c r="D31" s="21">
        <f>B31*C31</f>
        <v>0.12012</v>
      </c>
      <c r="E31" s="72">
        <f t="shared" si="4"/>
        <v>109.2</v>
      </c>
      <c r="F31" s="33">
        <v>1.1000000000000001E-3</v>
      </c>
      <c r="G31" s="21">
        <f>E31*F31</f>
        <v>0.12012</v>
      </c>
      <c r="H31" s="21">
        <f>G31-D31</f>
        <v>0</v>
      </c>
      <c r="I31" s="22">
        <f t="shared" ref="I31" si="7">IF(ISERROR(H31/D31),0,(H31/D31))</f>
        <v>0</v>
      </c>
      <c r="J31" s="124">
        <f t="shared" ref="J31" si="8">G31/$G$39</f>
        <v>2.0620652809491846E-3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ref="J32:J39" si="9">G32/$G$39</f>
        <v>4.2916776576531479E-3</v>
      </c>
    </row>
    <row r="33" spans="1:10" s="1" customFormat="1" x14ac:dyDescent="0.2">
      <c r="A33" s="109" t="s">
        <v>45</v>
      </c>
      <c r="B33" s="73"/>
      <c r="C33" s="34"/>
      <c r="D33" s="34">
        <f>SUM(D29:D32)</f>
        <v>0.99256</v>
      </c>
      <c r="E33" s="72"/>
      <c r="F33" s="34"/>
      <c r="G33" s="34">
        <f>SUM(G29:G32)</f>
        <v>0.99256</v>
      </c>
      <c r="H33" s="34">
        <f t="shared" si="2"/>
        <v>0</v>
      </c>
      <c r="I33" s="35">
        <f t="shared" si="3"/>
        <v>0</v>
      </c>
      <c r="J33" s="110">
        <f t="shared" si="9"/>
        <v>1.7038990303520834E-2</v>
      </c>
    </row>
    <row r="34" spans="1:10" ht="13.5" thickBot="1" x14ac:dyDescent="0.25">
      <c r="A34" s="111" t="s">
        <v>46</v>
      </c>
      <c r="B34" s="112">
        <f>B4</f>
        <v>100</v>
      </c>
      <c r="C34" s="113">
        <v>7.0000000000000001E-3</v>
      </c>
      <c r="D34" s="114">
        <f>B34*C34</f>
        <v>0.70000000000000007</v>
      </c>
      <c r="E34" s="115">
        <f t="shared" si="4"/>
        <v>100</v>
      </c>
      <c r="F34" s="113">
        <f>C34</f>
        <v>7.0000000000000001E-3</v>
      </c>
      <c r="G34" s="114">
        <f>E34*F34</f>
        <v>0.70000000000000007</v>
      </c>
      <c r="H34" s="114">
        <f t="shared" si="2"/>
        <v>0</v>
      </c>
      <c r="I34" s="116">
        <f t="shared" si="3"/>
        <v>0</v>
      </c>
      <c r="J34" s="117">
        <f t="shared" si="9"/>
        <v>1.2016697441428815E-2</v>
      </c>
    </row>
    <row r="35" spans="1:10" x14ac:dyDescent="0.2">
      <c r="A35" s="36" t="s">
        <v>116</v>
      </c>
      <c r="B35" s="37"/>
      <c r="C35" s="38"/>
      <c r="D35" s="38">
        <f>SUM(D14,D24,D27,D33,D34)</f>
        <v>54.41836</v>
      </c>
      <c r="E35" s="37"/>
      <c r="F35" s="38"/>
      <c r="G35" s="38">
        <f>SUM(G14,G24,G27,G33,G34)</f>
        <v>55.478360000000002</v>
      </c>
      <c r="H35" s="38">
        <f t="shared" si="2"/>
        <v>1.0600000000000023</v>
      </c>
      <c r="I35" s="39">
        <f>IF(ISERROR(H35/D35),0,(H35/D35))</f>
        <v>1.947872004963035E-2</v>
      </c>
      <c r="J35" s="40">
        <f t="shared" si="9"/>
        <v>0.95238095238095244</v>
      </c>
    </row>
    <row r="36" spans="1:10" x14ac:dyDescent="0.2">
      <c r="A36" s="45" t="s">
        <v>108</v>
      </c>
      <c r="B36" s="42"/>
      <c r="C36" s="25">
        <v>0.13</v>
      </c>
      <c r="D36" s="25">
        <f>D35*C36</f>
        <v>7.0743868000000001</v>
      </c>
      <c r="E36" s="25"/>
      <c r="F36" s="25">
        <f>C36</f>
        <v>0.13</v>
      </c>
      <c r="G36" s="25">
        <f>G35*F36</f>
        <v>7.2121868000000005</v>
      </c>
      <c r="H36" s="25">
        <f t="shared" si="2"/>
        <v>0.13780000000000037</v>
      </c>
      <c r="I36" s="43">
        <f t="shared" si="3"/>
        <v>1.947872004963036E-2</v>
      </c>
      <c r="J36" s="44">
        <f t="shared" si="9"/>
        <v>0.12380952380952383</v>
      </c>
    </row>
    <row r="37" spans="1:10" x14ac:dyDescent="0.2">
      <c r="A37" s="45" t="s">
        <v>109</v>
      </c>
      <c r="B37" s="23"/>
      <c r="C37" s="24"/>
      <c r="D37" s="24">
        <f>SUM(D35:D36)</f>
        <v>61.492746799999999</v>
      </c>
      <c r="E37" s="24"/>
      <c r="F37" s="24"/>
      <c r="G37" s="24">
        <f>SUM(G35:G36)</f>
        <v>62.6905468</v>
      </c>
      <c r="H37" s="24">
        <f t="shared" si="2"/>
        <v>1.1978000000000009</v>
      </c>
      <c r="I37" s="26">
        <f t="shared" si="3"/>
        <v>1.9478720049630322E-2</v>
      </c>
      <c r="J37" s="46">
        <f t="shared" si="9"/>
        <v>1.0761904761904761</v>
      </c>
    </row>
    <row r="38" spans="1:10" x14ac:dyDescent="0.2">
      <c r="A38" s="45" t="s">
        <v>110</v>
      </c>
      <c r="B38" s="42"/>
      <c r="C38" s="25">
        <v>-0.08</v>
      </c>
      <c r="D38" s="25">
        <f>D35*C38</f>
        <v>-4.3534687999999999</v>
      </c>
      <c r="E38" s="25"/>
      <c r="F38" s="25">
        <f>C38</f>
        <v>-0.08</v>
      </c>
      <c r="G38" s="25">
        <f>G35*F38</f>
        <v>-4.4382688000000003</v>
      </c>
      <c r="H38" s="25">
        <f t="shared" si="2"/>
        <v>-8.4800000000000431E-2</v>
      </c>
      <c r="I38" s="43">
        <f t="shared" si="3"/>
        <v>1.9478720049630409E-2</v>
      </c>
      <c r="J38" s="44">
        <f t="shared" si="9"/>
        <v>-7.6190476190476197E-2</v>
      </c>
    </row>
    <row r="39" spans="1:10" ht="13.5" thickBot="1" x14ac:dyDescent="0.25">
      <c r="A39" s="47" t="s">
        <v>111</v>
      </c>
      <c r="B39" s="48"/>
      <c r="C39" s="49"/>
      <c r="D39" s="49">
        <f>SUM(D37:D38)</f>
        <v>57.139277999999997</v>
      </c>
      <c r="E39" s="49"/>
      <c r="F39" s="49"/>
      <c r="G39" s="49">
        <f>SUM(G37:G38)</f>
        <v>58.252277999999997</v>
      </c>
      <c r="H39" s="49">
        <f t="shared" si="2"/>
        <v>1.1129999999999995</v>
      </c>
      <c r="I39" s="50">
        <f t="shared" si="3"/>
        <v>1.9478720049630301E-2</v>
      </c>
      <c r="J39" s="51">
        <f t="shared" si="9"/>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12</v>
      </c>
    </row>
    <row r="4" spans="1:10" x14ac:dyDescent="0.2">
      <c r="A4" s="14" t="s">
        <v>62</v>
      </c>
      <c r="B4" s="78">
        <f>'Data for Bill Impacts_HONI Avg '!C11</f>
        <v>364</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9">
        <f>B4*B6</f>
        <v>397.48800000000006</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364</v>
      </c>
      <c r="C12" s="102">
        <v>0.10299999999999999</v>
      </c>
      <c r="D12" s="103">
        <f>B12*C12</f>
        <v>37.491999999999997</v>
      </c>
      <c r="E12" s="101">
        <f>B12</f>
        <v>364</v>
      </c>
      <c r="F12" s="102">
        <f>C12</f>
        <v>0.10299999999999999</v>
      </c>
      <c r="G12" s="103">
        <f>E12*F12</f>
        <v>37.491999999999997</v>
      </c>
      <c r="H12" s="103">
        <f>G12-D12</f>
        <v>0</v>
      </c>
      <c r="I12" s="104">
        <f>IF(ISERROR(H12/D12),0,(H12/D12))</f>
        <v>0</v>
      </c>
      <c r="J12" s="123">
        <f t="shared" ref="J12:J39" si="0">G12/$G$39</f>
        <v>0.35816253514279284</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37.491999999999997</v>
      </c>
      <c r="E14" s="75"/>
      <c r="F14" s="24"/>
      <c r="G14" s="24">
        <f>SUM(G12:G13)</f>
        <v>37.491999999999997</v>
      </c>
      <c r="H14" s="24">
        <f t="shared" si="2"/>
        <v>0</v>
      </c>
      <c r="I14" s="26">
        <f t="shared" si="3"/>
        <v>0</v>
      </c>
      <c r="J14" s="46">
        <f t="shared" si="0"/>
        <v>0.35816253514279284</v>
      </c>
    </row>
    <row r="15" spans="1:10" x14ac:dyDescent="0.2">
      <c r="A15" s="106" t="s">
        <v>38</v>
      </c>
      <c r="B15" s="72">
        <v>1</v>
      </c>
      <c r="C15" s="77">
        <f>VLOOKUP($B$3,'Data for Bill Impacts'!$A$3:$Y$15,7,0)</f>
        <v>37.5</v>
      </c>
      <c r="D15" s="21">
        <f>B15*C15</f>
        <v>37.5</v>
      </c>
      <c r="E15" s="72">
        <f t="shared" ref="E15:E34" si="4">B15</f>
        <v>1</v>
      </c>
      <c r="F15" s="77">
        <f>VLOOKUP($B$3,'Data for Bill Impacts'!$A$3:$Y$15,17,0)</f>
        <v>38.49</v>
      </c>
      <c r="G15" s="21">
        <f>E15*F15</f>
        <v>38.49</v>
      </c>
      <c r="H15" s="21">
        <f t="shared" si="2"/>
        <v>0.99000000000000199</v>
      </c>
      <c r="I15" s="22">
        <f t="shared" si="3"/>
        <v>2.6400000000000052E-2</v>
      </c>
      <c r="J15" s="124">
        <f t="shared" si="0"/>
        <v>0.36769646798373246</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-0.01</v>
      </c>
      <c r="D18" s="21">
        <f t="shared" si="6"/>
        <v>-0.01</v>
      </c>
      <c r="E18" s="72">
        <f t="shared" si="4"/>
        <v>1</v>
      </c>
      <c r="F18" s="77">
        <f>VLOOKUP($B$3,'Data for Bill Impacts'!$A$3:$Y$15,22,0)</f>
        <v>-0.01</v>
      </c>
      <c r="G18" s="21">
        <f t="shared" si="5"/>
        <v>-0.01</v>
      </c>
      <c r="H18" s="21">
        <f t="shared" si="2"/>
        <v>0</v>
      </c>
      <c r="I18" s="22">
        <f t="shared" si="3"/>
        <v>0</v>
      </c>
      <c r="J18" s="124">
        <f t="shared" si="0"/>
        <v>-9.5530389187771489E-5</v>
      </c>
    </row>
    <row r="19" spans="1:10" x14ac:dyDescent="0.2">
      <c r="A19" s="106" t="s">
        <v>39</v>
      </c>
      <c r="B19" s="72">
        <f>IF($B$9="kWh",$B$4,$B$5)</f>
        <v>364</v>
      </c>
      <c r="C19" s="125">
        <f>VLOOKUP($B$3,'Data for Bill Impacts'!$A$3:$Y$15,10,0)</f>
        <v>3.04E-2</v>
      </c>
      <c r="D19" s="21">
        <f>B19*C19</f>
        <v>11.0656</v>
      </c>
      <c r="E19" s="72">
        <f t="shared" si="4"/>
        <v>364</v>
      </c>
      <c r="F19" s="77">
        <f>VLOOKUP($B$3,'Data for Bill Impacts'!$A$3:$Y$15,19,0)</f>
        <v>3.1099999999999999E-2</v>
      </c>
      <c r="G19" s="21">
        <f>E19*F19</f>
        <v>11.320399999999999</v>
      </c>
      <c r="H19" s="21">
        <f t="shared" si="2"/>
        <v>0.25479999999999947</v>
      </c>
      <c r="I19" s="22">
        <f t="shared" si="3"/>
        <v>2.3026315789473638E-2</v>
      </c>
      <c r="J19" s="124">
        <f t="shared" si="0"/>
        <v>0.10814422177612483</v>
      </c>
    </row>
    <row r="20" spans="1:10" s="1" customFormat="1" x14ac:dyDescent="0.2">
      <c r="A20" s="106" t="s">
        <v>129</v>
      </c>
      <c r="B20" s="72">
        <f>IF($B$9="kWh",$B$4,$B$5)</f>
        <v>364</v>
      </c>
      <c r="C20" s="125">
        <f>VLOOKUP($B$3,'Data for Bill Impacts'!$A$3:$Y$15,14,0)</f>
        <v>2.0000000000000001E-4</v>
      </c>
      <c r="D20" s="21">
        <f>B20*C20</f>
        <v>7.2800000000000004E-2</v>
      </c>
      <c r="E20" s="72">
        <f>B20</f>
        <v>364</v>
      </c>
      <c r="F20" s="77">
        <f>VLOOKUP($B$3,'Data for Bill Impacts'!$A$3:$Y$15,23,0)</f>
        <v>2.0000000000000001E-4</v>
      </c>
      <c r="G20" s="21">
        <f>E20*F20</f>
        <v>7.2800000000000004E-2</v>
      </c>
      <c r="H20" s="21">
        <f>G20-D20</f>
        <v>0</v>
      </c>
      <c r="I20" s="22">
        <f>IF(ISERROR(H20/D20),0,(H20/D20))</f>
        <v>0</v>
      </c>
      <c r="J20" s="124">
        <f t="shared" si="0"/>
        <v>6.9546123328697652E-4</v>
      </c>
    </row>
    <row r="21" spans="1:10" hidden="1" x14ac:dyDescent="0.2">
      <c r="A21" s="106" t="s">
        <v>86</v>
      </c>
      <c r="B21" s="72">
        <f>IF($B$9="kWh",$B$4,$B$5)</f>
        <v>364</v>
      </c>
      <c r="C21" s="125">
        <v>0</v>
      </c>
      <c r="D21" s="21">
        <f>B21*C21</f>
        <v>0</v>
      </c>
      <c r="E21" s="72">
        <f t="shared" si="4"/>
        <v>364</v>
      </c>
      <c r="F21" s="77">
        <v>0</v>
      </c>
      <c r="G21" s="21">
        <f>E21*F21</f>
        <v>0</v>
      </c>
      <c r="H21" s="21">
        <f t="shared" si="2"/>
        <v>0</v>
      </c>
      <c r="I21" s="22">
        <f>IF(ISERROR(H21/D21),0,(H21/D21))</f>
        <v>0</v>
      </c>
      <c r="J21" s="124">
        <f t="shared" si="0"/>
        <v>0</v>
      </c>
    </row>
    <row r="22" spans="1:10" x14ac:dyDescent="0.2">
      <c r="A22" s="109" t="s">
        <v>72</v>
      </c>
      <c r="B22" s="73"/>
      <c r="C22" s="34"/>
      <c r="D22" s="34">
        <f>SUM(D15:D21)</f>
        <v>48.628399999999999</v>
      </c>
      <c r="E22" s="72"/>
      <c r="F22" s="34"/>
      <c r="G22" s="34">
        <f>SUM(G15:G21)</f>
        <v>49.873200000000004</v>
      </c>
      <c r="H22" s="34">
        <f t="shared" si="2"/>
        <v>1.244800000000005</v>
      </c>
      <c r="I22" s="35">
        <f t="shared" si="3"/>
        <v>2.5598210099448161E-2</v>
      </c>
      <c r="J22" s="110">
        <f t="shared" si="0"/>
        <v>0.47644062060395653</v>
      </c>
    </row>
    <row r="23" spans="1:10" s="1" customFormat="1" x14ac:dyDescent="0.2">
      <c r="A23" s="118" t="s">
        <v>81</v>
      </c>
      <c r="B23" s="119">
        <f>B8-B4</f>
        <v>33.488000000000056</v>
      </c>
      <c r="C23" s="120">
        <f>IF(B4&gt;B7,C13,C12)</f>
        <v>0.10299999999999999</v>
      </c>
      <c r="D23" s="21">
        <f>B23*C23</f>
        <v>3.4492640000000057</v>
      </c>
      <c r="E23" s="72">
        <f>B23</f>
        <v>33.488000000000056</v>
      </c>
      <c r="F23" s="120">
        <f>C23</f>
        <v>0.10299999999999999</v>
      </c>
      <c r="G23" s="21">
        <f>E23*F23</f>
        <v>3.4492640000000057</v>
      </c>
      <c r="H23" s="21">
        <f t="shared" si="2"/>
        <v>0</v>
      </c>
      <c r="I23" s="22">
        <f>IF(ISERROR(H23/D23),0,(H23/D23))</f>
        <v>0</v>
      </c>
      <c r="J23" s="124">
        <f t="shared" si="0"/>
        <v>3.2950953233137001E-2</v>
      </c>
    </row>
    <row r="24" spans="1:10" x14ac:dyDescent="0.2">
      <c r="A24" s="109" t="s">
        <v>79</v>
      </c>
      <c r="B24" s="73"/>
      <c r="C24" s="34"/>
      <c r="D24" s="34">
        <f>SUM(D22,D23:D23)</f>
        <v>52.077664000000006</v>
      </c>
      <c r="E24" s="72"/>
      <c r="F24" s="34"/>
      <c r="G24" s="34">
        <f>SUM(G22,G23:G23)</f>
        <v>53.322464000000011</v>
      </c>
      <c r="H24" s="34">
        <f t="shared" si="2"/>
        <v>1.244800000000005</v>
      </c>
      <c r="I24" s="35">
        <f>IF(ISERROR(H24/D24),0,(H24/D24))</f>
        <v>2.3902761844310162E-2</v>
      </c>
      <c r="J24" s="110">
        <f t="shared" si="0"/>
        <v>0.50939157383709355</v>
      </c>
    </row>
    <row r="25" spans="1:10" x14ac:dyDescent="0.2">
      <c r="A25" s="106" t="s">
        <v>40</v>
      </c>
      <c r="B25" s="72">
        <f>B8</f>
        <v>397.48800000000006</v>
      </c>
      <c r="C25" s="125">
        <f>VLOOKUP($B$3,'Data for Bill Impacts'!$A$3:$Y$15,15,0)</f>
        <v>4.7000000000000002E-3</v>
      </c>
      <c r="D25" s="21">
        <f>B25*C25</f>
        <v>1.8681936000000003</v>
      </c>
      <c r="E25" s="72">
        <f t="shared" si="4"/>
        <v>397.48800000000006</v>
      </c>
      <c r="F25" s="77">
        <f>VLOOKUP($B$3,'Data for Bill Impacts'!$A$3:$Y$15,24,0)</f>
        <v>4.7000000000000002E-3</v>
      </c>
      <c r="G25" s="21">
        <f>E25*F25</f>
        <v>1.8681936000000003</v>
      </c>
      <c r="H25" s="21">
        <f t="shared" si="2"/>
        <v>0</v>
      </c>
      <c r="I25" s="22">
        <f t="shared" si="3"/>
        <v>0</v>
      </c>
      <c r="J25" s="124">
        <f t="shared" si="0"/>
        <v>1.7846926168610392E-2</v>
      </c>
    </row>
    <row r="26" spans="1:10" s="1" customFormat="1" x14ac:dyDescent="0.2">
      <c r="A26" s="106" t="s">
        <v>41</v>
      </c>
      <c r="B26" s="72">
        <f>B8</f>
        <v>397.48800000000006</v>
      </c>
      <c r="C26" s="125">
        <f>VLOOKUP($B$3,'Data for Bill Impacts'!$A$3:$Y$15,16,0)</f>
        <v>3.8E-3</v>
      </c>
      <c r="D26" s="21">
        <f>B26*C26</f>
        <v>1.5104544000000002</v>
      </c>
      <c r="E26" s="72">
        <f t="shared" si="4"/>
        <v>397.48800000000006</v>
      </c>
      <c r="F26" s="77">
        <f>VLOOKUP($B$3,'Data for Bill Impacts'!$A$3:$Y$15,25,0)</f>
        <v>3.8E-3</v>
      </c>
      <c r="G26" s="21">
        <f>E26*F26</f>
        <v>1.5104544000000002</v>
      </c>
      <c r="H26" s="21">
        <f t="shared" si="2"/>
        <v>0</v>
      </c>
      <c r="I26" s="22">
        <f t="shared" si="3"/>
        <v>0</v>
      </c>
      <c r="J26" s="124">
        <f t="shared" si="0"/>
        <v>1.4429429668238189E-2</v>
      </c>
    </row>
    <row r="27" spans="1:10" s="1" customFormat="1" x14ac:dyDescent="0.2">
      <c r="A27" s="109" t="s">
        <v>76</v>
      </c>
      <c r="B27" s="73"/>
      <c r="C27" s="34"/>
      <c r="D27" s="34">
        <f>SUM(D25:D26)</f>
        <v>3.3786480000000005</v>
      </c>
      <c r="E27" s="72"/>
      <c r="F27" s="34"/>
      <c r="G27" s="34">
        <f>SUM(G25:G26)</f>
        <v>3.3786480000000005</v>
      </c>
      <c r="H27" s="34">
        <f t="shared" si="2"/>
        <v>0</v>
      </c>
      <c r="I27" s="35">
        <f t="shared" si="3"/>
        <v>0</v>
      </c>
      <c r="J27" s="110">
        <f t="shared" si="0"/>
        <v>3.2276355836848583E-2</v>
      </c>
    </row>
    <row r="28" spans="1:10" s="1" customFormat="1" x14ac:dyDescent="0.2">
      <c r="A28" s="109" t="s">
        <v>80</v>
      </c>
      <c r="B28" s="73"/>
      <c r="C28" s="34"/>
      <c r="D28" s="34">
        <f>D24+D27</f>
        <v>55.456312000000004</v>
      </c>
      <c r="E28" s="72"/>
      <c r="F28" s="34"/>
      <c r="G28" s="34">
        <f>G24+G27</f>
        <v>56.701112000000009</v>
      </c>
      <c r="H28" s="34">
        <f t="shared" si="2"/>
        <v>1.244800000000005</v>
      </c>
      <c r="I28" s="35">
        <f t="shared" si="3"/>
        <v>2.2446498064999435E-2</v>
      </c>
      <c r="J28" s="110">
        <f t="shared" si="0"/>
        <v>0.54166792967394206</v>
      </c>
    </row>
    <row r="29" spans="1:10" x14ac:dyDescent="0.2">
      <c r="A29" s="106" t="s">
        <v>42</v>
      </c>
      <c r="B29" s="72">
        <f>B8</f>
        <v>397.48800000000006</v>
      </c>
      <c r="C29" s="33">
        <v>3.5999999999999999E-3</v>
      </c>
      <c r="D29" s="21">
        <f>B29*C29</f>
        <v>1.4309568000000001</v>
      </c>
      <c r="E29" s="72">
        <f t="shared" si="4"/>
        <v>397.48800000000006</v>
      </c>
      <c r="F29" s="33">
        <v>3.5999999999999999E-3</v>
      </c>
      <c r="G29" s="21">
        <f>E29*F29</f>
        <v>1.4309568000000001</v>
      </c>
      <c r="H29" s="21">
        <f t="shared" si="2"/>
        <v>0</v>
      </c>
      <c r="I29" s="22">
        <f t="shared" si="3"/>
        <v>0</v>
      </c>
      <c r="J29" s="124">
        <f t="shared" si="0"/>
        <v>1.3669986001488811E-2</v>
      </c>
    </row>
    <row r="30" spans="1:10" s="1" customFormat="1" x14ac:dyDescent="0.2">
      <c r="A30" s="106" t="s">
        <v>43</v>
      </c>
      <c r="B30" s="72">
        <f>B8</f>
        <v>397.48800000000006</v>
      </c>
      <c r="C30" s="33">
        <v>2.0999999999999999E-3</v>
      </c>
      <c r="D30" s="21">
        <f>B30*C30</f>
        <v>0.83472480000000004</v>
      </c>
      <c r="E30" s="72">
        <f t="shared" si="4"/>
        <v>397.48800000000006</v>
      </c>
      <c r="F30" s="33">
        <v>2.0999999999999999E-3</v>
      </c>
      <c r="G30" s="21">
        <f>E30*F30</f>
        <v>0.83472480000000004</v>
      </c>
      <c r="H30" s="21">
        <f>G30-D30</f>
        <v>0</v>
      </c>
      <c r="I30" s="22">
        <f t="shared" si="3"/>
        <v>0</v>
      </c>
      <c r="J30" s="124">
        <f t="shared" si="0"/>
        <v>7.974158500868472E-3</v>
      </c>
    </row>
    <row r="31" spans="1:10" s="1" customFormat="1" x14ac:dyDescent="0.2">
      <c r="A31" s="106" t="s">
        <v>99</v>
      </c>
      <c r="B31" s="72">
        <f>B8</f>
        <v>397.48800000000006</v>
      </c>
      <c r="C31" s="33">
        <v>1.1000000000000001E-3</v>
      </c>
      <c r="D31" s="21">
        <f>B31*C31</f>
        <v>0.43723680000000009</v>
      </c>
      <c r="E31" s="72">
        <f t="shared" si="4"/>
        <v>397.48800000000006</v>
      </c>
      <c r="F31" s="33">
        <v>1.1000000000000001E-3</v>
      </c>
      <c r="G31" s="21">
        <f>E31*F31</f>
        <v>0.43723680000000009</v>
      </c>
      <c r="H31" s="21">
        <f>G31-D31</f>
        <v>0</v>
      </c>
      <c r="I31" s="22">
        <f t="shared" si="3"/>
        <v>0</v>
      </c>
      <c r="J31" s="124">
        <f t="shared" si="0"/>
        <v>4.176940167121581E-3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si="0"/>
        <v>2.3882597296942874E-3</v>
      </c>
    </row>
    <row r="33" spans="1:10" s="1" customFormat="1" x14ac:dyDescent="0.2">
      <c r="A33" s="109" t="s">
        <v>45</v>
      </c>
      <c r="B33" s="73"/>
      <c r="C33" s="34"/>
      <c r="D33" s="34">
        <f>SUM(D29:D32)</f>
        <v>2.9529184000000002</v>
      </c>
      <c r="E33" s="72"/>
      <c r="F33" s="34"/>
      <c r="G33" s="34">
        <f>SUM(G29:G32)</f>
        <v>2.9529184000000002</v>
      </c>
      <c r="H33" s="34">
        <f t="shared" si="2"/>
        <v>0</v>
      </c>
      <c r="I33" s="35">
        <f t="shared" si="3"/>
        <v>0</v>
      </c>
      <c r="J33" s="110">
        <f t="shared" si="0"/>
        <v>2.820934439917315E-2</v>
      </c>
    </row>
    <row r="34" spans="1:10" ht="13.5" thickBot="1" x14ac:dyDescent="0.25">
      <c r="A34" s="111" t="s">
        <v>46</v>
      </c>
      <c r="B34" s="112">
        <f>B4</f>
        <v>364</v>
      </c>
      <c r="C34" s="113">
        <v>7.0000000000000001E-3</v>
      </c>
      <c r="D34" s="114">
        <f>B34*C34</f>
        <v>2.548</v>
      </c>
      <c r="E34" s="115">
        <f t="shared" si="4"/>
        <v>364</v>
      </c>
      <c r="F34" s="113">
        <f>C34</f>
        <v>7.0000000000000001E-3</v>
      </c>
      <c r="G34" s="114">
        <f>E34*F34</f>
        <v>2.548</v>
      </c>
      <c r="H34" s="114">
        <f t="shared" si="2"/>
        <v>0</v>
      </c>
      <c r="I34" s="116">
        <f t="shared" si="3"/>
        <v>0</v>
      </c>
      <c r="J34" s="117">
        <f t="shared" si="0"/>
        <v>2.4341143165044175E-2</v>
      </c>
    </row>
    <row r="35" spans="1:10" x14ac:dyDescent="0.2">
      <c r="A35" s="36" t="s">
        <v>116</v>
      </c>
      <c r="B35" s="37"/>
      <c r="C35" s="38"/>
      <c r="D35" s="38">
        <f>SUM(D14,D24,D27,D33,D34)</f>
        <v>98.449230400000005</v>
      </c>
      <c r="E35" s="37"/>
      <c r="F35" s="38"/>
      <c r="G35" s="38">
        <f>SUM(G14,G24,G27,G33,G34)</f>
        <v>99.694030400000017</v>
      </c>
      <c r="H35" s="38">
        <f t="shared" si="2"/>
        <v>1.2448000000000121</v>
      </c>
      <c r="I35" s="39">
        <f>IF(ISERROR(H35/D35),0,(H35/D35))</f>
        <v>1.264408055748511E-2</v>
      </c>
      <c r="J35" s="40">
        <f t="shared" si="0"/>
        <v>0.95238095238095233</v>
      </c>
    </row>
    <row r="36" spans="1:10" x14ac:dyDescent="0.2">
      <c r="A36" s="45" t="s">
        <v>108</v>
      </c>
      <c r="B36" s="42"/>
      <c r="C36" s="25">
        <v>0.13</v>
      </c>
      <c r="D36" s="25">
        <f>D35*C36</f>
        <v>12.798399952</v>
      </c>
      <c r="E36" s="25"/>
      <c r="F36" s="25">
        <f>C36</f>
        <v>0.13</v>
      </c>
      <c r="G36" s="25">
        <f>G35*F36</f>
        <v>12.960223952000003</v>
      </c>
      <c r="H36" s="25">
        <f t="shared" si="2"/>
        <v>0.16182400000000285</v>
      </c>
      <c r="I36" s="43">
        <f t="shared" si="3"/>
        <v>1.2644080557485211E-2</v>
      </c>
      <c r="J36" s="44">
        <f t="shared" si="0"/>
        <v>0.12380952380952381</v>
      </c>
    </row>
    <row r="37" spans="1:10" x14ac:dyDescent="0.2">
      <c r="A37" s="45" t="s">
        <v>109</v>
      </c>
      <c r="B37" s="23"/>
      <c r="C37" s="24"/>
      <c r="D37" s="24">
        <f>SUM(D35:D36)</f>
        <v>111.247630352</v>
      </c>
      <c r="E37" s="24"/>
      <c r="F37" s="24"/>
      <c r="G37" s="24">
        <f>SUM(G35:G36)</f>
        <v>112.65425435200002</v>
      </c>
      <c r="H37" s="24">
        <f t="shared" si="2"/>
        <v>1.4066240000000221</v>
      </c>
      <c r="I37" s="26">
        <f t="shared" si="3"/>
        <v>1.2644080557485187E-2</v>
      </c>
      <c r="J37" s="46">
        <f t="shared" si="0"/>
        <v>1.0761904761904761</v>
      </c>
    </row>
    <row r="38" spans="1:10" x14ac:dyDescent="0.2">
      <c r="A38" s="45" t="s">
        <v>110</v>
      </c>
      <c r="B38" s="42"/>
      <c r="C38" s="25">
        <v>-0.08</v>
      </c>
      <c r="D38" s="25">
        <f>D35*C38</f>
        <v>-7.8759384320000008</v>
      </c>
      <c r="E38" s="25"/>
      <c r="F38" s="25">
        <f>C38</f>
        <v>-0.08</v>
      </c>
      <c r="G38" s="25">
        <f>G35*F38</f>
        <v>-7.9755224320000018</v>
      </c>
      <c r="H38" s="25">
        <f t="shared" si="2"/>
        <v>-9.9584000000001005E-2</v>
      </c>
      <c r="I38" s="43">
        <f t="shared" si="3"/>
        <v>1.2644080557485114E-2</v>
      </c>
      <c r="J38" s="44">
        <f t="shared" si="0"/>
        <v>-7.6190476190476197E-2</v>
      </c>
    </row>
    <row r="39" spans="1:10" ht="13.5" thickBot="1" x14ac:dyDescent="0.25">
      <c r="A39" s="47" t="s">
        <v>111</v>
      </c>
      <c r="B39" s="48"/>
      <c r="C39" s="49"/>
      <c r="D39" s="49">
        <f>SUM(D37:D38)</f>
        <v>103.37169192</v>
      </c>
      <c r="E39" s="49"/>
      <c r="F39" s="49"/>
      <c r="G39" s="49">
        <f>SUM(G37:G38)</f>
        <v>104.67873192000002</v>
      </c>
      <c r="H39" s="49">
        <f t="shared" si="2"/>
        <v>1.3070400000000149</v>
      </c>
      <c r="I39" s="50">
        <f t="shared" si="3"/>
        <v>1.2644080557485131E-2</v>
      </c>
      <c r="J39" s="51">
        <f t="shared" si="0"/>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12</v>
      </c>
    </row>
    <row r="4" spans="1:10" x14ac:dyDescent="0.2">
      <c r="A4" s="14" t="s">
        <v>62</v>
      </c>
      <c r="B4" s="14">
        <v>1000</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1092</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23">
        <f t="shared" ref="J12:J30" si="0">G12/$G$39</f>
        <v>0.34643107380448313</v>
      </c>
    </row>
    <row r="13" spans="1:10" x14ac:dyDescent="0.2">
      <c r="A13" s="106" t="s">
        <v>32</v>
      </c>
      <c r="B13" s="72">
        <f>IF(B4&gt;B7,(B4)-B7,0)</f>
        <v>250</v>
      </c>
      <c r="C13" s="20">
        <v>0.121</v>
      </c>
      <c r="D13" s="21">
        <f>B13*C13</f>
        <v>30.25</v>
      </c>
      <c r="E13" s="72">
        <f t="shared" ref="E13" si="1">B13</f>
        <v>250</v>
      </c>
      <c r="F13" s="20">
        <f>C13</f>
        <v>0.121</v>
      </c>
      <c r="G13" s="21">
        <f>E13*F13</f>
        <v>30.25</v>
      </c>
      <c r="H13" s="21">
        <f t="shared" ref="H13:H39" si="2">G13-D13</f>
        <v>0</v>
      </c>
      <c r="I13" s="22">
        <f t="shared" ref="I13:I39" si="3">IF(ISERROR(H13/D13),0,(H13/D13))</f>
        <v>0</v>
      </c>
      <c r="J13" s="124">
        <f t="shared" si="0"/>
        <v>0.13565747550272642</v>
      </c>
    </row>
    <row r="14" spans="1:10" s="1" customFormat="1" x14ac:dyDescent="0.2">
      <c r="A14" s="45" t="s">
        <v>33</v>
      </c>
      <c r="B14" s="23"/>
      <c r="C14" s="24"/>
      <c r="D14" s="24">
        <f>SUM(D12:D13)</f>
        <v>107.5</v>
      </c>
      <c r="E14" s="75"/>
      <c r="F14" s="24"/>
      <c r="G14" s="24">
        <f>SUM(G12:G13)</f>
        <v>107.5</v>
      </c>
      <c r="H14" s="24">
        <f t="shared" si="2"/>
        <v>0</v>
      </c>
      <c r="I14" s="26">
        <f t="shared" si="3"/>
        <v>0</v>
      </c>
      <c r="J14" s="46">
        <f t="shared" si="0"/>
        <v>0.48208854930720957</v>
      </c>
    </row>
    <row r="15" spans="1:10" x14ac:dyDescent="0.2">
      <c r="A15" s="106" t="s">
        <v>38</v>
      </c>
      <c r="B15" s="72">
        <v>1</v>
      </c>
      <c r="C15" s="77">
        <f>VLOOKUP($B$3,'Data for Bill Impacts'!$A$3:$Y$15,7,0)</f>
        <v>37.5</v>
      </c>
      <c r="D15" s="21">
        <f>B15*C15</f>
        <v>37.5</v>
      </c>
      <c r="E15" s="72">
        <f t="shared" ref="E15:E34" si="4">B15</f>
        <v>1</v>
      </c>
      <c r="F15" s="77">
        <f>VLOOKUP($B$3,'Data for Bill Impacts'!$A$3:$Y$15,17,0)</f>
        <v>38.49</v>
      </c>
      <c r="G15" s="21">
        <f>E15*F15</f>
        <v>38.49</v>
      </c>
      <c r="H15" s="21">
        <f t="shared" si="2"/>
        <v>0.99000000000000199</v>
      </c>
      <c r="I15" s="22">
        <f t="shared" si="3"/>
        <v>2.6400000000000052E-2</v>
      </c>
      <c r="J15" s="124">
        <f t="shared" si="0"/>
        <v>0.17261012337520462</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-0.01</v>
      </c>
      <c r="D18" s="21">
        <f t="shared" si="6"/>
        <v>-0.01</v>
      </c>
      <c r="E18" s="72">
        <f t="shared" si="4"/>
        <v>1</v>
      </c>
      <c r="F18" s="77">
        <f>VLOOKUP($B$3,'Data for Bill Impacts'!$A$3:$Y$15,22,0)</f>
        <v>-0.01</v>
      </c>
      <c r="G18" s="21">
        <f t="shared" si="5"/>
        <v>-0.01</v>
      </c>
      <c r="H18" s="21">
        <f t="shared" si="2"/>
        <v>0</v>
      </c>
      <c r="I18" s="22">
        <f t="shared" si="3"/>
        <v>0</v>
      </c>
      <c r="J18" s="124">
        <f t="shared" si="0"/>
        <v>-4.4845446447182285E-5</v>
      </c>
    </row>
    <row r="19" spans="1:10" x14ac:dyDescent="0.2">
      <c r="A19" s="106" t="s">
        <v>39</v>
      </c>
      <c r="B19" s="72">
        <f>IF($B$9="kWh",$B$4,$B$5)</f>
        <v>1000</v>
      </c>
      <c r="C19" s="125">
        <f>VLOOKUP($B$3,'Data for Bill Impacts'!$A$3:$Y$15,10,0)</f>
        <v>3.04E-2</v>
      </c>
      <c r="D19" s="21">
        <f>B19*C19</f>
        <v>30.4</v>
      </c>
      <c r="E19" s="72">
        <f t="shared" si="4"/>
        <v>1000</v>
      </c>
      <c r="F19" s="77">
        <f>VLOOKUP($B$3,'Data for Bill Impacts'!$A$3:$Y$15,19,0)</f>
        <v>3.1099999999999999E-2</v>
      </c>
      <c r="G19" s="21">
        <f>E19*F19</f>
        <v>31.099999999999998</v>
      </c>
      <c r="H19" s="21">
        <f t="shared" si="2"/>
        <v>0.69999999999999929</v>
      </c>
      <c r="I19" s="22">
        <f t="shared" si="3"/>
        <v>2.3026315789473662E-2</v>
      </c>
      <c r="J19" s="124">
        <f t="shared" si="0"/>
        <v>0.13946933845073689</v>
      </c>
    </row>
    <row r="20" spans="1:10" s="1" customFormat="1" x14ac:dyDescent="0.2">
      <c r="A20" s="106" t="s">
        <v>129</v>
      </c>
      <c r="B20" s="72">
        <f>IF($B$9="kWh",$B$4,$B$5)</f>
        <v>1000</v>
      </c>
      <c r="C20" s="125">
        <f>VLOOKUP($B$3,'Data for Bill Impacts'!$A$3:$Y$15,14,0)</f>
        <v>2.0000000000000001E-4</v>
      </c>
      <c r="D20" s="21">
        <f>B20*C20</f>
        <v>0.2</v>
      </c>
      <c r="E20" s="72">
        <f>B20</f>
        <v>1000</v>
      </c>
      <c r="F20" s="77">
        <f>VLOOKUP($B$3,'Data for Bill Impacts'!$A$3:$Y$15,23,0)</f>
        <v>2.0000000000000001E-4</v>
      </c>
      <c r="G20" s="21">
        <f>E20*F20</f>
        <v>0.2</v>
      </c>
      <c r="H20" s="21">
        <f>G20-D20</f>
        <v>0</v>
      </c>
      <c r="I20" s="22">
        <f>IF(ISERROR(H20/D20),0,(H20/D20))</f>
        <v>0</v>
      </c>
      <c r="J20" s="124">
        <f t="shared" si="0"/>
        <v>8.9690892894364572E-4</v>
      </c>
    </row>
    <row r="21" spans="1:10" hidden="1" x14ac:dyDescent="0.2">
      <c r="A21" s="106" t="s">
        <v>86</v>
      </c>
      <c r="B21" s="72">
        <f>IF($B$9="kWh",$B$4,$B$5)</f>
        <v>1000</v>
      </c>
      <c r="C21" s="125">
        <v>0</v>
      </c>
      <c r="D21" s="21">
        <f>B21*C21</f>
        <v>0</v>
      </c>
      <c r="E21" s="72">
        <f t="shared" si="4"/>
        <v>1000</v>
      </c>
      <c r="F21" s="77">
        <v>0</v>
      </c>
      <c r="G21" s="21">
        <f>E21*F21</f>
        <v>0</v>
      </c>
      <c r="H21" s="21">
        <f t="shared" si="2"/>
        <v>0</v>
      </c>
      <c r="I21" s="22">
        <f>IF(ISERROR(H21/D21),0,(H21/D21))</f>
        <v>0</v>
      </c>
      <c r="J21" s="124">
        <f t="shared" si="0"/>
        <v>0</v>
      </c>
    </row>
    <row r="22" spans="1:10" x14ac:dyDescent="0.2">
      <c r="A22" s="109" t="s">
        <v>72</v>
      </c>
      <c r="B22" s="73"/>
      <c r="C22" s="34"/>
      <c r="D22" s="34">
        <f>SUM(D15:D21)</f>
        <v>68.09</v>
      </c>
      <c r="E22" s="72"/>
      <c r="F22" s="34"/>
      <c r="G22" s="34">
        <f>SUM(G15:G21)</f>
        <v>69.78</v>
      </c>
      <c r="H22" s="34">
        <f t="shared" si="2"/>
        <v>1.6899999999999977</v>
      </c>
      <c r="I22" s="35">
        <f t="shared" si="3"/>
        <v>2.4820091055955319E-2</v>
      </c>
      <c r="J22" s="110">
        <f t="shared" si="0"/>
        <v>0.31293152530843799</v>
      </c>
    </row>
    <row r="23" spans="1:10" s="1" customFormat="1" x14ac:dyDescent="0.2">
      <c r="A23" s="118" t="s">
        <v>81</v>
      </c>
      <c r="B23" s="119">
        <f>B8-B4</f>
        <v>92</v>
      </c>
      <c r="C23" s="120">
        <f>IF(B4&gt;B7,C13,C12)</f>
        <v>0.121</v>
      </c>
      <c r="D23" s="21">
        <f>B23*C23</f>
        <v>11.132</v>
      </c>
      <c r="E23" s="72">
        <f>B23</f>
        <v>92</v>
      </c>
      <c r="F23" s="120">
        <f>C23</f>
        <v>0.121</v>
      </c>
      <c r="G23" s="21">
        <f>E23*F23</f>
        <v>11.132</v>
      </c>
      <c r="H23" s="21">
        <f t="shared" si="2"/>
        <v>0</v>
      </c>
      <c r="I23" s="22">
        <f>IF(ISERROR(H23/D23),0,(H23/D23))</f>
        <v>0</v>
      </c>
      <c r="J23" s="124">
        <f t="shared" si="0"/>
        <v>4.9921950985003315E-2</v>
      </c>
    </row>
    <row r="24" spans="1:10" x14ac:dyDescent="0.2">
      <c r="A24" s="109" t="s">
        <v>79</v>
      </c>
      <c r="B24" s="73"/>
      <c r="C24" s="34"/>
      <c r="D24" s="34">
        <f>SUM(D22,D23:D23)</f>
        <v>79.222000000000008</v>
      </c>
      <c r="E24" s="72"/>
      <c r="F24" s="34"/>
      <c r="G24" s="34">
        <f>SUM(G22,G23:G23)</f>
        <v>80.912000000000006</v>
      </c>
      <c r="H24" s="34">
        <f t="shared" si="2"/>
        <v>1.6899999999999977</v>
      </c>
      <c r="I24" s="35">
        <f>IF(ISERROR(H24/D24),0,(H24/D24))</f>
        <v>2.1332458155562818E-2</v>
      </c>
      <c r="J24" s="110">
        <f t="shared" si="0"/>
        <v>0.36285347629344133</v>
      </c>
    </row>
    <row r="25" spans="1:10" x14ac:dyDescent="0.2">
      <c r="A25" s="106" t="s">
        <v>40</v>
      </c>
      <c r="B25" s="72">
        <f>B8</f>
        <v>1092</v>
      </c>
      <c r="C25" s="125">
        <f>VLOOKUP($B$3,'Data for Bill Impacts'!$A$3:$Y$15,15,0)</f>
        <v>4.7000000000000002E-3</v>
      </c>
      <c r="D25" s="21">
        <f>B25*C25</f>
        <v>5.1324000000000005</v>
      </c>
      <c r="E25" s="72">
        <f t="shared" si="4"/>
        <v>1092</v>
      </c>
      <c r="F25" s="77">
        <f>VLOOKUP($B$3,'Data for Bill Impacts'!$A$3:$Y$15,24,0)</f>
        <v>4.7000000000000002E-3</v>
      </c>
      <c r="G25" s="21">
        <f>E25*F25</f>
        <v>5.1324000000000005</v>
      </c>
      <c r="H25" s="21">
        <f t="shared" si="2"/>
        <v>0</v>
      </c>
      <c r="I25" s="22">
        <f t="shared" si="3"/>
        <v>0</v>
      </c>
      <c r="J25" s="124">
        <f t="shared" si="0"/>
        <v>2.3016476934551836E-2</v>
      </c>
    </row>
    <row r="26" spans="1:10" s="1" customFormat="1" x14ac:dyDescent="0.2">
      <c r="A26" s="106" t="s">
        <v>41</v>
      </c>
      <c r="B26" s="72">
        <f>B8</f>
        <v>1092</v>
      </c>
      <c r="C26" s="125">
        <f>VLOOKUP($B$3,'Data for Bill Impacts'!$A$3:$Y$15,16,0)</f>
        <v>3.8E-3</v>
      </c>
      <c r="D26" s="21">
        <f>B26*C26</f>
        <v>4.1496000000000004</v>
      </c>
      <c r="E26" s="72">
        <f t="shared" si="4"/>
        <v>1092</v>
      </c>
      <c r="F26" s="77">
        <f>VLOOKUP($B$3,'Data for Bill Impacts'!$A$3:$Y$15,25,0)</f>
        <v>3.8E-3</v>
      </c>
      <c r="G26" s="21">
        <f>E26*F26</f>
        <v>4.1496000000000004</v>
      </c>
      <c r="H26" s="21">
        <f t="shared" si="2"/>
        <v>0</v>
      </c>
      <c r="I26" s="22">
        <f t="shared" si="3"/>
        <v>0</v>
      </c>
      <c r="J26" s="124">
        <f t="shared" si="0"/>
        <v>1.8609066457722763E-2</v>
      </c>
    </row>
    <row r="27" spans="1:10" s="1" customFormat="1" x14ac:dyDescent="0.2">
      <c r="A27" s="109" t="s">
        <v>76</v>
      </c>
      <c r="B27" s="73"/>
      <c r="C27" s="34"/>
      <c r="D27" s="34">
        <f>SUM(D25:D26)</f>
        <v>9.282</v>
      </c>
      <c r="E27" s="72"/>
      <c r="F27" s="34"/>
      <c r="G27" s="34">
        <f>SUM(G25:G26)</f>
        <v>9.282</v>
      </c>
      <c r="H27" s="34">
        <f t="shared" si="2"/>
        <v>0</v>
      </c>
      <c r="I27" s="35">
        <f t="shared" si="3"/>
        <v>0</v>
      </c>
      <c r="J27" s="110">
        <f t="shared" si="0"/>
        <v>4.1625543392274596E-2</v>
      </c>
    </row>
    <row r="28" spans="1:10" s="1" customFormat="1" x14ac:dyDescent="0.2">
      <c r="A28" s="109" t="s">
        <v>80</v>
      </c>
      <c r="B28" s="73"/>
      <c r="C28" s="34"/>
      <c r="D28" s="34">
        <f>D24+D27</f>
        <v>88.504000000000005</v>
      </c>
      <c r="E28" s="72"/>
      <c r="F28" s="34"/>
      <c r="G28" s="34">
        <f>G24+G27</f>
        <v>90.194000000000003</v>
      </c>
      <c r="H28" s="34">
        <f t="shared" si="2"/>
        <v>1.6899999999999977</v>
      </c>
      <c r="I28" s="35">
        <f t="shared" si="3"/>
        <v>1.9095182138660374E-2</v>
      </c>
      <c r="J28" s="110">
        <f t="shared" si="0"/>
        <v>0.40447901968571592</v>
      </c>
    </row>
    <row r="29" spans="1:10" x14ac:dyDescent="0.2">
      <c r="A29" s="106" t="s">
        <v>42</v>
      </c>
      <c r="B29" s="72">
        <f>B8</f>
        <v>1092</v>
      </c>
      <c r="C29" s="33">
        <v>3.5999999999999999E-3</v>
      </c>
      <c r="D29" s="21">
        <f>B29*C29</f>
        <v>3.9312</v>
      </c>
      <c r="E29" s="72">
        <f t="shared" si="4"/>
        <v>1092</v>
      </c>
      <c r="F29" s="33">
        <v>3.5999999999999999E-3</v>
      </c>
      <c r="G29" s="21">
        <f>E29*F29</f>
        <v>3.9312</v>
      </c>
      <c r="H29" s="21">
        <f t="shared" si="2"/>
        <v>0</v>
      </c>
      <c r="I29" s="22">
        <f t="shared" si="3"/>
        <v>0</v>
      </c>
      <c r="J29" s="124">
        <f t="shared" si="0"/>
        <v>1.76296419073163E-2</v>
      </c>
    </row>
    <row r="30" spans="1:10" s="1" customFormat="1" x14ac:dyDescent="0.2">
      <c r="A30" s="106" t="s">
        <v>43</v>
      </c>
      <c r="B30" s="72">
        <f>B8</f>
        <v>1092</v>
      </c>
      <c r="C30" s="33">
        <v>2.0999999999999999E-3</v>
      </c>
      <c r="D30" s="21">
        <f>B30*C30</f>
        <v>2.2931999999999997</v>
      </c>
      <c r="E30" s="72">
        <f t="shared" si="4"/>
        <v>1092</v>
      </c>
      <c r="F30" s="33">
        <v>2.0999999999999999E-3</v>
      </c>
      <c r="G30" s="21">
        <f>E30*F30</f>
        <v>2.2931999999999997</v>
      </c>
      <c r="H30" s="21">
        <f>G30-D30</f>
        <v>0</v>
      </c>
      <c r="I30" s="22">
        <f t="shared" si="3"/>
        <v>0</v>
      </c>
      <c r="J30" s="124">
        <f t="shared" si="0"/>
        <v>1.0283957779267839E-2</v>
      </c>
    </row>
    <row r="31" spans="1:10" s="1" customFormat="1" x14ac:dyDescent="0.2">
      <c r="A31" s="106" t="s">
        <v>99</v>
      </c>
      <c r="B31" s="72">
        <f>B8</f>
        <v>1092</v>
      </c>
      <c r="C31" s="33">
        <v>1.1000000000000001E-3</v>
      </c>
      <c r="D31" s="21">
        <f>B31*C31</f>
        <v>1.2012</v>
      </c>
      <c r="E31" s="72">
        <f t="shared" si="4"/>
        <v>1092</v>
      </c>
      <c r="F31" s="33">
        <v>1.1000000000000001E-3</v>
      </c>
      <c r="G31" s="21">
        <f>E31*F31</f>
        <v>1.2012</v>
      </c>
      <c r="H31" s="21">
        <f>G31-D31</f>
        <v>0</v>
      </c>
      <c r="I31" s="22">
        <f t="shared" ref="I31" si="7">IF(ISERROR(H31/D31),0,(H31/D31))</f>
        <v>0</v>
      </c>
      <c r="J31" s="124">
        <f t="shared" ref="J31" si="8">G31/$G$39</f>
        <v>5.3868350272355363E-3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ref="J32:J39" si="9">G32/$G$39</f>
        <v>1.1211361611795571E-3</v>
      </c>
    </row>
    <row r="33" spans="1:10" s="1" customFormat="1" x14ac:dyDescent="0.2">
      <c r="A33" s="109" t="s">
        <v>45</v>
      </c>
      <c r="B33" s="73"/>
      <c r="C33" s="34"/>
      <c r="D33" s="34">
        <f>SUM(D29:D32)</f>
        <v>7.6755999999999993</v>
      </c>
      <c r="E33" s="72"/>
      <c r="F33" s="34"/>
      <c r="G33" s="34">
        <f>SUM(G29:G32)</f>
        <v>7.6755999999999993</v>
      </c>
      <c r="H33" s="34">
        <f t="shared" si="2"/>
        <v>0</v>
      </c>
      <c r="I33" s="35">
        <f t="shared" si="3"/>
        <v>0</v>
      </c>
      <c r="J33" s="110">
        <f t="shared" si="9"/>
        <v>3.4421570874999231E-2</v>
      </c>
    </row>
    <row r="34" spans="1:10" ht="13.5" thickBot="1" x14ac:dyDescent="0.25">
      <c r="A34" s="111" t="s">
        <v>46</v>
      </c>
      <c r="B34" s="112">
        <f>B4</f>
        <v>1000</v>
      </c>
      <c r="C34" s="113">
        <v>7.0000000000000001E-3</v>
      </c>
      <c r="D34" s="114">
        <f>B34*C34</f>
        <v>7</v>
      </c>
      <c r="E34" s="115">
        <f t="shared" si="4"/>
        <v>1000</v>
      </c>
      <c r="F34" s="113">
        <f>C34</f>
        <v>7.0000000000000001E-3</v>
      </c>
      <c r="G34" s="114">
        <f>E34*F34</f>
        <v>7</v>
      </c>
      <c r="H34" s="114">
        <f t="shared" si="2"/>
        <v>0</v>
      </c>
      <c r="I34" s="116">
        <f t="shared" si="3"/>
        <v>0</v>
      </c>
      <c r="J34" s="117">
        <f t="shared" si="9"/>
        <v>3.1391812513027598E-2</v>
      </c>
    </row>
    <row r="35" spans="1:10" x14ac:dyDescent="0.2">
      <c r="A35" s="36" t="s">
        <v>116</v>
      </c>
      <c r="B35" s="37"/>
      <c r="C35" s="38"/>
      <c r="D35" s="38">
        <f>SUM(D14,D24,D27,D33,D34)</f>
        <v>210.67960000000002</v>
      </c>
      <c r="E35" s="37"/>
      <c r="F35" s="38"/>
      <c r="G35" s="38">
        <f>SUM(G14,G24,G27,G33,G34)</f>
        <v>212.36960000000002</v>
      </c>
      <c r="H35" s="38">
        <f t="shared" si="2"/>
        <v>1.6899999999999977</v>
      </c>
      <c r="I35" s="39">
        <f>IF(ISERROR(H35/D35),0,(H35/D35))</f>
        <v>8.0216594297691738E-3</v>
      </c>
      <c r="J35" s="40">
        <f t="shared" si="9"/>
        <v>0.95238095238095233</v>
      </c>
    </row>
    <row r="36" spans="1:10" x14ac:dyDescent="0.2">
      <c r="A36" s="45" t="s">
        <v>108</v>
      </c>
      <c r="B36" s="42"/>
      <c r="C36" s="25">
        <v>0.13</v>
      </c>
      <c r="D36" s="25">
        <f>D35*C36</f>
        <v>27.388348000000004</v>
      </c>
      <c r="E36" s="25"/>
      <c r="F36" s="25">
        <f>C36</f>
        <v>0.13</v>
      </c>
      <c r="G36" s="25">
        <f>G35*F36</f>
        <v>27.608048000000004</v>
      </c>
      <c r="H36" s="25">
        <f t="shared" si="2"/>
        <v>0.21969999999999956</v>
      </c>
      <c r="I36" s="43">
        <f t="shared" si="3"/>
        <v>8.0216594297691686E-3</v>
      </c>
      <c r="J36" s="44">
        <f t="shared" si="9"/>
        <v>0.12380952380952381</v>
      </c>
    </row>
    <row r="37" spans="1:10" x14ac:dyDescent="0.2">
      <c r="A37" s="45" t="s">
        <v>109</v>
      </c>
      <c r="B37" s="23"/>
      <c r="C37" s="24"/>
      <c r="D37" s="24">
        <f>SUM(D35:D36)</f>
        <v>238.06794800000003</v>
      </c>
      <c r="E37" s="24"/>
      <c r="F37" s="24"/>
      <c r="G37" s="24">
        <f>SUM(G35:G36)</f>
        <v>239.97764800000002</v>
      </c>
      <c r="H37" s="24">
        <f t="shared" si="2"/>
        <v>1.9096999999999866</v>
      </c>
      <c r="I37" s="26">
        <f t="shared" si="3"/>
        <v>8.0216594297691287E-3</v>
      </c>
      <c r="J37" s="46">
        <f t="shared" si="9"/>
        <v>1.0761904761904761</v>
      </c>
    </row>
    <row r="38" spans="1:10" x14ac:dyDescent="0.2">
      <c r="A38" s="45" t="s">
        <v>110</v>
      </c>
      <c r="B38" s="42"/>
      <c r="C38" s="25">
        <v>-0.08</v>
      </c>
      <c r="D38" s="25">
        <f>D35*C38</f>
        <v>-16.854368000000001</v>
      </c>
      <c r="E38" s="25"/>
      <c r="F38" s="25">
        <f>C38</f>
        <v>-0.08</v>
      </c>
      <c r="G38" s="25">
        <f>G35*F38</f>
        <v>-16.989568000000002</v>
      </c>
      <c r="H38" s="25">
        <f t="shared" si="2"/>
        <v>-0.1352000000000011</v>
      </c>
      <c r="I38" s="43">
        <f t="shared" si="3"/>
        <v>8.0216594297692501E-3</v>
      </c>
      <c r="J38" s="44">
        <f t="shared" si="9"/>
        <v>-7.6190476190476197E-2</v>
      </c>
    </row>
    <row r="39" spans="1:10" ht="13.5" thickBot="1" x14ac:dyDescent="0.25">
      <c r="A39" s="47" t="s">
        <v>111</v>
      </c>
      <c r="B39" s="48"/>
      <c r="C39" s="49"/>
      <c r="D39" s="49">
        <f>SUM(D37:D38)</f>
        <v>221.21358000000004</v>
      </c>
      <c r="E39" s="49"/>
      <c r="F39" s="49"/>
      <c r="G39" s="49">
        <f>SUM(G37:G38)</f>
        <v>222.98808000000002</v>
      </c>
      <c r="H39" s="49">
        <f t="shared" si="2"/>
        <v>1.7744999999999891</v>
      </c>
      <c r="I39" s="50">
        <f t="shared" si="3"/>
        <v>8.0216594297691339E-3</v>
      </c>
      <c r="J39" s="51">
        <f t="shared" si="9"/>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1" tint="0.499984740745262"/>
    <pageSetUpPr fitToPage="1"/>
  </sheetPr>
  <dimension ref="A1:J54"/>
  <sheetViews>
    <sheetView tabSelected="1" topLeftCell="A10"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9</v>
      </c>
    </row>
    <row r="4" spans="1:10" x14ac:dyDescent="0.2">
      <c r="A4" s="14" t="s">
        <v>62</v>
      </c>
      <c r="B4" s="14">
        <v>20</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21.840000000000003</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20</v>
      </c>
      <c r="C12" s="102">
        <v>0.10299999999999999</v>
      </c>
      <c r="D12" s="103">
        <f>B12*C12</f>
        <v>2.06</v>
      </c>
      <c r="E12" s="101">
        <f>B12</f>
        <v>20</v>
      </c>
      <c r="F12" s="102">
        <f>C12</f>
        <v>0.10299999999999999</v>
      </c>
      <c r="G12" s="103">
        <f>E12*F12</f>
        <v>2.06</v>
      </c>
      <c r="H12" s="103">
        <f>G12-D12</f>
        <v>0</v>
      </c>
      <c r="I12" s="104">
        <f>IF(ISERROR(H12/D12),0,(H12/D12))</f>
        <v>0</v>
      </c>
      <c r="J12" s="123">
        <f t="shared" ref="J12:J30" si="0">G12/$G$39</f>
        <v>0.20619162790083898</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2.06</v>
      </c>
      <c r="E14" s="75"/>
      <c r="F14" s="24"/>
      <c r="G14" s="24">
        <f>SUM(G12:G13)</f>
        <v>2.06</v>
      </c>
      <c r="H14" s="24">
        <f t="shared" si="2"/>
        <v>0</v>
      </c>
      <c r="I14" s="26">
        <f t="shared" si="3"/>
        <v>0</v>
      </c>
      <c r="J14" s="46">
        <f t="shared" si="0"/>
        <v>0.20619162790083898</v>
      </c>
    </row>
    <row r="15" spans="1:10" x14ac:dyDescent="0.2">
      <c r="A15" s="106" t="s">
        <v>38</v>
      </c>
      <c r="B15" s="72">
        <v>1</v>
      </c>
      <c r="C15" s="77">
        <f>VLOOKUP($B$3,'Data for Bill Impacts'!$A$3:$Y$15,7,0)</f>
        <v>3.6</v>
      </c>
      <c r="D15" s="21">
        <f>B15*C15</f>
        <v>3.6</v>
      </c>
      <c r="E15" s="72">
        <f t="shared" ref="E15:E34" si="4">B15</f>
        <v>1</v>
      </c>
      <c r="F15" s="77">
        <f>VLOOKUP($B$3,'Data for Bill Impacts'!$A$3:$Y$15,17,0)</f>
        <v>3.76</v>
      </c>
      <c r="G15" s="21">
        <f>E15*F15</f>
        <v>3.76</v>
      </c>
      <c r="H15" s="21">
        <f t="shared" si="2"/>
        <v>0.1599999999999997</v>
      </c>
      <c r="I15" s="22">
        <f t="shared" si="3"/>
        <v>4.4444444444444363E-2</v>
      </c>
      <c r="J15" s="124">
        <f t="shared" si="0"/>
        <v>0.37634976743065751</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v>
      </c>
      <c r="D18" s="21">
        <f t="shared" si="6"/>
        <v>0</v>
      </c>
      <c r="E18" s="72">
        <f t="shared" si="4"/>
        <v>1</v>
      </c>
      <c r="F18" s="77">
        <f>VLOOKUP($B$3,'Data for Bill Impacts'!$A$3:$Y$15,22,0)</f>
        <v>0</v>
      </c>
      <c r="G18" s="21">
        <f t="shared" si="5"/>
        <v>0</v>
      </c>
      <c r="H18" s="21">
        <f t="shared" si="2"/>
        <v>0</v>
      </c>
      <c r="I18" s="22">
        <f t="shared" si="3"/>
        <v>0</v>
      </c>
      <c r="J18" s="124">
        <f t="shared" si="0"/>
        <v>0</v>
      </c>
    </row>
    <row r="19" spans="1:10" x14ac:dyDescent="0.2">
      <c r="A19" s="106" t="s">
        <v>39</v>
      </c>
      <c r="B19" s="72">
        <f>IF($B$9="kWh",$B$4,$B$5)</f>
        <v>20</v>
      </c>
      <c r="C19" s="125">
        <f>VLOOKUP($B$3,'Data for Bill Impacts'!$A$3:$Y$15,10,0)</f>
        <v>0.1338</v>
      </c>
      <c r="D19" s="21">
        <f>B19*C19</f>
        <v>2.6760000000000002</v>
      </c>
      <c r="E19" s="72">
        <f t="shared" si="4"/>
        <v>20</v>
      </c>
      <c r="F19" s="77">
        <f>VLOOKUP($B$3,'Data for Bill Impacts'!$A$3:$Y$15,19,0)</f>
        <v>0.1401</v>
      </c>
      <c r="G19" s="21">
        <f>E19*F19</f>
        <v>2.802</v>
      </c>
      <c r="H19" s="21">
        <f t="shared" si="2"/>
        <v>0.12599999999999989</v>
      </c>
      <c r="I19" s="22">
        <f t="shared" si="3"/>
        <v>4.7085201793721929E-2</v>
      </c>
      <c r="J19" s="124">
        <f t="shared" si="0"/>
        <v>0.28046065115444213</v>
      </c>
    </row>
    <row r="20" spans="1:10" s="1" customFormat="1" x14ac:dyDescent="0.2">
      <c r="A20" s="106" t="s">
        <v>129</v>
      </c>
      <c r="B20" s="72">
        <f>IF($B$9="kWh",$B$4,$B$5)</f>
        <v>20</v>
      </c>
      <c r="C20" s="125">
        <f>VLOOKUP($B$3,'Data for Bill Impacts'!$A$3:$Y$15,14,0)</f>
        <v>1E-4</v>
      </c>
      <c r="D20" s="21">
        <f>B20*C20</f>
        <v>2E-3</v>
      </c>
      <c r="E20" s="72">
        <f>B20</f>
        <v>20</v>
      </c>
      <c r="F20" s="77">
        <f>VLOOKUP($B$3,'Data for Bill Impacts'!$A$3:$Y$15,23,0)</f>
        <v>1E-4</v>
      </c>
      <c r="G20" s="21">
        <f>E20*F20</f>
        <v>2E-3</v>
      </c>
      <c r="H20" s="21">
        <f>G20-D20</f>
        <v>0</v>
      </c>
      <c r="I20" s="22">
        <f>IF(ISERROR(H20/D20),0,(H20/D20))</f>
        <v>0</v>
      </c>
      <c r="J20" s="124">
        <f t="shared" si="0"/>
        <v>2.001860465056689E-4</v>
      </c>
    </row>
    <row r="21" spans="1:10" hidden="1" x14ac:dyDescent="0.2">
      <c r="A21" s="106" t="s">
        <v>86</v>
      </c>
      <c r="B21" s="72">
        <f>IF($B$9="kWh",$B$4,$B$5)</f>
        <v>20</v>
      </c>
      <c r="C21" s="125">
        <v>0</v>
      </c>
      <c r="D21" s="21">
        <f>B21*C21</f>
        <v>0</v>
      </c>
      <c r="E21" s="72">
        <f t="shared" si="4"/>
        <v>20</v>
      </c>
      <c r="F21" s="77">
        <v>0</v>
      </c>
      <c r="G21" s="21">
        <f>E21*F21</f>
        <v>0</v>
      </c>
      <c r="H21" s="21">
        <f t="shared" si="2"/>
        <v>0</v>
      </c>
      <c r="I21" s="22">
        <f>IF(ISERROR(H21/D21),0,(H21/D21))</f>
        <v>0</v>
      </c>
      <c r="J21" s="124">
        <f t="shared" si="0"/>
        <v>0</v>
      </c>
    </row>
    <row r="22" spans="1:10" x14ac:dyDescent="0.2">
      <c r="A22" s="109" t="s">
        <v>72</v>
      </c>
      <c r="B22" s="73"/>
      <c r="C22" s="34"/>
      <c r="D22" s="34">
        <f>SUM(D15:D21)</f>
        <v>6.2779999999999996</v>
      </c>
      <c r="E22" s="72"/>
      <c r="F22" s="34"/>
      <c r="G22" s="34">
        <f>SUM(G15:G21)</f>
        <v>6.5639999999999992</v>
      </c>
      <c r="H22" s="34">
        <f t="shared" si="2"/>
        <v>0.28599999999999959</v>
      </c>
      <c r="I22" s="35">
        <f t="shared" si="3"/>
        <v>4.5555909525326475E-2</v>
      </c>
      <c r="J22" s="110">
        <f t="shared" si="0"/>
        <v>0.65701060463160521</v>
      </c>
    </row>
    <row r="23" spans="1:10" s="1" customFormat="1" x14ac:dyDescent="0.2">
      <c r="A23" s="118" t="s">
        <v>81</v>
      </c>
      <c r="B23" s="119">
        <f>B8-B4</f>
        <v>1.8400000000000034</v>
      </c>
      <c r="C23" s="120">
        <f>IF(B4&gt;B7,C13,C12)</f>
        <v>0.10299999999999999</v>
      </c>
      <c r="D23" s="21">
        <f>B23*C23</f>
        <v>0.18952000000000033</v>
      </c>
      <c r="E23" s="72">
        <f>B23</f>
        <v>1.8400000000000034</v>
      </c>
      <c r="F23" s="120">
        <f>C23</f>
        <v>0.10299999999999999</v>
      </c>
      <c r="G23" s="21">
        <f>E23*F23</f>
        <v>0.18952000000000033</v>
      </c>
      <c r="H23" s="21">
        <f t="shared" si="2"/>
        <v>0</v>
      </c>
      <c r="I23" s="22">
        <f>IF(ISERROR(H23/D23),0,(H23/D23))</f>
        <v>0</v>
      </c>
      <c r="J23" s="124">
        <f t="shared" si="0"/>
        <v>1.8969629766877216E-2</v>
      </c>
    </row>
    <row r="24" spans="1:10" x14ac:dyDescent="0.2">
      <c r="A24" s="109" t="s">
        <v>79</v>
      </c>
      <c r="B24" s="73"/>
      <c r="C24" s="34"/>
      <c r="D24" s="34">
        <f>SUM(D22,D23:D23)</f>
        <v>6.4675199999999995</v>
      </c>
      <c r="E24" s="72"/>
      <c r="F24" s="34"/>
      <c r="G24" s="34">
        <f>SUM(G22,G23:G23)</f>
        <v>6.7535199999999991</v>
      </c>
      <c r="H24" s="34">
        <f t="shared" si="2"/>
        <v>0.28599999999999959</v>
      </c>
      <c r="I24" s="35">
        <f>IF(ISERROR(H24/D24),0,(H24/D24))</f>
        <v>4.4220968779377506E-2</v>
      </c>
      <c r="J24" s="110">
        <f t="shared" si="0"/>
        <v>0.67598023439848243</v>
      </c>
    </row>
    <row r="25" spans="1:10" x14ac:dyDescent="0.2">
      <c r="A25" s="106" t="s">
        <v>40</v>
      </c>
      <c r="B25" s="72">
        <f>B8</f>
        <v>21.840000000000003</v>
      </c>
      <c r="C25" s="125">
        <f>VLOOKUP($B$3,'Data for Bill Impacts'!$A$3:$Y$15,15,0)</f>
        <v>3.836E-3</v>
      </c>
      <c r="D25" s="21">
        <f>B25*C25</f>
        <v>8.3778240000000018E-2</v>
      </c>
      <c r="E25" s="72">
        <f t="shared" si="4"/>
        <v>21.840000000000003</v>
      </c>
      <c r="F25" s="77">
        <f>VLOOKUP($B$3,'Data for Bill Impacts'!$A$3:$Y$15,24,0)</f>
        <v>3.836E-3</v>
      </c>
      <c r="G25" s="21">
        <f>E25*F25</f>
        <v>8.3778240000000018E-2</v>
      </c>
      <c r="H25" s="21">
        <f t="shared" si="2"/>
        <v>0</v>
      </c>
      <c r="I25" s="22">
        <f t="shared" si="3"/>
        <v>0</v>
      </c>
      <c r="J25" s="124">
        <f t="shared" si="0"/>
        <v>8.385617324401547E-3</v>
      </c>
    </row>
    <row r="26" spans="1:10" s="1" customFormat="1" x14ac:dyDescent="0.2">
      <c r="A26" s="106" t="s">
        <v>41</v>
      </c>
      <c r="B26" s="72">
        <f>B8</f>
        <v>21.840000000000003</v>
      </c>
      <c r="C26" s="125">
        <f>VLOOKUP($B$3,'Data for Bill Impacts'!$A$3:$Y$15,16,0)</f>
        <v>3.6240000000000001E-3</v>
      </c>
      <c r="D26" s="21">
        <f>B26*C26</f>
        <v>7.9148160000000009E-2</v>
      </c>
      <c r="E26" s="72">
        <f t="shared" si="4"/>
        <v>21.840000000000003</v>
      </c>
      <c r="F26" s="77">
        <f>VLOOKUP($B$3,'Data for Bill Impacts'!$A$3:$Y$15,25,0)</f>
        <v>3.6240000000000001E-3</v>
      </c>
      <c r="G26" s="21">
        <f>E26*F26</f>
        <v>7.9148160000000009E-2</v>
      </c>
      <c r="H26" s="21">
        <f t="shared" si="2"/>
        <v>0</v>
      </c>
      <c r="I26" s="22">
        <f t="shared" si="3"/>
        <v>0</v>
      </c>
      <c r="J26" s="124">
        <f t="shared" si="0"/>
        <v>7.9221786192990619E-3</v>
      </c>
    </row>
    <row r="27" spans="1:10" s="1" customFormat="1" x14ac:dyDescent="0.2">
      <c r="A27" s="109" t="s">
        <v>76</v>
      </c>
      <c r="B27" s="73"/>
      <c r="C27" s="34"/>
      <c r="D27" s="34">
        <f>SUM(D25:D26)</f>
        <v>0.16292640000000003</v>
      </c>
      <c r="E27" s="72"/>
      <c r="F27" s="34"/>
      <c r="G27" s="34">
        <f>SUM(G25:G26)</f>
        <v>0.16292640000000003</v>
      </c>
      <c r="H27" s="34">
        <f t="shared" si="2"/>
        <v>0</v>
      </c>
      <c r="I27" s="35">
        <f t="shared" si="3"/>
        <v>0</v>
      </c>
      <c r="J27" s="110">
        <f t="shared" si="0"/>
        <v>1.6307795943700611E-2</v>
      </c>
    </row>
    <row r="28" spans="1:10" s="1" customFormat="1" x14ac:dyDescent="0.2">
      <c r="A28" s="109" t="s">
        <v>80</v>
      </c>
      <c r="B28" s="73"/>
      <c r="C28" s="34"/>
      <c r="D28" s="34">
        <f>D24+D27</f>
        <v>6.6304463999999994</v>
      </c>
      <c r="E28" s="72"/>
      <c r="F28" s="34"/>
      <c r="G28" s="34">
        <f>G24+G27</f>
        <v>6.916446399999999</v>
      </c>
      <c r="H28" s="34">
        <f t="shared" si="2"/>
        <v>0.28599999999999959</v>
      </c>
      <c r="I28" s="35">
        <f t="shared" si="3"/>
        <v>4.3134350652468831E-2</v>
      </c>
      <c r="J28" s="110">
        <f t="shared" si="0"/>
        <v>0.692288030342183</v>
      </c>
    </row>
    <row r="29" spans="1:10" x14ac:dyDescent="0.2">
      <c r="A29" s="106" t="s">
        <v>42</v>
      </c>
      <c r="B29" s="72">
        <f>B8</f>
        <v>21.840000000000003</v>
      </c>
      <c r="C29" s="33">
        <v>3.5999999999999999E-3</v>
      </c>
      <c r="D29" s="21">
        <f>B29*C29</f>
        <v>7.8624000000000013E-2</v>
      </c>
      <c r="E29" s="72">
        <f t="shared" si="4"/>
        <v>21.840000000000003</v>
      </c>
      <c r="F29" s="33">
        <v>3.5999999999999999E-3</v>
      </c>
      <c r="G29" s="21">
        <f>E29*F29</f>
        <v>7.8624000000000013E-2</v>
      </c>
      <c r="H29" s="21">
        <f t="shared" si="2"/>
        <v>0</v>
      </c>
      <c r="I29" s="22">
        <f t="shared" si="3"/>
        <v>0</v>
      </c>
      <c r="J29" s="124">
        <f t="shared" si="0"/>
        <v>7.8697138602308574E-3</v>
      </c>
    </row>
    <row r="30" spans="1:10" s="1" customFormat="1" x14ac:dyDescent="0.2">
      <c r="A30" s="106" t="s">
        <v>43</v>
      </c>
      <c r="B30" s="72">
        <f>B8</f>
        <v>21.840000000000003</v>
      </c>
      <c r="C30" s="33">
        <v>2.0999999999999999E-3</v>
      </c>
      <c r="D30" s="21">
        <f>B30*C30</f>
        <v>4.5864000000000002E-2</v>
      </c>
      <c r="E30" s="72">
        <f t="shared" si="4"/>
        <v>21.840000000000003</v>
      </c>
      <c r="F30" s="33">
        <v>2.0999999999999999E-3</v>
      </c>
      <c r="G30" s="21">
        <f>E30*F30</f>
        <v>4.5864000000000002E-2</v>
      </c>
      <c r="H30" s="21">
        <f>G30-D30</f>
        <v>0</v>
      </c>
      <c r="I30" s="22">
        <f t="shared" si="3"/>
        <v>0</v>
      </c>
      <c r="J30" s="124">
        <f t="shared" si="0"/>
        <v>4.5906664184679992E-3</v>
      </c>
    </row>
    <row r="31" spans="1:10" s="1" customFormat="1" x14ac:dyDescent="0.2">
      <c r="A31" s="106" t="s">
        <v>99</v>
      </c>
      <c r="B31" s="72">
        <f>B8</f>
        <v>21.840000000000003</v>
      </c>
      <c r="C31" s="33">
        <v>1.1000000000000001E-3</v>
      </c>
      <c r="D31" s="21">
        <f>B31*C31</f>
        <v>2.4024000000000004E-2</v>
      </c>
      <c r="E31" s="72">
        <f t="shared" si="4"/>
        <v>21.840000000000003</v>
      </c>
      <c r="F31" s="33">
        <v>1.1000000000000001E-3</v>
      </c>
      <c r="G31" s="21">
        <f>E31*F31</f>
        <v>2.4024000000000004E-2</v>
      </c>
      <c r="H31" s="21">
        <f>G31-D31</f>
        <v>0</v>
      </c>
      <c r="I31" s="22">
        <f t="shared" ref="I31" si="7">IF(ISERROR(H31/D31),0,(H31/D31))</f>
        <v>0</v>
      </c>
      <c r="J31" s="124">
        <f t="shared" ref="J31" si="8">G31/$G$39</f>
        <v>2.4046347906260951E-3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ref="J32:J39" si="9">G32/$G$39</f>
        <v>2.5023255813208613E-2</v>
      </c>
    </row>
    <row r="33" spans="1:10" s="1" customFormat="1" x14ac:dyDescent="0.2">
      <c r="A33" s="109" t="s">
        <v>45</v>
      </c>
      <c r="B33" s="73"/>
      <c r="C33" s="34"/>
      <c r="D33" s="34">
        <f>SUM(D29:D32)</f>
        <v>0.39851200000000003</v>
      </c>
      <c r="E33" s="72"/>
      <c r="F33" s="34"/>
      <c r="G33" s="34">
        <f>SUM(G29:G32)</f>
        <v>0.39851200000000003</v>
      </c>
      <c r="H33" s="34">
        <f t="shared" si="2"/>
        <v>0</v>
      </c>
      <c r="I33" s="35">
        <f t="shared" si="3"/>
        <v>0</v>
      </c>
      <c r="J33" s="110">
        <f t="shared" si="9"/>
        <v>3.9888270882533564E-2</v>
      </c>
    </row>
    <row r="34" spans="1:10" ht="13.5" thickBot="1" x14ac:dyDescent="0.25">
      <c r="A34" s="111" t="s">
        <v>46</v>
      </c>
      <c r="B34" s="112">
        <f>B4</f>
        <v>20</v>
      </c>
      <c r="C34" s="113">
        <v>7.0000000000000001E-3</v>
      </c>
      <c r="D34" s="114">
        <f>B34*C34</f>
        <v>0.14000000000000001</v>
      </c>
      <c r="E34" s="115">
        <f t="shared" si="4"/>
        <v>20</v>
      </c>
      <c r="F34" s="113">
        <f>C34</f>
        <v>7.0000000000000001E-3</v>
      </c>
      <c r="G34" s="114">
        <f>E34*F34</f>
        <v>0.14000000000000001</v>
      </c>
      <c r="H34" s="114">
        <f t="shared" si="2"/>
        <v>0</v>
      </c>
      <c r="I34" s="116">
        <f t="shared" si="3"/>
        <v>0</v>
      </c>
      <c r="J34" s="117">
        <f t="shared" si="9"/>
        <v>1.4013023255396825E-2</v>
      </c>
    </row>
    <row r="35" spans="1:10" x14ac:dyDescent="0.2">
      <c r="A35" s="36" t="s">
        <v>116</v>
      </c>
      <c r="B35" s="37"/>
      <c r="C35" s="38"/>
      <c r="D35" s="38">
        <f>SUM(D14,D24,D27,D33,D34)</f>
        <v>9.2289583999999998</v>
      </c>
      <c r="E35" s="37"/>
      <c r="F35" s="38"/>
      <c r="G35" s="38">
        <f>SUM(G14,G24,G27,G33,G34)</f>
        <v>9.5149583999999994</v>
      </c>
      <c r="H35" s="38">
        <f t="shared" si="2"/>
        <v>0.28599999999999959</v>
      </c>
      <c r="I35" s="39">
        <f>IF(ISERROR(H35/D35),0,(H35/D35))</f>
        <v>3.0989412629706902E-2</v>
      </c>
      <c r="J35" s="40">
        <f t="shared" si="9"/>
        <v>0.95238095238095244</v>
      </c>
    </row>
    <row r="36" spans="1:10" x14ac:dyDescent="0.2">
      <c r="A36" s="45" t="s">
        <v>108</v>
      </c>
      <c r="B36" s="42"/>
      <c r="C36" s="25">
        <v>0.13</v>
      </c>
      <c r="D36" s="25">
        <f>D35*C36</f>
        <v>1.199764592</v>
      </c>
      <c r="E36" s="25"/>
      <c r="F36" s="25">
        <f>C36</f>
        <v>0.13</v>
      </c>
      <c r="G36" s="25">
        <f>G35*F36</f>
        <v>1.236944592</v>
      </c>
      <c r="H36" s="25">
        <f t="shared" si="2"/>
        <v>3.7179999999999991E-2</v>
      </c>
      <c r="I36" s="43">
        <f t="shared" si="3"/>
        <v>3.0989412629706937E-2</v>
      </c>
      <c r="J36" s="44">
        <f t="shared" si="9"/>
        <v>0.12380952380952381</v>
      </c>
    </row>
    <row r="37" spans="1:10" x14ac:dyDescent="0.2">
      <c r="A37" s="45" t="s">
        <v>109</v>
      </c>
      <c r="B37" s="23"/>
      <c r="C37" s="24"/>
      <c r="D37" s="24">
        <f>SUM(D35:D36)</f>
        <v>10.428722991999999</v>
      </c>
      <c r="E37" s="24"/>
      <c r="F37" s="24"/>
      <c r="G37" s="24">
        <f>SUM(G35:G36)</f>
        <v>10.751902992</v>
      </c>
      <c r="H37" s="24">
        <f t="shared" si="2"/>
        <v>0.32318000000000069</v>
      </c>
      <c r="I37" s="26">
        <f t="shared" si="3"/>
        <v>3.0989412629707013E-2</v>
      </c>
      <c r="J37" s="46">
        <f t="shared" si="9"/>
        <v>1.0761904761904761</v>
      </c>
    </row>
    <row r="38" spans="1:10" x14ac:dyDescent="0.2">
      <c r="A38" s="45" t="s">
        <v>110</v>
      </c>
      <c r="B38" s="42"/>
      <c r="C38" s="25">
        <v>-0.08</v>
      </c>
      <c r="D38" s="25">
        <f>D35*C38</f>
        <v>-0.73831667199999995</v>
      </c>
      <c r="E38" s="25"/>
      <c r="F38" s="25">
        <f>C38</f>
        <v>-0.08</v>
      </c>
      <c r="G38" s="25">
        <f>G35*F38</f>
        <v>-0.76119667199999996</v>
      </c>
      <c r="H38" s="25">
        <f t="shared" si="2"/>
        <v>-2.2880000000000011E-2</v>
      </c>
      <c r="I38" s="43">
        <f t="shared" si="3"/>
        <v>3.0989412629706961E-2</v>
      </c>
      <c r="J38" s="44">
        <f t="shared" si="9"/>
        <v>-7.6190476190476197E-2</v>
      </c>
    </row>
    <row r="39" spans="1:10" ht="13.5" thickBot="1" x14ac:dyDescent="0.25">
      <c r="A39" s="47" t="s">
        <v>111</v>
      </c>
      <c r="B39" s="48"/>
      <c r="C39" s="49"/>
      <c r="D39" s="49">
        <f>SUM(D37:D38)</f>
        <v>9.6904063199999992</v>
      </c>
      <c r="E39" s="49"/>
      <c r="F39" s="49"/>
      <c r="G39" s="49">
        <f>SUM(G37:G38)</f>
        <v>9.9907063199999993</v>
      </c>
      <c r="H39" s="49">
        <f t="shared" si="2"/>
        <v>0.30030000000000001</v>
      </c>
      <c r="I39" s="50">
        <f t="shared" si="3"/>
        <v>3.0989412629706947E-2</v>
      </c>
      <c r="J39" s="51">
        <f t="shared" si="9"/>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9</v>
      </c>
    </row>
    <row r="4" spans="1:10" x14ac:dyDescent="0.2">
      <c r="A4" s="14" t="s">
        <v>62</v>
      </c>
      <c r="B4" s="78">
        <f>'Data for Bill Impacts_HONI Avg '!C10</f>
        <v>71</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77.532000000000011</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71</v>
      </c>
      <c r="C12" s="102">
        <v>0.10299999999999999</v>
      </c>
      <c r="D12" s="103">
        <f>B12*C12</f>
        <v>7.3129999999999997</v>
      </c>
      <c r="E12" s="101">
        <f>B12</f>
        <v>71</v>
      </c>
      <c r="F12" s="102">
        <f>C12</f>
        <v>0.10299999999999999</v>
      </c>
      <c r="G12" s="103">
        <f>E12*F12</f>
        <v>7.3129999999999997</v>
      </c>
      <c r="H12" s="103">
        <f>G12-D12</f>
        <v>0</v>
      </c>
      <c r="I12" s="104">
        <f>IF(ISERROR(H12/D12),0,(H12/D12))</f>
        <v>0</v>
      </c>
      <c r="J12" s="123">
        <f t="shared" ref="J12:J39" si="0">G12/$G$39</f>
        <v>0.29571092867507404</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7.3129999999999997</v>
      </c>
      <c r="E14" s="75"/>
      <c r="F14" s="24"/>
      <c r="G14" s="24">
        <f>SUM(G12:G13)</f>
        <v>7.3129999999999997</v>
      </c>
      <c r="H14" s="24">
        <f t="shared" si="2"/>
        <v>0</v>
      </c>
      <c r="I14" s="26">
        <f t="shared" si="3"/>
        <v>0</v>
      </c>
      <c r="J14" s="46">
        <f t="shared" si="0"/>
        <v>0.29571092867507404</v>
      </c>
    </row>
    <row r="15" spans="1:10" x14ac:dyDescent="0.2">
      <c r="A15" s="106" t="s">
        <v>38</v>
      </c>
      <c r="B15" s="72">
        <v>1</v>
      </c>
      <c r="C15" s="77">
        <f>VLOOKUP($B$3,'Data for Bill Impacts'!$A$3:$Y$15,7,0)</f>
        <v>3.6</v>
      </c>
      <c r="D15" s="21">
        <f>B15*C15</f>
        <v>3.6</v>
      </c>
      <c r="E15" s="72">
        <f t="shared" ref="E15:E34" si="4">B15</f>
        <v>1</v>
      </c>
      <c r="F15" s="77">
        <f>VLOOKUP($B$3,'Data for Bill Impacts'!$A$3:$Y$15,17,0)</f>
        <v>3.76</v>
      </c>
      <c r="G15" s="21">
        <f>E15*F15</f>
        <v>3.76</v>
      </c>
      <c r="H15" s="21">
        <f t="shared" si="2"/>
        <v>0.1599999999999997</v>
      </c>
      <c r="I15" s="22">
        <f t="shared" si="3"/>
        <v>4.4444444444444363E-2</v>
      </c>
      <c r="J15" s="124">
        <f t="shared" si="0"/>
        <v>0.15204062516317221</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v>
      </c>
      <c r="D18" s="21">
        <f t="shared" si="6"/>
        <v>0</v>
      </c>
      <c r="E18" s="72">
        <f t="shared" si="4"/>
        <v>1</v>
      </c>
      <c r="F18" s="77">
        <f>VLOOKUP($B$3,'Data for Bill Impacts'!$A$3:$Y$15,22,0)</f>
        <v>0</v>
      </c>
      <c r="G18" s="21">
        <f t="shared" si="5"/>
        <v>0</v>
      </c>
      <c r="H18" s="21">
        <f t="shared" si="2"/>
        <v>0</v>
      </c>
      <c r="I18" s="22">
        <f t="shared" si="3"/>
        <v>0</v>
      </c>
      <c r="J18" s="124">
        <f t="shared" si="0"/>
        <v>0</v>
      </c>
    </row>
    <row r="19" spans="1:10" x14ac:dyDescent="0.2">
      <c r="A19" s="106" t="s">
        <v>39</v>
      </c>
      <c r="B19" s="72">
        <f>IF($B$9="kWh",$B$4,$B$5)</f>
        <v>71</v>
      </c>
      <c r="C19" s="125">
        <f>VLOOKUP($B$3,'Data for Bill Impacts'!$A$3:$Y$15,10,0)</f>
        <v>0.1338</v>
      </c>
      <c r="D19" s="21">
        <f>B19*C19</f>
        <v>9.4998000000000005</v>
      </c>
      <c r="E19" s="72">
        <f t="shared" si="4"/>
        <v>71</v>
      </c>
      <c r="F19" s="77">
        <f>VLOOKUP($B$3,'Data for Bill Impacts'!$A$3:$Y$15,19,0)</f>
        <v>0.1401</v>
      </c>
      <c r="G19" s="21">
        <f>E19*F19</f>
        <v>9.9471000000000007</v>
      </c>
      <c r="H19" s="21">
        <f t="shared" si="2"/>
        <v>0.44730000000000025</v>
      </c>
      <c r="I19" s="22">
        <f t="shared" si="3"/>
        <v>4.7085201793721998E-2</v>
      </c>
      <c r="J19" s="124">
        <f t="shared" si="0"/>
        <v>0.40222428259590171</v>
      </c>
    </row>
    <row r="20" spans="1:10" s="1" customFormat="1" x14ac:dyDescent="0.2">
      <c r="A20" s="106" t="s">
        <v>129</v>
      </c>
      <c r="B20" s="72">
        <f>IF($B$9="kWh",$B$4,$B$5)</f>
        <v>71</v>
      </c>
      <c r="C20" s="125">
        <f>VLOOKUP($B$3,'Data for Bill Impacts'!$A$3:$Y$15,14,0)</f>
        <v>1E-4</v>
      </c>
      <c r="D20" s="21">
        <f>B20*C20</f>
        <v>7.1000000000000004E-3</v>
      </c>
      <c r="E20" s="72">
        <f>B20</f>
        <v>71</v>
      </c>
      <c r="F20" s="77">
        <f>VLOOKUP($B$3,'Data for Bill Impacts'!$A$3:$Y$15,23,0)</f>
        <v>1E-4</v>
      </c>
      <c r="G20" s="21">
        <f>E20*F20</f>
        <v>7.1000000000000004E-3</v>
      </c>
      <c r="H20" s="21">
        <f>G20-D20</f>
        <v>0</v>
      </c>
      <c r="I20" s="22">
        <f>IF(ISERROR(H20/D20),0,(H20/D20))</f>
        <v>0</v>
      </c>
      <c r="J20" s="124">
        <f t="shared" si="0"/>
        <v>2.8709798900492629E-4</v>
      </c>
    </row>
    <row r="21" spans="1:10" hidden="1" x14ac:dyDescent="0.2">
      <c r="A21" s="106" t="s">
        <v>86</v>
      </c>
      <c r="B21" s="72">
        <f>IF($B$9="kWh",$B$4,$B$5)</f>
        <v>71</v>
      </c>
      <c r="C21" s="125">
        <v>0</v>
      </c>
      <c r="D21" s="21">
        <f>B21*C21</f>
        <v>0</v>
      </c>
      <c r="E21" s="72">
        <f t="shared" si="4"/>
        <v>71</v>
      </c>
      <c r="F21" s="77">
        <v>0</v>
      </c>
      <c r="G21" s="21">
        <f>E21*F21</f>
        <v>0</v>
      </c>
      <c r="H21" s="21">
        <f t="shared" si="2"/>
        <v>0</v>
      </c>
      <c r="I21" s="22">
        <f>IF(ISERROR(H21/D21),0,(H21/D21))</f>
        <v>0</v>
      </c>
      <c r="J21" s="124">
        <f t="shared" si="0"/>
        <v>0</v>
      </c>
    </row>
    <row r="22" spans="1:10" x14ac:dyDescent="0.2">
      <c r="A22" s="109" t="s">
        <v>72</v>
      </c>
      <c r="B22" s="73"/>
      <c r="C22" s="34"/>
      <c r="D22" s="34">
        <f>SUM(D15:D21)</f>
        <v>13.1069</v>
      </c>
      <c r="E22" s="72"/>
      <c r="F22" s="34"/>
      <c r="G22" s="34">
        <f>SUM(G15:G21)</f>
        <v>13.7142</v>
      </c>
      <c r="H22" s="34">
        <f t="shared" si="2"/>
        <v>0.6073000000000004</v>
      </c>
      <c r="I22" s="35">
        <f t="shared" si="3"/>
        <v>4.6334373497928606E-2</v>
      </c>
      <c r="J22" s="110">
        <f t="shared" si="0"/>
        <v>0.55455200574807884</v>
      </c>
    </row>
    <row r="23" spans="1:10" s="1" customFormat="1" x14ac:dyDescent="0.2">
      <c r="A23" s="118" t="s">
        <v>81</v>
      </c>
      <c r="B23" s="119">
        <f>B8-B4</f>
        <v>6.5320000000000107</v>
      </c>
      <c r="C23" s="120">
        <f>IF(B4&gt;B7,C13,C12)</f>
        <v>0.10299999999999999</v>
      </c>
      <c r="D23" s="21">
        <f>B23*C23</f>
        <v>0.67279600000000106</v>
      </c>
      <c r="E23" s="72">
        <f>B23</f>
        <v>6.5320000000000107</v>
      </c>
      <c r="F23" s="120">
        <f>C23</f>
        <v>0.10299999999999999</v>
      </c>
      <c r="G23" s="21">
        <f>E23*F23</f>
        <v>0.67279600000000106</v>
      </c>
      <c r="H23" s="21">
        <f t="shared" si="2"/>
        <v>0</v>
      </c>
      <c r="I23" s="22">
        <f>IF(ISERROR(H23/D23),0,(H23/D23))</f>
        <v>0</v>
      </c>
      <c r="J23" s="124">
        <f t="shared" si="0"/>
        <v>2.7205405438106855E-2</v>
      </c>
    </row>
    <row r="24" spans="1:10" x14ac:dyDescent="0.2">
      <c r="A24" s="109" t="s">
        <v>79</v>
      </c>
      <c r="B24" s="73"/>
      <c r="C24" s="34"/>
      <c r="D24" s="34">
        <f>SUM(D22,D23:D23)</f>
        <v>13.779696000000001</v>
      </c>
      <c r="E24" s="72"/>
      <c r="F24" s="34"/>
      <c r="G24" s="34">
        <f>SUM(G22,G23:G23)</f>
        <v>14.386996000000002</v>
      </c>
      <c r="H24" s="34">
        <f t="shared" si="2"/>
        <v>0.6073000000000004</v>
      </c>
      <c r="I24" s="35">
        <f>IF(ISERROR(H24/D24),0,(H24/D24))</f>
        <v>4.4072089834202466E-2</v>
      </c>
      <c r="J24" s="110">
        <f t="shared" si="0"/>
        <v>0.58175741118618574</v>
      </c>
    </row>
    <row r="25" spans="1:10" x14ac:dyDescent="0.2">
      <c r="A25" s="106" t="s">
        <v>40</v>
      </c>
      <c r="B25" s="72">
        <f>B8</f>
        <v>77.532000000000011</v>
      </c>
      <c r="C25" s="125">
        <f>VLOOKUP($B$3,'Data for Bill Impacts'!$A$3:$Y$15,15,0)</f>
        <v>3.836E-3</v>
      </c>
      <c r="D25" s="21">
        <f>B25*C25</f>
        <v>0.29741275200000006</v>
      </c>
      <c r="E25" s="72">
        <f t="shared" si="4"/>
        <v>77.532000000000011</v>
      </c>
      <c r="F25" s="77">
        <f>VLOOKUP($B$3,'Data for Bill Impacts'!$A$3:$Y$15,24,0)</f>
        <v>3.836E-3</v>
      </c>
      <c r="G25" s="21">
        <f>E25*F25</f>
        <v>0.29741275200000006</v>
      </c>
      <c r="H25" s="21">
        <f t="shared" si="2"/>
        <v>0</v>
      </c>
      <c r="I25" s="22">
        <f t="shared" si="3"/>
        <v>0</v>
      </c>
      <c r="J25" s="124">
        <f t="shared" si="0"/>
        <v>1.2026282113186038E-2</v>
      </c>
    </row>
    <row r="26" spans="1:10" s="1" customFormat="1" x14ac:dyDescent="0.2">
      <c r="A26" s="106" t="s">
        <v>41</v>
      </c>
      <c r="B26" s="72">
        <f>B8</f>
        <v>77.532000000000011</v>
      </c>
      <c r="C26" s="125">
        <f>VLOOKUP($B$3,'Data for Bill Impacts'!$A$3:$Y$15,16,0)</f>
        <v>3.6240000000000001E-3</v>
      </c>
      <c r="D26" s="21">
        <f>B26*C26</f>
        <v>0.28097596800000002</v>
      </c>
      <c r="E26" s="72">
        <f t="shared" si="4"/>
        <v>77.532000000000011</v>
      </c>
      <c r="F26" s="77">
        <f>VLOOKUP($B$3,'Data for Bill Impacts'!$A$3:$Y$15,25,0)</f>
        <v>3.6240000000000001E-3</v>
      </c>
      <c r="G26" s="21">
        <f>E26*F26</f>
        <v>0.28097596800000002</v>
      </c>
      <c r="H26" s="21">
        <f t="shared" si="2"/>
        <v>0</v>
      </c>
      <c r="I26" s="22">
        <f t="shared" si="3"/>
        <v>0</v>
      </c>
      <c r="J26" s="124">
        <f t="shared" si="0"/>
        <v>1.1361638784720072E-2</v>
      </c>
    </row>
    <row r="27" spans="1:10" s="1" customFormat="1" x14ac:dyDescent="0.2">
      <c r="A27" s="109" t="s">
        <v>76</v>
      </c>
      <c r="B27" s="73"/>
      <c r="C27" s="34"/>
      <c r="D27" s="34">
        <f>SUM(D25:D26)</f>
        <v>0.57838872000000008</v>
      </c>
      <c r="E27" s="72"/>
      <c r="F27" s="34"/>
      <c r="G27" s="34">
        <f>SUM(G25:G26)</f>
        <v>0.57838872000000008</v>
      </c>
      <c r="H27" s="34">
        <f t="shared" si="2"/>
        <v>0</v>
      </c>
      <c r="I27" s="35">
        <f t="shared" si="3"/>
        <v>0</v>
      </c>
      <c r="J27" s="110">
        <f t="shared" si="0"/>
        <v>2.338792089790611E-2</v>
      </c>
    </row>
    <row r="28" spans="1:10" s="1" customFormat="1" x14ac:dyDescent="0.2">
      <c r="A28" s="109" t="s">
        <v>80</v>
      </c>
      <c r="B28" s="73"/>
      <c r="C28" s="34"/>
      <c r="D28" s="34">
        <f>D24+D27</f>
        <v>14.358084720000001</v>
      </c>
      <c r="E28" s="72"/>
      <c r="F28" s="34"/>
      <c r="G28" s="34">
        <f>G24+G27</f>
        <v>14.965384720000001</v>
      </c>
      <c r="H28" s="34">
        <f t="shared" si="2"/>
        <v>0.6073000000000004</v>
      </c>
      <c r="I28" s="35">
        <f t="shared" si="3"/>
        <v>4.2296727721216593E-2</v>
      </c>
      <c r="J28" s="110">
        <f t="shared" si="0"/>
        <v>0.60514533208409182</v>
      </c>
    </row>
    <row r="29" spans="1:10" x14ac:dyDescent="0.2">
      <c r="A29" s="106" t="s">
        <v>42</v>
      </c>
      <c r="B29" s="72">
        <f>B8</f>
        <v>77.532000000000011</v>
      </c>
      <c r="C29" s="33">
        <v>3.5999999999999999E-3</v>
      </c>
      <c r="D29" s="21">
        <f>B29*C29</f>
        <v>0.27911520000000001</v>
      </c>
      <c r="E29" s="72">
        <f t="shared" si="4"/>
        <v>77.532000000000011</v>
      </c>
      <c r="F29" s="33">
        <v>3.5999999999999999E-3</v>
      </c>
      <c r="G29" s="21">
        <f>E29*F29</f>
        <v>0.27911520000000001</v>
      </c>
      <c r="H29" s="21">
        <f t="shared" si="2"/>
        <v>0</v>
      </c>
      <c r="I29" s="22">
        <f t="shared" si="3"/>
        <v>0</v>
      </c>
      <c r="J29" s="124">
        <f t="shared" si="0"/>
        <v>1.1286396143761661E-2</v>
      </c>
    </row>
    <row r="30" spans="1:10" s="1" customFormat="1" x14ac:dyDescent="0.2">
      <c r="A30" s="106" t="s">
        <v>43</v>
      </c>
      <c r="B30" s="72">
        <f>B8</f>
        <v>77.532000000000011</v>
      </c>
      <c r="C30" s="33">
        <v>2.0999999999999999E-3</v>
      </c>
      <c r="D30" s="21">
        <f>B30*C30</f>
        <v>0.16281720000000002</v>
      </c>
      <c r="E30" s="72">
        <f t="shared" si="4"/>
        <v>77.532000000000011</v>
      </c>
      <c r="F30" s="33">
        <v>2.0999999999999999E-3</v>
      </c>
      <c r="G30" s="21">
        <f>E30*F30</f>
        <v>0.16281720000000002</v>
      </c>
      <c r="H30" s="21">
        <f>G30-D30</f>
        <v>0</v>
      </c>
      <c r="I30" s="22">
        <f t="shared" si="3"/>
        <v>0</v>
      </c>
      <c r="J30" s="124">
        <f t="shared" si="0"/>
        <v>6.58373108386097E-3</v>
      </c>
    </row>
    <row r="31" spans="1:10" s="1" customFormat="1" x14ac:dyDescent="0.2">
      <c r="A31" s="106" t="s">
        <v>99</v>
      </c>
      <c r="B31" s="72">
        <f>B8</f>
        <v>77.532000000000011</v>
      </c>
      <c r="C31" s="33">
        <v>1.1000000000000001E-3</v>
      </c>
      <c r="D31" s="21">
        <f>B31*C31</f>
        <v>8.5285200000000019E-2</v>
      </c>
      <c r="E31" s="72">
        <f t="shared" si="4"/>
        <v>77.532000000000011</v>
      </c>
      <c r="F31" s="33">
        <v>1.1000000000000001E-3</v>
      </c>
      <c r="G31" s="21">
        <f>E31*F31</f>
        <v>8.5285200000000019E-2</v>
      </c>
      <c r="H31" s="21">
        <f>G31-D31</f>
        <v>0</v>
      </c>
      <c r="I31" s="22">
        <f t="shared" si="3"/>
        <v>0</v>
      </c>
      <c r="J31" s="124">
        <f t="shared" si="0"/>
        <v>3.4486210439271751E-3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si="0"/>
        <v>1.0109084119891769E-2</v>
      </c>
    </row>
    <row r="33" spans="1:10" s="1" customFormat="1" x14ac:dyDescent="0.2">
      <c r="A33" s="109" t="s">
        <v>45</v>
      </c>
      <c r="B33" s="73"/>
      <c r="C33" s="34"/>
      <c r="D33" s="34">
        <f>SUM(D29:D32)</f>
        <v>0.77721760000000006</v>
      </c>
      <c r="E33" s="72"/>
      <c r="F33" s="34"/>
      <c r="G33" s="34">
        <f>SUM(G29:G32)</f>
        <v>0.77721760000000006</v>
      </c>
      <c r="H33" s="34">
        <f t="shared" si="2"/>
        <v>0</v>
      </c>
      <c r="I33" s="35">
        <f t="shared" si="3"/>
        <v>0</v>
      </c>
      <c r="J33" s="110">
        <f t="shared" si="0"/>
        <v>3.1427832391441576E-2</v>
      </c>
    </row>
    <row r="34" spans="1:10" ht="13.5" thickBot="1" x14ac:dyDescent="0.25">
      <c r="A34" s="111" t="s">
        <v>46</v>
      </c>
      <c r="B34" s="112">
        <f>B4</f>
        <v>71</v>
      </c>
      <c r="C34" s="113">
        <v>7.0000000000000001E-3</v>
      </c>
      <c r="D34" s="114">
        <f>B34*C34</f>
        <v>0.497</v>
      </c>
      <c r="E34" s="115">
        <f t="shared" si="4"/>
        <v>71</v>
      </c>
      <c r="F34" s="113">
        <f>C34</f>
        <v>7.0000000000000001E-3</v>
      </c>
      <c r="G34" s="114">
        <f>E34*F34</f>
        <v>0.497</v>
      </c>
      <c r="H34" s="114">
        <f t="shared" si="2"/>
        <v>0</v>
      </c>
      <c r="I34" s="116">
        <f t="shared" si="3"/>
        <v>0</v>
      </c>
      <c r="J34" s="117">
        <f t="shared" si="0"/>
        <v>2.0096859230344839E-2</v>
      </c>
    </row>
    <row r="35" spans="1:10" x14ac:dyDescent="0.2">
      <c r="A35" s="36" t="s">
        <v>116</v>
      </c>
      <c r="B35" s="37"/>
      <c r="C35" s="38"/>
      <c r="D35" s="38">
        <f>SUM(D14,D24,D27,D33,D34)</f>
        <v>22.94530232</v>
      </c>
      <c r="E35" s="37"/>
      <c r="F35" s="38"/>
      <c r="G35" s="38">
        <f>SUM(G14,G24,G27,G33,G34)</f>
        <v>23.552602320000002</v>
      </c>
      <c r="H35" s="38">
        <f t="shared" si="2"/>
        <v>0.60730000000000217</v>
      </c>
      <c r="I35" s="39">
        <f>IF(ISERROR(H35/D35),0,(H35/D35))</f>
        <v>2.6467291279516345E-2</v>
      </c>
      <c r="J35" s="40">
        <f t="shared" si="0"/>
        <v>0.95238095238095222</v>
      </c>
    </row>
    <row r="36" spans="1:10" x14ac:dyDescent="0.2">
      <c r="A36" s="45" t="s">
        <v>108</v>
      </c>
      <c r="B36" s="42"/>
      <c r="C36" s="25">
        <v>0.13</v>
      </c>
      <c r="D36" s="25">
        <f>D35*C36</f>
        <v>2.9828893016000002</v>
      </c>
      <c r="E36" s="25"/>
      <c r="F36" s="25">
        <f>C36</f>
        <v>0.13</v>
      </c>
      <c r="G36" s="25">
        <f>G35*F36</f>
        <v>3.0618383016000004</v>
      </c>
      <c r="H36" s="25">
        <f t="shared" si="2"/>
        <v>7.8949000000000158E-2</v>
      </c>
      <c r="I36" s="43">
        <f t="shared" si="3"/>
        <v>2.6467291279516303E-2</v>
      </c>
      <c r="J36" s="44">
        <f t="shared" si="0"/>
        <v>0.1238095238095238</v>
      </c>
    </row>
    <row r="37" spans="1:10" x14ac:dyDescent="0.2">
      <c r="A37" s="45" t="s">
        <v>109</v>
      </c>
      <c r="B37" s="23"/>
      <c r="C37" s="24"/>
      <c r="D37" s="24">
        <f>SUM(D35:D36)</f>
        <v>25.9281916216</v>
      </c>
      <c r="E37" s="24"/>
      <c r="F37" s="24"/>
      <c r="G37" s="24">
        <f>SUM(G35:G36)</f>
        <v>26.614440621600004</v>
      </c>
      <c r="H37" s="24">
        <f t="shared" si="2"/>
        <v>0.68624900000000366</v>
      </c>
      <c r="I37" s="26">
        <f t="shared" si="3"/>
        <v>2.6467291279516393E-2</v>
      </c>
      <c r="J37" s="46">
        <f t="shared" si="0"/>
        <v>1.0761904761904761</v>
      </c>
    </row>
    <row r="38" spans="1:10" x14ac:dyDescent="0.2">
      <c r="A38" s="45" t="s">
        <v>110</v>
      </c>
      <c r="B38" s="42"/>
      <c r="C38" s="25">
        <v>-0.08</v>
      </c>
      <c r="D38" s="25">
        <f>D35*C38</f>
        <v>-1.8356241856</v>
      </c>
      <c r="E38" s="25"/>
      <c r="F38" s="25">
        <f>C38</f>
        <v>-0.08</v>
      </c>
      <c r="G38" s="25">
        <f>G35*F38</f>
        <v>-1.8842081856000001</v>
      </c>
      <c r="H38" s="25">
        <f t="shared" si="2"/>
        <v>-4.8584000000000183E-2</v>
      </c>
      <c r="I38" s="43">
        <f t="shared" si="3"/>
        <v>2.6467291279516351E-2</v>
      </c>
      <c r="J38" s="44">
        <f t="shared" si="0"/>
        <v>-7.6190476190476183E-2</v>
      </c>
    </row>
    <row r="39" spans="1:10" ht="13.5" thickBot="1" x14ac:dyDescent="0.25">
      <c r="A39" s="47" t="s">
        <v>111</v>
      </c>
      <c r="B39" s="48"/>
      <c r="C39" s="49"/>
      <c r="D39" s="49">
        <f>SUM(D37:D38)</f>
        <v>24.092567436</v>
      </c>
      <c r="E39" s="49"/>
      <c r="F39" s="49"/>
      <c r="G39" s="49">
        <f>SUM(G37:G38)</f>
        <v>24.730232436000005</v>
      </c>
      <c r="H39" s="49">
        <f t="shared" si="2"/>
        <v>0.63766500000000548</v>
      </c>
      <c r="I39" s="50">
        <f t="shared" si="3"/>
        <v>2.646729127951648E-2</v>
      </c>
      <c r="J39" s="51">
        <f t="shared" si="0"/>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1" tint="0.499984740745262"/>
    <pageSetUpPr fitToPage="1"/>
  </sheetPr>
  <dimension ref="A1:J54"/>
  <sheetViews>
    <sheetView tabSelected="1" topLeftCell="A10"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9</v>
      </c>
    </row>
    <row r="4" spans="1:10" x14ac:dyDescent="0.2">
      <c r="A4" s="14" t="s">
        <v>62</v>
      </c>
      <c r="B4" s="14">
        <v>200</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218.4</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200</v>
      </c>
      <c r="C12" s="102">
        <v>0.10299999999999999</v>
      </c>
      <c r="D12" s="103">
        <f>B12*C12</f>
        <v>20.599999999999998</v>
      </c>
      <c r="E12" s="101">
        <f>B12</f>
        <v>200</v>
      </c>
      <c r="F12" s="102">
        <f>C12</f>
        <v>0.10299999999999999</v>
      </c>
      <c r="G12" s="103">
        <f>E12*F12</f>
        <v>20.599999999999998</v>
      </c>
      <c r="H12" s="103">
        <f>G12-D12</f>
        <v>0</v>
      </c>
      <c r="I12" s="104">
        <f>IF(ISERROR(H12/D12),0,(H12/D12))</f>
        <v>0</v>
      </c>
      <c r="J12" s="123">
        <f t="shared" ref="J12:J30" si="0">G12/$G$39</f>
        <v>0.33219075195395242</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20.599999999999998</v>
      </c>
      <c r="E14" s="75"/>
      <c r="F14" s="24"/>
      <c r="G14" s="24">
        <f>SUM(G12:G13)</f>
        <v>20.599999999999998</v>
      </c>
      <c r="H14" s="24">
        <f t="shared" si="2"/>
        <v>0</v>
      </c>
      <c r="I14" s="26">
        <f t="shared" si="3"/>
        <v>0</v>
      </c>
      <c r="J14" s="46">
        <f t="shared" si="0"/>
        <v>0.33219075195395242</v>
      </c>
    </row>
    <row r="15" spans="1:10" x14ac:dyDescent="0.2">
      <c r="A15" s="106" t="s">
        <v>38</v>
      </c>
      <c r="B15" s="72">
        <v>1</v>
      </c>
      <c r="C15" s="77">
        <f>VLOOKUP($B$3,'Data for Bill Impacts'!$A$3:$Y$15,7,0)</f>
        <v>3.6</v>
      </c>
      <c r="D15" s="21">
        <f>B15*C15</f>
        <v>3.6</v>
      </c>
      <c r="E15" s="72">
        <f t="shared" ref="E15:E34" si="4">B15</f>
        <v>1</v>
      </c>
      <c r="F15" s="77">
        <f>VLOOKUP($B$3,'Data for Bill Impacts'!$A$3:$Y$15,17,0)</f>
        <v>3.76</v>
      </c>
      <c r="G15" s="21">
        <f>E15*F15</f>
        <v>3.76</v>
      </c>
      <c r="H15" s="21">
        <f t="shared" si="2"/>
        <v>0.1599999999999997</v>
      </c>
      <c r="I15" s="22">
        <f t="shared" si="3"/>
        <v>4.4444444444444363E-2</v>
      </c>
      <c r="J15" s="124">
        <f t="shared" si="0"/>
        <v>6.0632875113925302E-2</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Impacts'!$A$3:$Y$15,13,0)</f>
        <v>0</v>
      </c>
      <c r="D18" s="21">
        <f t="shared" si="6"/>
        <v>0</v>
      </c>
      <c r="E18" s="72">
        <f t="shared" si="4"/>
        <v>1</v>
      </c>
      <c r="F18" s="77">
        <f>VLOOKUP($B$3,'Data for Bill Impacts'!$A$3:$Y$15,22,0)</f>
        <v>0</v>
      </c>
      <c r="G18" s="21">
        <f t="shared" si="5"/>
        <v>0</v>
      </c>
      <c r="H18" s="21">
        <f t="shared" si="2"/>
        <v>0</v>
      </c>
      <c r="I18" s="22">
        <f t="shared" si="3"/>
        <v>0</v>
      </c>
      <c r="J18" s="124">
        <f t="shared" si="0"/>
        <v>0</v>
      </c>
    </row>
    <row r="19" spans="1:10" x14ac:dyDescent="0.2">
      <c r="A19" s="106" t="s">
        <v>39</v>
      </c>
      <c r="B19" s="72">
        <f>IF($B$9="kWh",$B$4,$B$5)</f>
        <v>200</v>
      </c>
      <c r="C19" s="125">
        <f>VLOOKUP($B$3,'Data for Bill Impacts'!$A$3:$Y$15,10,0)</f>
        <v>0.1338</v>
      </c>
      <c r="D19" s="21">
        <f>B19*C19</f>
        <v>26.76</v>
      </c>
      <c r="E19" s="72">
        <f t="shared" si="4"/>
        <v>200</v>
      </c>
      <c r="F19" s="77">
        <f>VLOOKUP($B$3,'Data for Bill Impacts'!$A$3:$Y$15,19,0)</f>
        <v>0.1401</v>
      </c>
      <c r="G19" s="21">
        <f>E19*F19</f>
        <v>28.02</v>
      </c>
      <c r="H19" s="21">
        <f t="shared" si="2"/>
        <v>1.259999999999998</v>
      </c>
      <c r="I19" s="22">
        <f t="shared" si="3"/>
        <v>4.7085201793721894E-2</v>
      </c>
      <c r="J19" s="124">
        <f t="shared" si="0"/>
        <v>0.45184392571600718</v>
      </c>
    </row>
    <row r="20" spans="1:10" s="1" customFormat="1" x14ac:dyDescent="0.2">
      <c r="A20" s="106" t="s">
        <v>129</v>
      </c>
      <c r="B20" s="72">
        <f>IF($B$9="kWh",$B$4,$B$5)</f>
        <v>200</v>
      </c>
      <c r="C20" s="125">
        <f>VLOOKUP($B$3,'Data for Bill Impacts'!$A$3:$Y$15,14,0)</f>
        <v>1E-4</v>
      </c>
      <c r="D20" s="21">
        <f>B20*C20</f>
        <v>0.02</v>
      </c>
      <c r="E20" s="72">
        <f>B20</f>
        <v>200</v>
      </c>
      <c r="F20" s="77">
        <f>VLOOKUP($B$3,'Data for Bill Impacts'!$A$3:$Y$15,23,0)</f>
        <v>1E-4</v>
      </c>
      <c r="G20" s="21">
        <f>E20*F20</f>
        <v>0.02</v>
      </c>
      <c r="H20" s="21">
        <f>G20-D20</f>
        <v>0</v>
      </c>
      <c r="I20" s="22">
        <f>IF(ISERROR(H20/D20),0,(H20/D20))</f>
        <v>0</v>
      </c>
      <c r="J20" s="124">
        <f t="shared" si="0"/>
        <v>3.2251529315917716E-4</v>
      </c>
    </row>
    <row r="21" spans="1:10" hidden="1" x14ac:dyDescent="0.2">
      <c r="A21" s="106" t="s">
        <v>86</v>
      </c>
      <c r="B21" s="72">
        <f>IF($B$9="kWh",$B$4,$B$5)</f>
        <v>200</v>
      </c>
      <c r="C21" s="125">
        <v>0</v>
      </c>
      <c r="D21" s="21">
        <f>B21*C21</f>
        <v>0</v>
      </c>
      <c r="E21" s="72">
        <f t="shared" si="4"/>
        <v>200</v>
      </c>
      <c r="F21" s="77">
        <v>0</v>
      </c>
      <c r="G21" s="21">
        <f>E21*F21</f>
        <v>0</v>
      </c>
      <c r="H21" s="21">
        <f t="shared" si="2"/>
        <v>0</v>
      </c>
      <c r="I21" s="22">
        <f>IF(ISERROR(H21/D21),0,(H21/D21))</f>
        <v>0</v>
      </c>
      <c r="J21" s="124">
        <f t="shared" si="0"/>
        <v>0</v>
      </c>
    </row>
    <row r="22" spans="1:10" x14ac:dyDescent="0.2">
      <c r="A22" s="109" t="s">
        <v>72</v>
      </c>
      <c r="B22" s="73"/>
      <c r="C22" s="34"/>
      <c r="D22" s="34">
        <f>SUM(D15:D21)</f>
        <v>30.380000000000003</v>
      </c>
      <c r="E22" s="72"/>
      <c r="F22" s="34"/>
      <c r="G22" s="34">
        <f>SUM(G15:G21)</f>
        <v>31.8</v>
      </c>
      <c r="H22" s="34">
        <f t="shared" si="2"/>
        <v>1.4199999999999982</v>
      </c>
      <c r="I22" s="35">
        <f t="shared" si="3"/>
        <v>4.6741277156023636E-2</v>
      </c>
      <c r="J22" s="110">
        <f t="shared" si="0"/>
        <v>0.51279931612309171</v>
      </c>
    </row>
    <row r="23" spans="1:10" s="1" customFormat="1" x14ac:dyDescent="0.2">
      <c r="A23" s="118" t="s">
        <v>81</v>
      </c>
      <c r="B23" s="119">
        <f>B8-B4</f>
        <v>18.400000000000006</v>
      </c>
      <c r="C23" s="120">
        <f>IF(B4&gt;B7,C13,C12)</f>
        <v>0.10299999999999999</v>
      </c>
      <c r="D23" s="21">
        <f>B23*C23</f>
        <v>1.8952000000000004</v>
      </c>
      <c r="E23" s="72">
        <f>B23</f>
        <v>18.400000000000006</v>
      </c>
      <c r="F23" s="120">
        <f>C23</f>
        <v>0.10299999999999999</v>
      </c>
      <c r="G23" s="21">
        <f>E23*F23</f>
        <v>1.8952000000000004</v>
      </c>
      <c r="H23" s="21">
        <f t="shared" si="2"/>
        <v>0</v>
      </c>
      <c r="I23" s="22">
        <f>IF(ISERROR(H23/D23),0,(H23/D23))</f>
        <v>0</v>
      </c>
      <c r="J23" s="124">
        <f t="shared" si="0"/>
        <v>3.0561549179763635E-2</v>
      </c>
    </row>
    <row r="24" spans="1:10" x14ac:dyDescent="0.2">
      <c r="A24" s="109" t="s">
        <v>79</v>
      </c>
      <c r="B24" s="73"/>
      <c r="C24" s="34"/>
      <c r="D24" s="34">
        <f>SUM(D22,D23:D23)</f>
        <v>32.275200000000005</v>
      </c>
      <c r="E24" s="72"/>
      <c r="F24" s="34"/>
      <c r="G24" s="34">
        <f>SUM(G22,G23:G23)</f>
        <v>33.6952</v>
      </c>
      <c r="H24" s="34">
        <f t="shared" si="2"/>
        <v>1.4199999999999946</v>
      </c>
      <c r="I24" s="35">
        <f>IF(ISERROR(H24/D24),0,(H24/D24))</f>
        <v>4.3996628990679978E-2</v>
      </c>
      <c r="J24" s="110">
        <f t="shared" si="0"/>
        <v>0.54336086530285532</v>
      </c>
    </row>
    <row r="25" spans="1:10" x14ac:dyDescent="0.2">
      <c r="A25" s="106" t="s">
        <v>40</v>
      </c>
      <c r="B25" s="72">
        <f>B8</f>
        <v>218.4</v>
      </c>
      <c r="C25" s="125">
        <f>VLOOKUP($B$3,'Data for Bill Impacts'!$A$3:$Y$15,15,0)</f>
        <v>3.836E-3</v>
      </c>
      <c r="D25" s="21">
        <f>B25*C25</f>
        <v>0.83778240000000004</v>
      </c>
      <c r="E25" s="72">
        <f t="shared" si="4"/>
        <v>218.4</v>
      </c>
      <c r="F25" s="77">
        <f>VLOOKUP($B$3,'Data for Bill Impacts'!$A$3:$Y$15,24,0)</f>
        <v>3.836E-3</v>
      </c>
      <c r="G25" s="21">
        <f>E25*F25</f>
        <v>0.83778240000000004</v>
      </c>
      <c r="H25" s="21">
        <f t="shared" si="2"/>
        <v>0</v>
      </c>
      <c r="I25" s="22">
        <f t="shared" si="3"/>
        <v>0</v>
      </c>
      <c r="J25" s="124">
        <f t="shared" si="0"/>
        <v>1.3509881816979952E-2</v>
      </c>
    </row>
    <row r="26" spans="1:10" s="1" customFormat="1" x14ac:dyDescent="0.2">
      <c r="A26" s="106" t="s">
        <v>41</v>
      </c>
      <c r="B26" s="72">
        <f>B8</f>
        <v>218.4</v>
      </c>
      <c r="C26" s="125">
        <f>VLOOKUP($B$3,'Data for Bill Impacts'!$A$3:$Y$15,16,0)</f>
        <v>3.6240000000000001E-3</v>
      </c>
      <c r="D26" s="21">
        <f>B26*C26</f>
        <v>0.79148160000000001</v>
      </c>
      <c r="E26" s="72">
        <f t="shared" si="4"/>
        <v>218.4</v>
      </c>
      <c r="F26" s="77">
        <f>VLOOKUP($B$3,'Data for Bill Impacts'!$A$3:$Y$15,25,0)</f>
        <v>3.6240000000000001E-3</v>
      </c>
      <c r="G26" s="21">
        <f>E26*F26</f>
        <v>0.79148160000000001</v>
      </c>
      <c r="H26" s="21">
        <f t="shared" si="2"/>
        <v>0</v>
      </c>
      <c r="I26" s="22">
        <f t="shared" si="3"/>
        <v>0</v>
      </c>
      <c r="J26" s="124">
        <f t="shared" si="0"/>
        <v>1.276324601270473E-2</v>
      </c>
    </row>
    <row r="27" spans="1:10" s="1" customFormat="1" x14ac:dyDescent="0.2">
      <c r="A27" s="109" t="s">
        <v>76</v>
      </c>
      <c r="B27" s="73"/>
      <c r="C27" s="34"/>
      <c r="D27" s="34">
        <f>SUM(D25:D26)</f>
        <v>1.629264</v>
      </c>
      <c r="E27" s="72"/>
      <c r="F27" s="34"/>
      <c r="G27" s="34">
        <f>SUM(G25:G26)</f>
        <v>1.629264</v>
      </c>
      <c r="H27" s="34">
        <f t="shared" si="2"/>
        <v>0</v>
      </c>
      <c r="I27" s="35">
        <f t="shared" si="3"/>
        <v>0</v>
      </c>
      <c r="J27" s="110">
        <f t="shared" si="0"/>
        <v>2.6273127829684682E-2</v>
      </c>
    </row>
    <row r="28" spans="1:10" s="1" customFormat="1" x14ac:dyDescent="0.2">
      <c r="A28" s="109" t="s">
        <v>80</v>
      </c>
      <c r="B28" s="73"/>
      <c r="C28" s="34"/>
      <c r="D28" s="34">
        <f>D24+D27</f>
        <v>33.904464000000004</v>
      </c>
      <c r="E28" s="72"/>
      <c r="F28" s="34"/>
      <c r="G28" s="34">
        <f>G24+G27</f>
        <v>35.324463999999999</v>
      </c>
      <c r="H28" s="34">
        <f t="shared" si="2"/>
        <v>1.4199999999999946</v>
      </c>
      <c r="I28" s="35">
        <f t="shared" si="3"/>
        <v>4.1882390472239718E-2</v>
      </c>
      <c r="J28" s="110">
        <f t="shared" si="0"/>
        <v>0.56963399313253993</v>
      </c>
    </row>
    <row r="29" spans="1:10" x14ac:dyDescent="0.2">
      <c r="A29" s="106" t="s">
        <v>42</v>
      </c>
      <c r="B29" s="72">
        <f>B8</f>
        <v>218.4</v>
      </c>
      <c r="C29" s="33">
        <v>3.5999999999999999E-3</v>
      </c>
      <c r="D29" s="21">
        <f>B29*C29</f>
        <v>0.78624000000000005</v>
      </c>
      <c r="E29" s="72">
        <f t="shared" si="4"/>
        <v>218.4</v>
      </c>
      <c r="F29" s="33">
        <v>3.5999999999999999E-3</v>
      </c>
      <c r="G29" s="21">
        <f>E29*F29</f>
        <v>0.78624000000000005</v>
      </c>
      <c r="H29" s="21">
        <f t="shared" si="2"/>
        <v>0</v>
      </c>
      <c r="I29" s="22">
        <f t="shared" si="3"/>
        <v>0</v>
      </c>
      <c r="J29" s="124">
        <f t="shared" si="0"/>
        <v>1.2678721204673574E-2</v>
      </c>
    </row>
    <row r="30" spans="1:10" s="1" customFormat="1" x14ac:dyDescent="0.2">
      <c r="A30" s="106" t="s">
        <v>43</v>
      </c>
      <c r="B30" s="72">
        <f>B8</f>
        <v>218.4</v>
      </c>
      <c r="C30" s="33">
        <v>2.0999999999999999E-3</v>
      </c>
      <c r="D30" s="21">
        <f>B30*C30</f>
        <v>0.45863999999999999</v>
      </c>
      <c r="E30" s="72">
        <f t="shared" si="4"/>
        <v>218.4</v>
      </c>
      <c r="F30" s="33">
        <v>2.0999999999999999E-3</v>
      </c>
      <c r="G30" s="21">
        <f>E30*F30</f>
        <v>0.45863999999999999</v>
      </c>
      <c r="H30" s="21">
        <f>G30-D30</f>
        <v>0</v>
      </c>
      <c r="I30" s="22">
        <f t="shared" si="3"/>
        <v>0</v>
      </c>
      <c r="J30" s="124">
        <f t="shared" si="0"/>
        <v>7.3959207027262507E-3</v>
      </c>
    </row>
    <row r="31" spans="1:10" s="1" customFormat="1" x14ac:dyDescent="0.2">
      <c r="A31" s="106" t="s">
        <v>99</v>
      </c>
      <c r="B31" s="72">
        <f>B8</f>
        <v>218.4</v>
      </c>
      <c r="C31" s="33">
        <v>1.1000000000000001E-3</v>
      </c>
      <c r="D31" s="21">
        <f>B31*C31</f>
        <v>0.24024000000000001</v>
      </c>
      <c r="E31" s="72">
        <f t="shared" si="4"/>
        <v>218.4</v>
      </c>
      <c r="F31" s="33">
        <v>1.1000000000000001E-3</v>
      </c>
      <c r="G31" s="21">
        <f>E31*F31</f>
        <v>0.24024000000000001</v>
      </c>
      <c r="H31" s="21">
        <f>G31-D31</f>
        <v>0</v>
      </c>
      <c r="I31" s="22">
        <f t="shared" ref="I31" si="7">IF(ISERROR(H31/D31),0,(H31/D31))</f>
        <v>0</v>
      </c>
      <c r="J31" s="124">
        <f t="shared" ref="J31" si="8">G31/$G$39</f>
        <v>3.8740537014280364E-3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ref="J32:J39" si="9">G32/$G$39</f>
        <v>4.0314411644897146E-3</v>
      </c>
    </row>
    <row r="33" spans="1:10" s="1" customFormat="1" x14ac:dyDescent="0.2">
      <c r="A33" s="109" t="s">
        <v>45</v>
      </c>
      <c r="B33" s="73"/>
      <c r="C33" s="34"/>
      <c r="D33" s="34">
        <f>SUM(D29:D32)</f>
        <v>1.73512</v>
      </c>
      <c r="E33" s="72"/>
      <c r="F33" s="34"/>
      <c r="G33" s="34">
        <f>SUM(G29:G32)</f>
        <v>1.73512</v>
      </c>
      <c r="H33" s="34">
        <f t="shared" si="2"/>
        <v>0</v>
      </c>
      <c r="I33" s="35">
        <f t="shared" si="3"/>
        <v>0</v>
      </c>
      <c r="J33" s="110">
        <f t="shared" si="9"/>
        <v>2.7980136773317572E-2</v>
      </c>
    </row>
    <row r="34" spans="1:10" ht="13.5" thickBot="1" x14ac:dyDescent="0.25">
      <c r="A34" s="111" t="s">
        <v>46</v>
      </c>
      <c r="B34" s="112">
        <f>B4</f>
        <v>200</v>
      </c>
      <c r="C34" s="113">
        <v>7.0000000000000001E-3</v>
      </c>
      <c r="D34" s="114">
        <f>B34*C34</f>
        <v>1.4000000000000001</v>
      </c>
      <c r="E34" s="115">
        <f t="shared" si="4"/>
        <v>200</v>
      </c>
      <c r="F34" s="113">
        <f>C34</f>
        <v>7.0000000000000001E-3</v>
      </c>
      <c r="G34" s="114">
        <f>E34*F34</f>
        <v>1.4000000000000001</v>
      </c>
      <c r="H34" s="114">
        <f t="shared" si="2"/>
        <v>0</v>
      </c>
      <c r="I34" s="116">
        <f t="shared" si="3"/>
        <v>0</v>
      </c>
      <c r="J34" s="117">
        <f t="shared" si="9"/>
        <v>2.2576070521142404E-2</v>
      </c>
    </row>
    <row r="35" spans="1:10" x14ac:dyDescent="0.2">
      <c r="A35" s="36" t="s">
        <v>116</v>
      </c>
      <c r="B35" s="37"/>
      <c r="C35" s="38"/>
      <c r="D35" s="38">
        <f>SUM(D14,D24,D27,D33,D34)</f>
        <v>57.639584000000006</v>
      </c>
      <c r="E35" s="37"/>
      <c r="F35" s="38"/>
      <c r="G35" s="38">
        <f>SUM(G14,G24,G27,G33,G34)</f>
        <v>59.059583999999994</v>
      </c>
      <c r="H35" s="38">
        <f t="shared" si="2"/>
        <v>1.4199999999999875</v>
      </c>
      <c r="I35" s="39">
        <f>IF(ISERROR(H35/D35),0,(H35/D35))</f>
        <v>2.4635847475928823E-2</v>
      </c>
      <c r="J35" s="40">
        <f t="shared" si="9"/>
        <v>0.95238095238095233</v>
      </c>
    </row>
    <row r="36" spans="1:10" x14ac:dyDescent="0.2">
      <c r="A36" s="45" t="s">
        <v>108</v>
      </c>
      <c r="B36" s="42"/>
      <c r="C36" s="25">
        <v>0.13</v>
      </c>
      <c r="D36" s="25">
        <f>D35*C36</f>
        <v>7.4931459200000008</v>
      </c>
      <c r="E36" s="25"/>
      <c r="F36" s="25">
        <f>C36</f>
        <v>0.13</v>
      </c>
      <c r="G36" s="25">
        <f>G35*F36</f>
        <v>7.6777459199999996</v>
      </c>
      <c r="H36" s="25">
        <f t="shared" si="2"/>
        <v>0.18459999999999877</v>
      </c>
      <c r="I36" s="43">
        <f t="shared" si="3"/>
        <v>2.4635847475928875E-2</v>
      </c>
      <c r="J36" s="44">
        <f t="shared" si="9"/>
        <v>0.12380952380952381</v>
      </c>
    </row>
    <row r="37" spans="1:10" x14ac:dyDescent="0.2">
      <c r="A37" s="45" t="s">
        <v>109</v>
      </c>
      <c r="B37" s="23"/>
      <c r="C37" s="24"/>
      <c r="D37" s="24">
        <f>SUM(D35:D36)</f>
        <v>65.132729920000003</v>
      </c>
      <c r="E37" s="24"/>
      <c r="F37" s="24"/>
      <c r="G37" s="24">
        <f>SUM(G35:G36)</f>
        <v>66.737329919999993</v>
      </c>
      <c r="H37" s="24">
        <f t="shared" si="2"/>
        <v>1.6045999999999907</v>
      </c>
      <c r="I37" s="26">
        <f t="shared" si="3"/>
        <v>2.4635847475928899E-2</v>
      </c>
      <c r="J37" s="46">
        <f t="shared" si="9"/>
        <v>1.0761904761904761</v>
      </c>
    </row>
    <row r="38" spans="1:10" x14ac:dyDescent="0.2">
      <c r="A38" s="45" t="s">
        <v>110</v>
      </c>
      <c r="B38" s="42"/>
      <c r="C38" s="25">
        <v>-0.08</v>
      </c>
      <c r="D38" s="25">
        <f>D35*C38</f>
        <v>-4.6111667200000008</v>
      </c>
      <c r="E38" s="25"/>
      <c r="F38" s="25">
        <f>C38</f>
        <v>-0.08</v>
      </c>
      <c r="G38" s="25">
        <f>G35*F38</f>
        <v>-4.7247667199999999</v>
      </c>
      <c r="H38" s="25">
        <f t="shared" si="2"/>
        <v>-0.11359999999999904</v>
      </c>
      <c r="I38" s="43">
        <f t="shared" si="3"/>
        <v>2.463584747592883E-2</v>
      </c>
      <c r="J38" s="44">
        <f t="shared" si="9"/>
        <v>-7.6190476190476197E-2</v>
      </c>
    </row>
    <row r="39" spans="1:10" ht="13.5" thickBot="1" x14ac:dyDescent="0.25">
      <c r="A39" s="47" t="s">
        <v>111</v>
      </c>
      <c r="B39" s="48"/>
      <c r="C39" s="49"/>
      <c r="D39" s="49">
        <f>SUM(D37:D38)</f>
        <v>60.521563200000003</v>
      </c>
      <c r="E39" s="49"/>
      <c r="F39" s="49"/>
      <c r="G39" s="49">
        <f>SUM(G37:G38)</f>
        <v>62.012563199999995</v>
      </c>
      <c r="H39" s="49">
        <f t="shared" si="2"/>
        <v>1.4909999999999926</v>
      </c>
      <c r="I39" s="50">
        <f t="shared" si="3"/>
        <v>2.4635847475928917E-2</v>
      </c>
      <c r="J39" s="51">
        <f t="shared" si="9"/>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tint="0.499984740745262"/>
    <pageSetUpPr fitToPage="1"/>
  </sheetPr>
  <dimension ref="A1:K54"/>
  <sheetViews>
    <sheetView tabSelected="1" topLeftCell="A10"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1" ht="16.5" thickBot="1" x14ac:dyDescent="0.3">
      <c r="A1" s="203" t="s">
        <v>124</v>
      </c>
      <c r="B1" s="204"/>
      <c r="C1" s="204"/>
      <c r="D1" s="204"/>
      <c r="E1" s="204"/>
      <c r="F1" s="204"/>
      <c r="G1" s="204"/>
      <c r="H1" s="204"/>
      <c r="I1" s="204"/>
      <c r="J1" s="205"/>
      <c r="K1" s="127"/>
    </row>
    <row r="3" spans="1:11" x14ac:dyDescent="0.2">
      <c r="A3" s="12" t="s">
        <v>13</v>
      </c>
      <c r="B3" s="12" t="s">
        <v>8</v>
      </c>
    </row>
    <row r="4" spans="1:11" x14ac:dyDescent="0.2">
      <c r="A4" s="14" t="s">
        <v>62</v>
      </c>
      <c r="B4" s="14">
        <v>100</v>
      </c>
    </row>
    <row r="5" spans="1:11" x14ac:dyDescent="0.2">
      <c r="A5" s="14" t="s">
        <v>16</v>
      </c>
      <c r="B5" s="14">
        <f>VLOOKUP($B$3,'Data for Bill Impacts'!$A$3:$Y$15,5,0)</f>
        <v>0</v>
      </c>
    </row>
    <row r="6" spans="1:11" x14ac:dyDescent="0.2">
      <c r="A6" s="14" t="s">
        <v>20</v>
      </c>
      <c r="B6" s="14">
        <f>VLOOKUP($B$3,'Data for Bill Impacts'!$A$3:$Y$15,2,0)</f>
        <v>1.0920000000000001</v>
      </c>
    </row>
    <row r="7" spans="1:11" x14ac:dyDescent="0.2">
      <c r="A7" s="14" t="s">
        <v>15</v>
      </c>
      <c r="B7" s="14">
        <f>VLOOKUP($B$3,'Data for Bill Impacts'!$A$3:$Y$15,4,0)</f>
        <v>750</v>
      </c>
    </row>
    <row r="8" spans="1:11" x14ac:dyDescent="0.2">
      <c r="A8" s="14" t="s">
        <v>82</v>
      </c>
      <c r="B8" s="14">
        <f>B4*B6</f>
        <v>109.2</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22" t="s">
        <v>29</v>
      </c>
    </row>
    <row r="12" spans="1:11" x14ac:dyDescent="0.2">
      <c r="A12" s="100" t="s">
        <v>31</v>
      </c>
      <c r="B12" s="101">
        <f>IF(B4&gt;B7,B7,B4)</f>
        <v>100</v>
      </c>
      <c r="C12" s="102">
        <v>0.10299999999999999</v>
      </c>
      <c r="D12" s="103">
        <f>B12*C12</f>
        <v>10.299999999999999</v>
      </c>
      <c r="E12" s="101">
        <f>B12</f>
        <v>100</v>
      </c>
      <c r="F12" s="102">
        <f>C12</f>
        <v>0.10299999999999999</v>
      </c>
      <c r="G12" s="103">
        <f>E12*F12</f>
        <v>10.299999999999999</v>
      </c>
      <c r="H12" s="103">
        <f>G12-D12</f>
        <v>0</v>
      </c>
      <c r="I12" s="104">
        <f>IF(ISERROR(H12/D12),0,(H12/D12))</f>
        <v>0</v>
      </c>
      <c r="J12" s="123">
        <f t="shared" ref="J12:J30" si="0">G12/$G$39</f>
        <v>0.33090209604182108</v>
      </c>
    </row>
    <row r="13" spans="1:11" x14ac:dyDescent="0.2">
      <c r="A13" s="106" t="s">
        <v>32</v>
      </c>
      <c r="B13" s="72">
        <f>IF(B4&gt;B7,(B4)-B7,0)</f>
        <v>0</v>
      </c>
      <c r="C13" s="20">
        <v>0.121</v>
      </c>
      <c r="D13" s="21">
        <f>B13*C13</f>
        <v>0</v>
      </c>
      <c r="E13" s="72">
        <f t="shared" ref="E13:E34" si="1">B13</f>
        <v>0</v>
      </c>
      <c r="F13" s="20">
        <f>C13</f>
        <v>0.121</v>
      </c>
      <c r="G13" s="21">
        <f>E13*F13</f>
        <v>0</v>
      </c>
      <c r="H13" s="21">
        <f t="shared" ref="H13:H39" si="2">G13-D13</f>
        <v>0</v>
      </c>
      <c r="I13" s="22">
        <f t="shared" ref="I13:I39" si="3">IF(ISERROR(H13/D13),0,(H13/D13))</f>
        <v>0</v>
      </c>
      <c r="J13" s="124">
        <f t="shared" si="0"/>
        <v>0</v>
      </c>
    </row>
    <row r="14" spans="1:11" s="1" customFormat="1" x14ac:dyDescent="0.2">
      <c r="A14" s="45" t="s">
        <v>33</v>
      </c>
      <c r="B14" s="23"/>
      <c r="C14" s="24"/>
      <c r="D14" s="24">
        <f>SUM(D12:D13)</f>
        <v>10.299999999999999</v>
      </c>
      <c r="E14" s="75"/>
      <c r="F14" s="24"/>
      <c r="G14" s="24">
        <f>SUM(G12:G13)</f>
        <v>10.299999999999999</v>
      </c>
      <c r="H14" s="24">
        <f t="shared" si="2"/>
        <v>0</v>
      </c>
      <c r="I14" s="26">
        <f t="shared" si="3"/>
        <v>0</v>
      </c>
      <c r="J14" s="46">
        <f t="shared" si="0"/>
        <v>0.33090209604182108</v>
      </c>
    </row>
    <row r="15" spans="1:11" x14ac:dyDescent="0.2">
      <c r="A15" s="106" t="s">
        <v>38</v>
      </c>
      <c r="B15" s="72">
        <v>1</v>
      </c>
      <c r="C15" s="77">
        <f>VLOOKUP($B$3,'Data for Bill Impacts'!$A$3:$Y$15,7,0)</f>
        <v>4.7699999999999996</v>
      </c>
      <c r="D15" s="21">
        <f>B15*C15</f>
        <v>4.7699999999999996</v>
      </c>
      <c r="E15" s="72">
        <f t="shared" si="1"/>
        <v>1</v>
      </c>
      <c r="F15" s="77">
        <f>VLOOKUP($B$3,'Data for Bill Impacts'!$A$3:$Y$15,17,0)</f>
        <v>4.8899999999999997</v>
      </c>
      <c r="G15" s="21">
        <f>E15*F15</f>
        <v>4.8899999999999997</v>
      </c>
      <c r="H15" s="21">
        <f t="shared" si="2"/>
        <v>0.12000000000000011</v>
      </c>
      <c r="I15" s="22">
        <f t="shared" si="3"/>
        <v>2.5157232704402541E-2</v>
      </c>
      <c r="J15" s="124">
        <f t="shared" si="0"/>
        <v>0.15709817957713643</v>
      </c>
    </row>
    <row r="16" spans="1:11" hidden="1" x14ac:dyDescent="0.2">
      <c r="A16" s="106" t="s">
        <v>88</v>
      </c>
      <c r="B16" s="72">
        <v>1</v>
      </c>
      <c r="C16" s="77">
        <v>0</v>
      </c>
      <c r="D16" s="21">
        <f>B16*C16</f>
        <v>0</v>
      </c>
      <c r="E16" s="72">
        <f t="shared" si="1"/>
        <v>1</v>
      </c>
      <c r="F16" s="77">
        <v>0</v>
      </c>
      <c r="G16" s="21">
        <f t="shared" ref="G16:G18" si="4">E16*F16</f>
        <v>0</v>
      </c>
      <c r="H16" s="21">
        <f t="shared" si="2"/>
        <v>0</v>
      </c>
      <c r="I16" s="22">
        <f t="shared" si="3"/>
        <v>0</v>
      </c>
      <c r="J16" s="124">
        <f t="shared" si="0"/>
        <v>0</v>
      </c>
    </row>
    <row r="17" spans="1:10" hidden="1" x14ac:dyDescent="0.2">
      <c r="A17" s="106" t="s">
        <v>84</v>
      </c>
      <c r="B17" s="72">
        <v>1</v>
      </c>
      <c r="C17" s="77">
        <v>0</v>
      </c>
      <c r="D17" s="21">
        <f t="shared" ref="D17:D18" si="5">B17*C17</f>
        <v>0</v>
      </c>
      <c r="E17" s="72">
        <f t="shared" si="1"/>
        <v>1</v>
      </c>
      <c r="F17" s="77">
        <v>0</v>
      </c>
      <c r="G17" s="21">
        <f t="shared" si="4"/>
        <v>0</v>
      </c>
      <c r="H17" s="21">
        <f t="shared" ref="H17:H18" si="6">G17-D17</f>
        <v>0</v>
      </c>
      <c r="I17" s="22">
        <f t="shared" ref="I17:I18" si="7">IF(ISERROR(H17/D17),0,(H17/D17))</f>
        <v>0</v>
      </c>
      <c r="J17" s="124">
        <f t="shared" si="0"/>
        <v>0</v>
      </c>
    </row>
    <row r="18" spans="1:10" x14ac:dyDescent="0.2">
      <c r="A18" s="106" t="s">
        <v>85</v>
      </c>
      <c r="B18" s="72">
        <v>1</v>
      </c>
      <c r="C18" s="77">
        <f>VLOOKUP($B$3,'Data for Bill Impacts'!$A$3:$Y$15,13,0)</f>
        <v>0</v>
      </c>
      <c r="D18" s="21">
        <f t="shared" si="5"/>
        <v>0</v>
      </c>
      <c r="E18" s="72">
        <f t="shared" si="1"/>
        <v>1</v>
      </c>
      <c r="F18" s="77">
        <f>VLOOKUP($B$3,'Data for Bill Impacts'!$A$3:$Y$15,22,0)</f>
        <v>0</v>
      </c>
      <c r="G18" s="21">
        <f t="shared" si="4"/>
        <v>0</v>
      </c>
      <c r="H18" s="21">
        <f t="shared" si="6"/>
        <v>0</v>
      </c>
      <c r="I18" s="22">
        <f t="shared" si="7"/>
        <v>0</v>
      </c>
      <c r="J18" s="124">
        <f t="shared" si="0"/>
        <v>0</v>
      </c>
    </row>
    <row r="19" spans="1:10" x14ac:dyDescent="0.2">
      <c r="A19" s="106" t="s">
        <v>39</v>
      </c>
      <c r="B19" s="72">
        <f>IF($B$9="kWh",$B$4,$B$5)</f>
        <v>100</v>
      </c>
      <c r="C19" s="125">
        <f>VLOOKUP($B$3,'Data for Bill Impacts'!$A$3:$Y$15,10,0)</f>
        <v>0.107</v>
      </c>
      <c r="D19" s="21">
        <f>B19*C19</f>
        <v>10.7</v>
      </c>
      <c r="E19" s="72">
        <f t="shared" si="1"/>
        <v>100</v>
      </c>
      <c r="F19" s="77">
        <f>VLOOKUP($B$3,'Data for Bill Impacts'!$A$3:$Y$15,19,0)</f>
        <v>0.10979999999999999</v>
      </c>
      <c r="G19" s="21">
        <f>E19*F19</f>
        <v>10.979999999999999</v>
      </c>
      <c r="H19" s="21">
        <f t="shared" si="2"/>
        <v>0.27999999999999936</v>
      </c>
      <c r="I19" s="22">
        <f t="shared" si="3"/>
        <v>2.6168224299065363E-2</v>
      </c>
      <c r="J19" s="124">
        <f t="shared" si="0"/>
        <v>0.35274805966399952</v>
      </c>
    </row>
    <row r="20" spans="1:10" s="1" customFormat="1" x14ac:dyDescent="0.2">
      <c r="A20" s="106" t="s">
        <v>129</v>
      </c>
      <c r="B20" s="72">
        <f>IF($B$9="kWh",$B$4,$B$5)</f>
        <v>100</v>
      </c>
      <c r="C20" s="125">
        <f>VLOOKUP($B$3,'Data for Bill Impacts'!$A$3:$Y$15,14,0)</f>
        <v>2.0000000000000001E-4</v>
      </c>
      <c r="D20" s="21">
        <f>B20*C20</f>
        <v>0.02</v>
      </c>
      <c r="E20" s="72">
        <f>B20</f>
        <v>100</v>
      </c>
      <c r="F20" s="77">
        <f>VLOOKUP($B$3,'Data for Bill Impacts'!$A$3:$Y$15,23,0)</f>
        <v>2.0000000000000001E-4</v>
      </c>
      <c r="G20" s="21">
        <f>E20*F20</f>
        <v>0.02</v>
      </c>
      <c r="H20" s="21">
        <f>G20-D20</f>
        <v>0</v>
      </c>
      <c r="I20" s="22">
        <f>IF(ISERROR(H20/D20),0,(H20/D20))</f>
        <v>0</v>
      </c>
      <c r="J20" s="124">
        <f t="shared" si="0"/>
        <v>6.4252834182877889E-4</v>
      </c>
    </row>
    <row r="21" spans="1:10" hidden="1" x14ac:dyDescent="0.2">
      <c r="A21" s="106" t="s">
        <v>86</v>
      </c>
      <c r="B21" s="72">
        <f>IF($B$9="kWh",$B$4,$B$5)</f>
        <v>100</v>
      </c>
      <c r="C21" s="125">
        <v>0</v>
      </c>
      <c r="D21" s="21">
        <f>B21*C21</f>
        <v>0</v>
      </c>
      <c r="E21" s="72">
        <f t="shared" si="1"/>
        <v>100</v>
      </c>
      <c r="F21" s="77">
        <v>0</v>
      </c>
      <c r="G21" s="21">
        <f>E21*F21</f>
        <v>0</v>
      </c>
      <c r="H21" s="21">
        <f t="shared" si="2"/>
        <v>0</v>
      </c>
      <c r="I21" s="22">
        <f>IF(ISERROR(H21/D21),0,(H21/D21))</f>
        <v>0</v>
      </c>
      <c r="J21" s="124">
        <f t="shared" si="0"/>
        <v>0</v>
      </c>
    </row>
    <row r="22" spans="1:10" x14ac:dyDescent="0.2">
      <c r="A22" s="109" t="s">
        <v>72</v>
      </c>
      <c r="B22" s="73"/>
      <c r="C22" s="34"/>
      <c r="D22" s="34">
        <f>SUM(D15:D21)</f>
        <v>15.489999999999998</v>
      </c>
      <c r="E22" s="72"/>
      <c r="F22" s="34"/>
      <c r="G22" s="34">
        <f>SUM(G15:G21)</f>
        <v>15.889999999999997</v>
      </c>
      <c r="H22" s="34">
        <f t="shared" si="2"/>
        <v>0.39999999999999858</v>
      </c>
      <c r="I22" s="35">
        <f t="shared" si="3"/>
        <v>2.5823111684957947E-2</v>
      </c>
      <c r="J22" s="110">
        <f t="shared" si="0"/>
        <v>0.51048876758296469</v>
      </c>
    </row>
    <row r="23" spans="1:10" s="1" customFormat="1" x14ac:dyDescent="0.2">
      <c r="A23" s="118" t="s">
        <v>81</v>
      </c>
      <c r="B23" s="119">
        <f>B8-B4</f>
        <v>9.2000000000000028</v>
      </c>
      <c r="C23" s="120">
        <f>IF(B4&gt;B7,C13,C12)</f>
        <v>0.10299999999999999</v>
      </c>
      <c r="D23" s="21">
        <f>B23*C23</f>
        <v>0.94760000000000022</v>
      </c>
      <c r="E23" s="72">
        <f>B23</f>
        <v>9.2000000000000028</v>
      </c>
      <c r="F23" s="120">
        <f>C23</f>
        <v>0.10299999999999999</v>
      </c>
      <c r="G23" s="21">
        <f>E23*F23</f>
        <v>0.94760000000000022</v>
      </c>
      <c r="H23" s="21">
        <f t="shared" si="2"/>
        <v>0</v>
      </c>
      <c r="I23" s="22">
        <f>IF(ISERROR(H23/D23),0,(H23/D23))</f>
        <v>0</v>
      </c>
      <c r="J23" s="124">
        <f t="shared" si="0"/>
        <v>3.0442992835847549E-2</v>
      </c>
    </row>
    <row r="24" spans="1:10" x14ac:dyDescent="0.2">
      <c r="A24" s="109" t="s">
        <v>79</v>
      </c>
      <c r="B24" s="73"/>
      <c r="C24" s="34"/>
      <c r="D24" s="34">
        <f>SUM(D22,D23:D23)</f>
        <v>16.4376</v>
      </c>
      <c r="E24" s="72"/>
      <c r="F24" s="34"/>
      <c r="G24" s="34">
        <f>SUM(G22,G23:G23)</f>
        <v>16.837599999999998</v>
      </c>
      <c r="H24" s="34">
        <f t="shared" si="2"/>
        <v>0.39999999999999858</v>
      </c>
      <c r="I24" s="35">
        <f>IF(ISERROR(H24/D24),0,(H24/D24))</f>
        <v>2.4334452718158282E-2</v>
      </c>
      <c r="J24" s="110">
        <f t="shared" si="0"/>
        <v>0.5409317604188123</v>
      </c>
    </row>
    <row r="25" spans="1:10" x14ac:dyDescent="0.2">
      <c r="A25" s="106" t="s">
        <v>40</v>
      </c>
      <c r="B25" s="72">
        <f>B8</f>
        <v>109.2</v>
      </c>
      <c r="C25" s="125">
        <f>VLOOKUP($B$3,'Data for Bill Impacts'!$A$3:$Y$15,15,0)</f>
        <v>3.836E-3</v>
      </c>
      <c r="D25" s="21">
        <f>B25*C25</f>
        <v>0.41889120000000002</v>
      </c>
      <c r="E25" s="72">
        <f t="shared" si="1"/>
        <v>109.2</v>
      </c>
      <c r="F25" s="77">
        <f>VLOOKUP($B$3,'Data for Bill Impacts'!$A$3:$Y$15,24,0)</f>
        <v>3.836E-3</v>
      </c>
      <c r="G25" s="21">
        <f>E25*F25</f>
        <v>0.41889120000000002</v>
      </c>
      <c r="H25" s="21">
        <f t="shared" si="2"/>
        <v>0</v>
      </c>
      <c r="I25" s="22">
        <f t="shared" si="3"/>
        <v>0</v>
      </c>
      <c r="J25" s="124">
        <f t="shared" si="0"/>
        <v>1.3457473407133368E-2</v>
      </c>
    </row>
    <row r="26" spans="1:10" s="1" customFormat="1" x14ac:dyDescent="0.2">
      <c r="A26" s="106" t="s">
        <v>41</v>
      </c>
      <c r="B26" s="72">
        <f>B8</f>
        <v>109.2</v>
      </c>
      <c r="C26" s="125">
        <f>VLOOKUP($B$3,'Data for Bill Impacts'!$A$3:$Y$15,16,0)</f>
        <v>3.6240000000000001E-3</v>
      </c>
      <c r="D26" s="21">
        <f>B26*C26</f>
        <v>0.3957408</v>
      </c>
      <c r="E26" s="72">
        <f t="shared" si="1"/>
        <v>109.2</v>
      </c>
      <c r="F26" s="77">
        <f>VLOOKUP($B$3,'Data for Bill Impacts'!$A$3:$Y$15,25,0)</f>
        <v>3.6240000000000001E-3</v>
      </c>
      <c r="G26" s="21">
        <f>E26*F26</f>
        <v>0.3957408</v>
      </c>
      <c r="H26" s="21">
        <f t="shared" si="2"/>
        <v>0</v>
      </c>
      <c r="I26" s="22">
        <f t="shared" si="3"/>
        <v>0</v>
      </c>
      <c r="J26" s="124">
        <f t="shared" si="0"/>
        <v>1.271373400089972E-2</v>
      </c>
    </row>
    <row r="27" spans="1:10" s="1" customFormat="1" x14ac:dyDescent="0.2">
      <c r="A27" s="109" t="s">
        <v>76</v>
      </c>
      <c r="B27" s="73"/>
      <c r="C27" s="34"/>
      <c r="D27" s="34">
        <f>SUM(D25:D26)</f>
        <v>0.81463200000000002</v>
      </c>
      <c r="E27" s="72"/>
      <c r="F27" s="34"/>
      <c r="G27" s="34">
        <f>SUM(G25:G26)</f>
        <v>0.81463200000000002</v>
      </c>
      <c r="H27" s="34">
        <f t="shared" si="2"/>
        <v>0</v>
      </c>
      <c r="I27" s="35">
        <f t="shared" si="3"/>
        <v>0</v>
      </c>
      <c r="J27" s="110">
        <f t="shared" si="0"/>
        <v>2.6171207408033088E-2</v>
      </c>
    </row>
    <row r="28" spans="1:10" s="1" customFormat="1" x14ac:dyDescent="0.2">
      <c r="A28" s="109" t="s">
        <v>80</v>
      </c>
      <c r="B28" s="73"/>
      <c r="C28" s="34"/>
      <c r="D28" s="34">
        <f>D24+D27</f>
        <v>17.252231999999999</v>
      </c>
      <c r="E28" s="72"/>
      <c r="F28" s="34"/>
      <c r="G28" s="34">
        <f>G24+G27</f>
        <v>17.652231999999998</v>
      </c>
      <c r="H28" s="34">
        <f t="shared" si="2"/>
        <v>0.39999999999999858</v>
      </c>
      <c r="I28" s="35">
        <f t="shared" si="3"/>
        <v>2.3185405807202141E-2</v>
      </c>
      <c r="J28" s="110">
        <f t="shared" si="0"/>
        <v>0.56710296782684533</v>
      </c>
    </row>
    <row r="29" spans="1:10" x14ac:dyDescent="0.2">
      <c r="A29" s="106" t="s">
        <v>42</v>
      </c>
      <c r="B29" s="72">
        <f>B8</f>
        <v>109.2</v>
      </c>
      <c r="C29" s="33">
        <v>3.5999999999999999E-3</v>
      </c>
      <c r="D29" s="21">
        <f>B29*C29</f>
        <v>0.39312000000000002</v>
      </c>
      <c r="E29" s="72">
        <f t="shared" si="1"/>
        <v>109.2</v>
      </c>
      <c r="F29" s="33">
        <v>3.5999999999999999E-3</v>
      </c>
      <c r="G29" s="21">
        <f>E29*F29</f>
        <v>0.39312000000000002</v>
      </c>
      <c r="H29" s="21">
        <f t="shared" si="2"/>
        <v>0</v>
      </c>
      <c r="I29" s="22">
        <f t="shared" si="3"/>
        <v>0</v>
      </c>
      <c r="J29" s="124">
        <f t="shared" si="0"/>
        <v>1.2629537086986478E-2</v>
      </c>
    </row>
    <row r="30" spans="1:10" s="1" customFormat="1" x14ac:dyDescent="0.2">
      <c r="A30" s="106" t="s">
        <v>43</v>
      </c>
      <c r="B30" s="72">
        <f>B8</f>
        <v>109.2</v>
      </c>
      <c r="C30" s="33">
        <v>2.0999999999999999E-3</v>
      </c>
      <c r="D30" s="21">
        <f>B30*C30</f>
        <v>0.22932</v>
      </c>
      <c r="E30" s="72">
        <f t="shared" si="1"/>
        <v>109.2</v>
      </c>
      <c r="F30" s="33">
        <v>2.0999999999999999E-3</v>
      </c>
      <c r="G30" s="21">
        <f>E30*F30</f>
        <v>0.22932</v>
      </c>
      <c r="H30" s="21">
        <f>G30-D30</f>
        <v>0</v>
      </c>
      <c r="I30" s="22">
        <f t="shared" si="3"/>
        <v>0</v>
      </c>
      <c r="J30" s="124">
        <f t="shared" si="0"/>
        <v>7.3672299674087784E-3</v>
      </c>
    </row>
    <row r="31" spans="1:10" s="1" customFormat="1" x14ac:dyDescent="0.2">
      <c r="A31" s="106" t="s">
        <v>99</v>
      </c>
      <c r="B31" s="72">
        <f>B8</f>
        <v>109.2</v>
      </c>
      <c r="C31" s="33">
        <v>1.1000000000000001E-3</v>
      </c>
      <c r="D31" s="21">
        <f>B31*C31</f>
        <v>0.12012</v>
      </c>
      <c r="E31" s="72">
        <f t="shared" si="1"/>
        <v>109.2</v>
      </c>
      <c r="F31" s="33">
        <v>1.1000000000000001E-3</v>
      </c>
      <c r="G31" s="21">
        <f>E31*F31</f>
        <v>0.12012</v>
      </c>
      <c r="H31" s="21">
        <f>G31-D31</f>
        <v>0</v>
      </c>
      <c r="I31" s="22">
        <f t="shared" ref="I31" si="8">IF(ISERROR(H31/D31),0,(H31/D31))</f>
        <v>0</v>
      </c>
      <c r="J31" s="124">
        <f t="shared" ref="J31" si="9">G31/$G$39</f>
        <v>3.8590252210236459E-3</v>
      </c>
    </row>
    <row r="32" spans="1:10" x14ac:dyDescent="0.2">
      <c r="A32" s="106" t="s">
        <v>44</v>
      </c>
      <c r="B32" s="72">
        <v>1</v>
      </c>
      <c r="C32" s="21">
        <v>0.25</v>
      </c>
      <c r="D32" s="21">
        <f>B32*C32</f>
        <v>0.25</v>
      </c>
      <c r="E32" s="72">
        <f t="shared" si="1"/>
        <v>1</v>
      </c>
      <c r="F32" s="21">
        <f>C32</f>
        <v>0.25</v>
      </c>
      <c r="G32" s="21">
        <f>E32*F32</f>
        <v>0.25</v>
      </c>
      <c r="H32" s="21">
        <f t="shared" si="2"/>
        <v>0</v>
      </c>
      <c r="I32" s="22">
        <f t="shared" si="3"/>
        <v>0</v>
      </c>
      <c r="J32" s="124">
        <f t="shared" ref="J32:J39" si="10">G32/$G$39</f>
        <v>8.031604272859736E-3</v>
      </c>
    </row>
    <row r="33" spans="1:10" s="1" customFormat="1" x14ac:dyDescent="0.2">
      <c r="A33" s="109" t="s">
        <v>45</v>
      </c>
      <c r="B33" s="73"/>
      <c r="C33" s="34"/>
      <c r="D33" s="34">
        <f>SUM(D29:D32)</f>
        <v>0.99256</v>
      </c>
      <c r="E33" s="72"/>
      <c r="F33" s="34"/>
      <c r="G33" s="34">
        <f>SUM(G29:G32)</f>
        <v>0.99256</v>
      </c>
      <c r="H33" s="34">
        <f t="shared" si="2"/>
        <v>0</v>
      </c>
      <c r="I33" s="35">
        <f t="shared" si="3"/>
        <v>0</v>
      </c>
      <c r="J33" s="110">
        <f t="shared" si="10"/>
        <v>3.1887396548278636E-2</v>
      </c>
    </row>
    <row r="34" spans="1:10" ht="13.5" thickBot="1" x14ac:dyDescent="0.25">
      <c r="A34" s="111" t="s">
        <v>46</v>
      </c>
      <c r="B34" s="112">
        <f>B4</f>
        <v>100</v>
      </c>
      <c r="C34" s="113">
        <v>7.0000000000000001E-3</v>
      </c>
      <c r="D34" s="114">
        <f>B34*C34</f>
        <v>0.70000000000000007</v>
      </c>
      <c r="E34" s="115">
        <f t="shared" si="1"/>
        <v>100</v>
      </c>
      <c r="F34" s="113">
        <f>C34</f>
        <v>7.0000000000000001E-3</v>
      </c>
      <c r="G34" s="114">
        <f>E34*F34</f>
        <v>0.70000000000000007</v>
      </c>
      <c r="H34" s="114">
        <f t="shared" si="2"/>
        <v>0</v>
      </c>
      <c r="I34" s="116">
        <f t="shared" si="3"/>
        <v>0</v>
      </c>
      <c r="J34" s="117">
        <f t="shared" si="10"/>
        <v>2.2488491964007262E-2</v>
      </c>
    </row>
    <row r="35" spans="1:10" x14ac:dyDescent="0.2">
      <c r="A35" s="36" t="s">
        <v>116</v>
      </c>
      <c r="B35" s="37"/>
      <c r="C35" s="38"/>
      <c r="D35" s="38">
        <f>SUM(D14,D24,D27,D33,D34)</f>
        <v>29.244792</v>
      </c>
      <c r="E35" s="37"/>
      <c r="F35" s="38"/>
      <c r="G35" s="38">
        <f>SUM(G14,G24,G27,G33,G34)</f>
        <v>29.644791999999999</v>
      </c>
      <c r="H35" s="38">
        <f t="shared" si="2"/>
        <v>0.39999999999999858</v>
      </c>
      <c r="I35" s="39">
        <f>IF(ISERROR(H35/D35),0,(H35/D35))</f>
        <v>1.3677648998153194E-2</v>
      </c>
      <c r="J35" s="40">
        <f t="shared" si="10"/>
        <v>0.95238095238095244</v>
      </c>
    </row>
    <row r="36" spans="1:10" x14ac:dyDescent="0.2">
      <c r="A36" s="45" t="s">
        <v>108</v>
      </c>
      <c r="B36" s="42"/>
      <c r="C36" s="25">
        <v>0.13</v>
      </c>
      <c r="D36" s="25">
        <f>D35*C36</f>
        <v>3.80182296</v>
      </c>
      <c r="E36" s="25"/>
      <c r="F36" s="25">
        <f>C36</f>
        <v>0.13</v>
      </c>
      <c r="G36" s="25">
        <f>G35*F36</f>
        <v>3.85382296</v>
      </c>
      <c r="H36" s="25">
        <f t="shared" si="2"/>
        <v>5.2000000000000046E-2</v>
      </c>
      <c r="I36" s="43">
        <f t="shared" si="3"/>
        <v>1.3677648998153257E-2</v>
      </c>
      <c r="J36" s="44">
        <f t="shared" si="10"/>
        <v>0.12380952380952381</v>
      </c>
    </row>
    <row r="37" spans="1:10" x14ac:dyDescent="0.2">
      <c r="A37" s="45" t="s">
        <v>109</v>
      </c>
      <c r="B37" s="23"/>
      <c r="C37" s="24"/>
      <c r="D37" s="24">
        <f>SUM(D35:D36)</f>
        <v>33.046614959999999</v>
      </c>
      <c r="E37" s="24"/>
      <c r="F37" s="24"/>
      <c r="G37" s="24">
        <f>SUM(G35:G36)</f>
        <v>33.498614959999998</v>
      </c>
      <c r="H37" s="24">
        <f t="shared" si="2"/>
        <v>0.45199999999999818</v>
      </c>
      <c r="I37" s="26">
        <f t="shared" si="3"/>
        <v>1.3677648998153189E-2</v>
      </c>
      <c r="J37" s="46">
        <f t="shared" si="10"/>
        <v>1.0761904761904761</v>
      </c>
    </row>
    <row r="38" spans="1:10" x14ac:dyDescent="0.2">
      <c r="A38" s="45" t="s">
        <v>110</v>
      </c>
      <c r="B38" s="42"/>
      <c r="C38" s="25">
        <v>-0.08</v>
      </c>
      <c r="D38" s="25">
        <f>D35*C38</f>
        <v>-2.3395833600000002</v>
      </c>
      <c r="E38" s="25"/>
      <c r="F38" s="25">
        <f>C38</f>
        <v>-0.08</v>
      </c>
      <c r="G38" s="25">
        <f>G35*F38</f>
        <v>-2.3715833599999998</v>
      </c>
      <c r="H38" s="25">
        <f t="shared" si="2"/>
        <v>-3.1999999999999584E-2</v>
      </c>
      <c r="I38" s="43">
        <f t="shared" si="3"/>
        <v>1.3677648998153064E-2</v>
      </c>
      <c r="J38" s="44">
        <f t="shared" si="10"/>
        <v>-7.6190476190476183E-2</v>
      </c>
    </row>
    <row r="39" spans="1:10" ht="13.5" thickBot="1" x14ac:dyDescent="0.25">
      <c r="A39" s="47" t="s">
        <v>111</v>
      </c>
      <c r="B39" s="48"/>
      <c r="C39" s="49"/>
      <c r="D39" s="49">
        <f>SUM(D37:D38)</f>
        <v>30.707031600000001</v>
      </c>
      <c r="E39" s="49"/>
      <c r="F39" s="49"/>
      <c r="G39" s="49">
        <f>SUM(G37:G38)</f>
        <v>31.127031599999999</v>
      </c>
      <c r="H39" s="49">
        <f t="shared" si="2"/>
        <v>0.41999999999999815</v>
      </c>
      <c r="I39" s="50">
        <f t="shared" si="3"/>
        <v>1.3677648998153184E-2</v>
      </c>
      <c r="J39" s="51">
        <f t="shared" si="10"/>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 for Bill Impacts'!$A$3:$A$11</xm:f>
          </x14:formula1>
          <xm:sqref>B3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1" tint="0.499984740745262"/>
    <pageSetUpPr fitToPage="1"/>
  </sheetPr>
  <dimension ref="A1:J54"/>
  <sheetViews>
    <sheetView tabSelected="1" topLeftCell="A10"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ht="15" customHeight="1" x14ac:dyDescent="0.2">
      <c r="A3" s="12" t="s">
        <v>13</v>
      </c>
      <c r="B3" s="12" t="s">
        <v>8</v>
      </c>
    </row>
    <row r="4" spans="1:10" x14ac:dyDescent="0.2">
      <c r="A4" s="14" t="s">
        <v>62</v>
      </c>
      <c r="B4" s="78">
        <f>'Data for Bill Impacts_HONI Avg '!C9</f>
        <v>517</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564.56400000000008</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517</v>
      </c>
      <c r="C12" s="102">
        <v>0.10299999999999999</v>
      </c>
      <c r="D12" s="103">
        <f>B12*C12</f>
        <v>53.250999999999998</v>
      </c>
      <c r="E12" s="101">
        <f>B12</f>
        <v>517</v>
      </c>
      <c r="F12" s="102">
        <f>C12</f>
        <v>0.10299999999999999</v>
      </c>
      <c r="G12" s="103">
        <f>E12*F12</f>
        <v>53.250999999999998</v>
      </c>
      <c r="H12" s="103">
        <f>G12-D12</f>
        <v>0</v>
      </c>
      <c r="I12" s="104">
        <f>IF(ISERROR(H12/D12),0,(H12/D12))</f>
        <v>0</v>
      </c>
      <c r="J12" s="123">
        <f t="shared" ref="J12:J39" si="0">G12/$G$39</f>
        <v>0.38602498473347119</v>
      </c>
    </row>
    <row r="13" spans="1:10" x14ac:dyDescent="0.2">
      <c r="A13" s="106" t="s">
        <v>32</v>
      </c>
      <c r="B13" s="72">
        <f>IF(B4&gt;B7,(B4)-B7,0)</f>
        <v>0</v>
      </c>
      <c r="C13" s="20">
        <v>0.121</v>
      </c>
      <c r="D13" s="21">
        <f>B13*C13</f>
        <v>0</v>
      </c>
      <c r="E13" s="72">
        <f t="shared" ref="E13" si="1">B13</f>
        <v>0</v>
      </c>
      <c r="F13" s="20">
        <f>C13</f>
        <v>0.121</v>
      </c>
      <c r="G13" s="21">
        <f>E13*F13</f>
        <v>0</v>
      </c>
      <c r="H13" s="21">
        <f t="shared" ref="H13:H39" si="2">G13-D13</f>
        <v>0</v>
      </c>
      <c r="I13" s="22">
        <f t="shared" ref="I13:I39" si="3">IF(ISERROR(H13/D13),0,(H13/D13))</f>
        <v>0</v>
      </c>
      <c r="J13" s="124">
        <f t="shared" si="0"/>
        <v>0</v>
      </c>
    </row>
    <row r="14" spans="1:10" s="1" customFormat="1" x14ac:dyDescent="0.2">
      <c r="A14" s="45" t="s">
        <v>33</v>
      </c>
      <c r="B14" s="23"/>
      <c r="C14" s="24"/>
      <c r="D14" s="24">
        <f>SUM(D12:D13)</f>
        <v>53.250999999999998</v>
      </c>
      <c r="E14" s="75"/>
      <c r="F14" s="24"/>
      <c r="G14" s="24">
        <f>SUM(G12:G13)</f>
        <v>53.250999999999998</v>
      </c>
      <c r="H14" s="24">
        <f t="shared" si="2"/>
        <v>0</v>
      </c>
      <c r="I14" s="26">
        <f t="shared" si="3"/>
        <v>0</v>
      </c>
      <c r="J14" s="46">
        <f t="shared" si="0"/>
        <v>0.38602498473347119</v>
      </c>
    </row>
    <row r="15" spans="1:10" x14ac:dyDescent="0.2">
      <c r="A15" s="106" t="s">
        <v>38</v>
      </c>
      <c r="B15" s="72">
        <v>1</v>
      </c>
      <c r="C15" s="77">
        <f>VLOOKUP($B$3,'Data for Bill Impacts'!$A$3:$Y$15,7,0)</f>
        <v>4.7699999999999996</v>
      </c>
      <c r="D15" s="21">
        <f>B15*C15</f>
        <v>4.7699999999999996</v>
      </c>
      <c r="E15" s="72">
        <f t="shared" ref="E15:E34" si="4">B15</f>
        <v>1</v>
      </c>
      <c r="F15" s="77">
        <f>VLOOKUP($B$3,'Data for Bill Impacts'!$A$3:$Y$15,17,0)</f>
        <v>4.8899999999999997</v>
      </c>
      <c r="G15" s="21">
        <f>E15*F15</f>
        <v>4.8899999999999997</v>
      </c>
      <c r="H15" s="21">
        <f t="shared" si="2"/>
        <v>0.12000000000000011</v>
      </c>
      <c r="I15" s="22">
        <f t="shared" si="3"/>
        <v>2.5157232704402541E-2</v>
      </c>
      <c r="J15" s="124">
        <f t="shared" si="0"/>
        <v>3.5448389238637287E-2</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Impacts'!$A$3:$Y$15,11,0)</f>
        <v>0</v>
      </c>
      <c r="D18" s="21">
        <f t="shared" si="6"/>
        <v>0</v>
      </c>
      <c r="E18" s="72">
        <f t="shared" si="4"/>
        <v>1</v>
      </c>
      <c r="F18" s="77">
        <f>VLOOKUP($B$3,'Data for Bill Impacts'!$A$3:$Y$15,22,0)</f>
        <v>0</v>
      </c>
      <c r="G18" s="21">
        <f t="shared" si="5"/>
        <v>0</v>
      </c>
      <c r="H18" s="21">
        <f t="shared" si="2"/>
        <v>0</v>
      </c>
      <c r="I18" s="22">
        <f t="shared" si="3"/>
        <v>0</v>
      </c>
      <c r="J18" s="124">
        <f t="shared" si="0"/>
        <v>0</v>
      </c>
    </row>
    <row r="19" spans="1:10" x14ac:dyDescent="0.2">
      <c r="A19" s="106" t="s">
        <v>39</v>
      </c>
      <c r="B19" s="72">
        <f>IF($B$9="kWh",$B$4,$B$5)</f>
        <v>517</v>
      </c>
      <c r="C19" s="125">
        <f>VLOOKUP($B$3,'Data for Bill Impacts'!$A$3:$Y$15,10,0)</f>
        <v>0.107</v>
      </c>
      <c r="D19" s="21">
        <f>B19*C19</f>
        <v>55.318999999999996</v>
      </c>
      <c r="E19" s="72">
        <f t="shared" si="4"/>
        <v>517</v>
      </c>
      <c r="F19" s="77">
        <f>VLOOKUP($B$3,'Data for Bill Impacts'!$A$3:$Y$15,19,0)</f>
        <v>0.10979999999999999</v>
      </c>
      <c r="G19" s="21">
        <f>E19*F19</f>
        <v>56.766599999999997</v>
      </c>
      <c r="H19" s="21">
        <f t="shared" si="2"/>
        <v>1.4476000000000013</v>
      </c>
      <c r="I19" s="22">
        <f t="shared" si="3"/>
        <v>2.6168224299065446E-2</v>
      </c>
      <c r="J19" s="124">
        <f t="shared" si="0"/>
        <v>0.41151012935665182</v>
      </c>
    </row>
    <row r="20" spans="1:10" s="1" customFormat="1" x14ac:dyDescent="0.2">
      <c r="A20" s="106" t="s">
        <v>129</v>
      </c>
      <c r="B20" s="72">
        <f>IF($B$9="kWh",$B$4,$B$5)</f>
        <v>517</v>
      </c>
      <c r="C20" s="125">
        <f>VLOOKUP($B$3,'Data for Bill Impacts'!$A$3:$Y$15,14,0)</f>
        <v>2.0000000000000001E-4</v>
      </c>
      <c r="D20" s="21">
        <f>B20*C20</f>
        <v>0.10340000000000001</v>
      </c>
      <c r="E20" s="72">
        <f>B20</f>
        <v>517</v>
      </c>
      <c r="F20" s="77">
        <f>VLOOKUP($B$3,'Data for Bill Impacts'!$A$3:$Y$15,23,0)</f>
        <v>2.0000000000000001E-4</v>
      </c>
      <c r="G20" s="21">
        <f>E20*F20</f>
        <v>0.10340000000000001</v>
      </c>
      <c r="H20" s="21">
        <f>G20-D20</f>
        <v>0</v>
      </c>
      <c r="I20" s="22">
        <f>IF(ISERROR(H20/D20),0,(H20/D20))</f>
        <v>0</v>
      </c>
      <c r="J20" s="124">
        <f t="shared" si="0"/>
        <v>7.4956307715237137E-4</v>
      </c>
    </row>
    <row r="21" spans="1:10" hidden="1" x14ac:dyDescent="0.2">
      <c r="A21" s="106" t="s">
        <v>86</v>
      </c>
      <c r="B21" s="72">
        <f>IF($B$9="kWh",$B$4,$B$5)</f>
        <v>517</v>
      </c>
      <c r="C21" s="125">
        <v>0</v>
      </c>
      <c r="D21" s="21">
        <f>B21*C21</f>
        <v>0</v>
      </c>
      <c r="E21" s="72">
        <f t="shared" si="4"/>
        <v>517</v>
      </c>
      <c r="F21" s="77">
        <v>0</v>
      </c>
      <c r="G21" s="21">
        <f>E21*F21</f>
        <v>0</v>
      </c>
      <c r="H21" s="21">
        <f t="shared" si="2"/>
        <v>0</v>
      </c>
      <c r="I21" s="22">
        <f>IF(ISERROR(H21/D21),0,(H21/D21))</f>
        <v>0</v>
      </c>
      <c r="J21" s="124">
        <f t="shared" si="0"/>
        <v>0</v>
      </c>
    </row>
    <row r="22" spans="1:10" x14ac:dyDescent="0.2">
      <c r="A22" s="109" t="s">
        <v>72</v>
      </c>
      <c r="B22" s="73"/>
      <c r="C22" s="34"/>
      <c r="D22" s="34">
        <f>SUM(D15:D21)</f>
        <v>60.192399999999999</v>
      </c>
      <c r="E22" s="72"/>
      <c r="F22" s="34"/>
      <c r="G22" s="34">
        <f>SUM(G15:G21)</f>
        <v>61.76</v>
      </c>
      <c r="H22" s="34">
        <f t="shared" si="2"/>
        <v>1.5675999999999988</v>
      </c>
      <c r="I22" s="35">
        <f t="shared" si="3"/>
        <v>2.6043154949794305E-2</v>
      </c>
      <c r="J22" s="110">
        <f t="shared" si="0"/>
        <v>0.44770808167244147</v>
      </c>
    </row>
    <row r="23" spans="1:10" s="1" customFormat="1" x14ac:dyDescent="0.2">
      <c r="A23" s="118" t="s">
        <v>81</v>
      </c>
      <c r="B23" s="119">
        <f>B8-B4</f>
        <v>47.564000000000078</v>
      </c>
      <c r="C23" s="120">
        <f>IF(B4&gt;B7,C13,C12)</f>
        <v>0.10299999999999999</v>
      </c>
      <c r="D23" s="21">
        <f>B23*C23</f>
        <v>4.8990920000000076</v>
      </c>
      <c r="E23" s="72">
        <f>B23</f>
        <v>47.564000000000078</v>
      </c>
      <c r="F23" s="120">
        <f>C23</f>
        <v>0.10299999999999999</v>
      </c>
      <c r="G23" s="21">
        <f>E23*F23</f>
        <v>4.8990920000000076</v>
      </c>
      <c r="H23" s="21">
        <f t="shared" si="2"/>
        <v>0</v>
      </c>
      <c r="I23" s="22">
        <f>IF(ISERROR(H23/D23),0,(H23/D23))</f>
        <v>0</v>
      </c>
      <c r="J23" s="124">
        <f t="shared" si="0"/>
        <v>3.5514298595479409E-2</v>
      </c>
    </row>
    <row r="24" spans="1:10" x14ac:dyDescent="0.2">
      <c r="A24" s="109" t="s">
        <v>79</v>
      </c>
      <c r="B24" s="73"/>
      <c r="C24" s="34"/>
      <c r="D24" s="34">
        <f>SUM(D22,D23:D23)</f>
        <v>65.091492000000002</v>
      </c>
      <c r="E24" s="72"/>
      <c r="F24" s="34"/>
      <c r="G24" s="34">
        <f>SUM(G22,G23:G23)</f>
        <v>66.659092000000001</v>
      </c>
      <c r="H24" s="34">
        <f t="shared" si="2"/>
        <v>1.5675999999999988</v>
      </c>
      <c r="I24" s="35">
        <f>IF(ISERROR(H24/D24),0,(H24/D24))</f>
        <v>2.4083024552578988E-2</v>
      </c>
      <c r="J24" s="110">
        <f t="shared" si="0"/>
        <v>0.48322238026792086</v>
      </c>
    </row>
    <row r="25" spans="1:10" x14ac:dyDescent="0.2">
      <c r="A25" s="106" t="s">
        <v>40</v>
      </c>
      <c r="B25" s="72">
        <f>B8</f>
        <v>564.56400000000008</v>
      </c>
      <c r="C25" s="125">
        <f>VLOOKUP($B$3,'Data for Bill Impacts'!$A$3:$Y$15,15,0)</f>
        <v>3.836E-3</v>
      </c>
      <c r="D25" s="21">
        <f>B25*C25</f>
        <v>2.1656675040000004</v>
      </c>
      <c r="E25" s="72">
        <f t="shared" si="4"/>
        <v>564.56400000000008</v>
      </c>
      <c r="F25" s="77">
        <f>VLOOKUP($B$3,'Data for Bill Impacts'!$A$3:$Y$15,24,0)</f>
        <v>3.836E-3</v>
      </c>
      <c r="G25" s="21">
        <f>E25*F25</f>
        <v>2.1656675040000004</v>
      </c>
      <c r="H25" s="21">
        <f t="shared" si="2"/>
        <v>0</v>
      </c>
      <c r="I25" s="22">
        <f t="shared" si="3"/>
        <v>0</v>
      </c>
      <c r="J25" s="124">
        <f t="shared" si="0"/>
        <v>1.5699268843202472E-2</v>
      </c>
    </row>
    <row r="26" spans="1:10" s="1" customFormat="1" x14ac:dyDescent="0.2">
      <c r="A26" s="106" t="s">
        <v>41</v>
      </c>
      <c r="B26" s="72">
        <f>B8</f>
        <v>564.56400000000008</v>
      </c>
      <c r="C26" s="125">
        <f>VLOOKUP($B$3,'Data for Bill Impacts'!$A$3:$Y$15,16,0)</f>
        <v>3.6240000000000001E-3</v>
      </c>
      <c r="D26" s="21">
        <f>B26*C26</f>
        <v>2.0459799360000002</v>
      </c>
      <c r="E26" s="72">
        <f t="shared" si="4"/>
        <v>564.56400000000008</v>
      </c>
      <c r="F26" s="77">
        <f>VLOOKUP($B$3,'Data for Bill Impacts'!$A$3:$Y$15,25,0)</f>
        <v>3.6240000000000001E-3</v>
      </c>
      <c r="G26" s="21">
        <f>E26*F26</f>
        <v>2.0459799360000002</v>
      </c>
      <c r="H26" s="21">
        <f t="shared" si="2"/>
        <v>0</v>
      </c>
      <c r="I26" s="22">
        <f t="shared" si="3"/>
        <v>0</v>
      </c>
      <c r="J26" s="124">
        <f t="shared" si="0"/>
        <v>1.4831634590137059E-2</v>
      </c>
    </row>
    <row r="27" spans="1:10" s="1" customFormat="1" x14ac:dyDescent="0.2">
      <c r="A27" s="109" t="s">
        <v>76</v>
      </c>
      <c r="B27" s="73"/>
      <c r="C27" s="34"/>
      <c r="D27" s="34">
        <f>SUM(D25:D26)</f>
        <v>4.2116474400000001</v>
      </c>
      <c r="E27" s="72"/>
      <c r="F27" s="34"/>
      <c r="G27" s="34">
        <f>SUM(G25:G26)</f>
        <v>4.2116474400000001</v>
      </c>
      <c r="H27" s="34">
        <f t="shared" si="2"/>
        <v>0</v>
      </c>
      <c r="I27" s="35">
        <f t="shared" si="3"/>
        <v>0</v>
      </c>
      <c r="J27" s="110">
        <f t="shared" si="0"/>
        <v>3.0530903433339529E-2</v>
      </c>
    </row>
    <row r="28" spans="1:10" s="1" customFormat="1" x14ac:dyDescent="0.2">
      <c r="A28" s="109" t="s">
        <v>80</v>
      </c>
      <c r="B28" s="73"/>
      <c r="C28" s="34"/>
      <c r="D28" s="34">
        <f>D24+D27</f>
        <v>69.303139439999995</v>
      </c>
      <c r="E28" s="72"/>
      <c r="F28" s="34"/>
      <c r="G28" s="34">
        <f>G24+G27</f>
        <v>70.870739439999994</v>
      </c>
      <c r="H28" s="34">
        <f t="shared" si="2"/>
        <v>1.5675999999999988</v>
      </c>
      <c r="I28" s="35">
        <f t="shared" si="3"/>
        <v>2.2619465909725012E-2</v>
      </c>
      <c r="J28" s="110">
        <f t="shared" si="0"/>
        <v>0.51375328370126039</v>
      </c>
    </row>
    <row r="29" spans="1:10" x14ac:dyDescent="0.2">
      <c r="A29" s="106" t="s">
        <v>42</v>
      </c>
      <c r="B29" s="72">
        <f>B8</f>
        <v>564.56400000000008</v>
      </c>
      <c r="C29" s="33">
        <v>3.5999999999999999E-3</v>
      </c>
      <c r="D29" s="21">
        <f>B29*C29</f>
        <v>2.0324304000000004</v>
      </c>
      <c r="E29" s="72">
        <f t="shared" si="4"/>
        <v>564.56400000000008</v>
      </c>
      <c r="F29" s="33">
        <v>3.5999999999999999E-3</v>
      </c>
      <c r="G29" s="21">
        <f>E29*F29</f>
        <v>2.0324304000000004</v>
      </c>
      <c r="H29" s="21">
        <f t="shared" si="2"/>
        <v>0</v>
      </c>
      <c r="I29" s="22">
        <f t="shared" si="3"/>
        <v>0</v>
      </c>
      <c r="J29" s="124">
        <f t="shared" si="0"/>
        <v>1.4733411844507013E-2</v>
      </c>
    </row>
    <row r="30" spans="1:10" s="1" customFormat="1" x14ac:dyDescent="0.2">
      <c r="A30" s="106" t="s">
        <v>43</v>
      </c>
      <c r="B30" s="72">
        <f>B8</f>
        <v>564.56400000000008</v>
      </c>
      <c r="C30" s="33">
        <v>1.2999999999999999E-3</v>
      </c>
      <c r="D30" s="21">
        <f>B30*C30</f>
        <v>0.73393320000000006</v>
      </c>
      <c r="E30" s="72">
        <f t="shared" si="4"/>
        <v>564.56400000000008</v>
      </c>
      <c r="F30" s="33">
        <v>1.2999999999999999E-3</v>
      </c>
      <c r="G30" s="21">
        <f>E30*F30</f>
        <v>0.73393320000000006</v>
      </c>
      <c r="H30" s="21">
        <f>G30-D30</f>
        <v>0</v>
      </c>
      <c r="I30" s="22">
        <f t="shared" si="3"/>
        <v>0</v>
      </c>
      <c r="J30" s="124">
        <f t="shared" si="0"/>
        <v>5.3203987216275317E-3</v>
      </c>
    </row>
    <row r="31" spans="1:10" s="1" customFormat="1" x14ac:dyDescent="0.2">
      <c r="A31" s="106" t="s">
        <v>99</v>
      </c>
      <c r="B31" s="72">
        <f>B8</f>
        <v>564.56400000000008</v>
      </c>
      <c r="C31" s="33">
        <v>1.1000000000000001E-3</v>
      </c>
      <c r="D31" s="21">
        <f>B31*C31</f>
        <v>0.62102040000000014</v>
      </c>
      <c r="E31" s="72">
        <f t="shared" si="4"/>
        <v>564.56400000000008</v>
      </c>
      <c r="F31" s="33">
        <v>1.1000000000000001E-3</v>
      </c>
      <c r="G31" s="21">
        <f>E31*F31</f>
        <v>0.62102040000000014</v>
      </c>
      <c r="H31" s="21">
        <f>G31-D31</f>
        <v>0</v>
      </c>
      <c r="I31" s="22">
        <f t="shared" si="3"/>
        <v>0</v>
      </c>
      <c r="J31" s="124">
        <f t="shared" si="0"/>
        <v>4.5018758413771431E-3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si="0"/>
        <v>1.8122898383761395E-3</v>
      </c>
    </row>
    <row r="33" spans="1:10" s="1" customFormat="1" x14ac:dyDescent="0.2">
      <c r="A33" s="109" t="s">
        <v>45</v>
      </c>
      <c r="B33" s="73"/>
      <c r="C33" s="34"/>
      <c r="D33" s="34">
        <f>SUM(D29:D32)</f>
        <v>3.6373840000000008</v>
      </c>
      <c r="E33" s="72"/>
      <c r="F33" s="34"/>
      <c r="G33" s="34">
        <f>SUM(G29:G32)</f>
        <v>3.6373840000000008</v>
      </c>
      <c r="H33" s="34">
        <f t="shared" si="2"/>
        <v>0</v>
      </c>
      <c r="I33" s="35">
        <f t="shared" si="3"/>
        <v>0</v>
      </c>
      <c r="J33" s="110">
        <f t="shared" si="0"/>
        <v>2.6367976245887829E-2</v>
      </c>
    </row>
    <row r="34" spans="1:10" ht="13.5" thickBot="1" x14ac:dyDescent="0.25">
      <c r="A34" s="111" t="s">
        <v>46</v>
      </c>
      <c r="B34" s="112">
        <f>B4</f>
        <v>517</v>
      </c>
      <c r="C34" s="113">
        <v>7.0000000000000001E-3</v>
      </c>
      <c r="D34" s="114">
        <f>B34*C34</f>
        <v>3.6190000000000002</v>
      </c>
      <c r="E34" s="115">
        <f t="shared" si="4"/>
        <v>517</v>
      </c>
      <c r="F34" s="113">
        <f>C34</f>
        <v>7.0000000000000001E-3</v>
      </c>
      <c r="G34" s="114">
        <f>E34*F34</f>
        <v>3.6190000000000002</v>
      </c>
      <c r="H34" s="114">
        <f t="shared" si="2"/>
        <v>0</v>
      </c>
      <c r="I34" s="116">
        <f t="shared" si="3"/>
        <v>0</v>
      </c>
      <c r="J34" s="117">
        <f t="shared" si="0"/>
        <v>2.6234707700332996E-2</v>
      </c>
    </row>
    <row r="35" spans="1:10" x14ac:dyDescent="0.2">
      <c r="A35" s="36" t="s">
        <v>116</v>
      </c>
      <c r="B35" s="37"/>
      <c r="C35" s="38"/>
      <c r="D35" s="38">
        <f>SUM(D14,D24,D27,D33,D34)</f>
        <v>129.81052344</v>
      </c>
      <c r="E35" s="37"/>
      <c r="F35" s="38"/>
      <c r="G35" s="38">
        <f>SUM(G14,G24,G27,G33,G34)</f>
        <v>131.37812344</v>
      </c>
      <c r="H35" s="38">
        <f t="shared" si="2"/>
        <v>1.5675999999999988</v>
      </c>
      <c r="I35" s="39">
        <f>IF(ISERROR(H35/D35),0,(H35/D35))</f>
        <v>1.2076062544532936E-2</v>
      </c>
      <c r="J35" s="40">
        <f t="shared" si="0"/>
        <v>0.95238095238095244</v>
      </c>
    </row>
    <row r="36" spans="1:10" x14ac:dyDescent="0.2">
      <c r="A36" s="45" t="s">
        <v>108</v>
      </c>
      <c r="B36" s="42"/>
      <c r="C36" s="25">
        <v>0.13</v>
      </c>
      <c r="D36" s="25">
        <f>D35*C36</f>
        <v>16.875368047199999</v>
      </c>
      <c r="E36" s="25"/>
      <c r="F36" s="25">
        <f>C36</f>
        <v>0.13</v>
      </c>
      <c r="G36" s="25">
        <f>G35*F36</f>
        <v>17.079156047200001</v>
      </c>
      <c r="H36" s="25">
        <f t="shared" si="2"/>
        <v>0.20378800000000297</v>
      </c>
      <c r="I36" s="43">
        <f t="shared" si="3"/>
        <v>1.2076062544533122E-2</v>
      </c>
      <c r="J36" s="44">
        <f t="shared" si="0"/>
        <v>0.12380952380952383</v>
      </c>
    </row>
    <row r="37" spans="1:10" x14ac:dyDescent="0.2">
      <c r="A37" s="45" t="s">
        <v>109</v>
      </c>
      <c r="B37" s="23"/>
      <c r="C37" s="24"/>
      <c r="D37" s="24">
        <f>SUM(D35:D36)</f>
        <v>146.6858914872</v>
      </c>
      <c r="E37" s="24"/>
      <c r="F37" s="24"/>
      <c r="G37" s="24">
        <f>SUM(G35:G36)</f>
        <v>148.4572794872</v>
      </c>
      <c r="H37" s="24">
        <f t="shared" si="2"/>
        <v>1.7713880000000017</v>
      </c>
      <c r="I37" s="26">
        <f t="shared" si="3"/>
        <v>1.2076062544532957E-2</v>
      </c>
      <c r="J37" s="46">
        <f t="shared" si="0"/>
        <v>1.0761904761904761</v>
      </c>
    </row>
    <row r="38" spans="1:10" x14ac:dyDescent="0.2">
      <c r="A38" s="45" t="s">
        <v>110</v>
      </c>
      <c r="B38" s="42"/>
      <c r="C38" s="25">
        <v>-0.08</v>
      </c>
      <c r="D38" s="25">
        <f>D35*C38</f>
        <v>-10.384841875199999</v>
      </c>
      <c r="E38" s="25"/>
      <c r="F38" s="25">
        <f>C38</f>
        <v>-0.08</v>
      </c>
      <c r="G38" s="25">
        <f>G35*F38</f>
        <v>-10.5102498752</v>
      </c>
      <c r="H38" s="25">
        <f t="shared" si="2"/>
        <v>-0.12540800000000019</v>
      </c>
      <c r="I38" s="43">
        <f t="shared" si="3"/>
        <v>1.2076062544532964E-2</v>
      </c>
      <c r="J38" s="44">
        <f t="shared" si="0"/>
        <v>-7.6190476190476183E-2</v>
      </c>
    </row>
    <row r="39" spans="1:10" ht="13.5" thickBot="1" x14ac:dyDescent="0.25">
      <c r="A39" s="47" t="s">
        <v>111</v>
      </c>
      <c r="B39" s="48"/>
      <c r="C39" s="49"/>
      <c r="D39" s="49">
        <f>SUM(D37:D38)</f>
        <v>136.30104961199999</v>
      </c>
      <c r="E39" s="49"/>
      <c r="F39" s="49"/>
      <c r="G39" s="49">
        <f>SUM(G37:G38)</f>
        <v>137.94702961199999</v>
      </c>
      <c r="H39" s="49">
        <f t="shared" si="2"/>
        <v>1.6459800000000087</v>
      </c>
      <c r="I39" s="50">
        <f t="shared" si="3"/>
        <v>1.2076062544533011E-2</v>
      </c>
      <c r="J39" s="51">
        <f t="shared" si="0"/>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1" tint="0.499984740745262"/>
    <pageSetUpPr fitToPage="1"/>
  </sheetPr>
  <dimension ref="A1:J54"/>
  <sheetViews>
    <sheetView tabSelected="1" topLeftCell="A13"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256" max="256" width="53.28515625" customWidth="1"/>
    <col min="257" max="257" width="15.570312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53.28515625" customWidth="1"/>
    <col min="513" max="513" width="15.570312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53.28515625" customWidth="1"/>
    <col min="769" max="769" width="15.570312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53.28515625" customWidth="1"/>
    <col min="1025" max="1025" width="15.570312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53.28515625" customWidth="1"/>
    <col min="1281" max="1281" width="15.570312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53.28515625" customWidth="1"/>
    <col min="1537" max="1537" width="15.570312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53.28515625" customWidth="1"/>
    <col min="1793" max="1793" width="15.570312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53.28515625" customWidth="1"/>
    <col min="2049" max="2049" width="15.570312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53.28515625" customWidth="1"/>
    <col min="2305" max="2305" width="15.570312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53.28515625" customWidth="1"/>
    <col min="2561" max="2561" width="15.570312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53.28515625" customWidth="1"/>
    <col min="2817" max="2817" width="15.570312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53.28515625" customWidth="1"/>
    <col min="3073" max="3073" width="15.570312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53.28515625" customWidth="1"/>
    <col min="3329" max="3329" width="15.570312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53.28515625" customWidth="1"/>
    <col min="3585" max="3585" width="15.570312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53.28515625" customWidth="1"/>
    <col min="3841" max="3841" width="15.570312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53.28515625" customWidth="1"/>
    <col min="4097" max="4097" width="15.570312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53.28515625" customWidth="1"/>
    <col min="4353" max="4353" width="15.570312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53.28515625" customWidth="1"/>
    <col min="4609" max="4609" width="15.570312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53.28515625" customWidth="1"/>
    <col min="4865" max="4865" width="15.570312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53.28515625" customWidth="1"/>
    <col min="5121" max="5121" width="15.570312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53.28515625" customWidth="1"/>
    <col min="5377" max="5377" width="15.570312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53.28515625" customWidth="1"/>
    <col min="5633" max="5633" width="15.570312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53.28515625" customWidth="1"/>
    <col min="5889" max="5889" width="15.570312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53.28515625" customWidth="1"/>
    <col min="6145" max="6145" width="15.570312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53.28515625" customWidth="1"/>
    <col min="6401" max="6401" width="15.570312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53.28515625" customWidth="1"/>
    <col min="6657" max="6657" width="15.570312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53.28515625" customWidth="1"/>
    <col min="6913" max="6913" width="15.570312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53.28515625" customWidth="1"/>
    <col min="7169" max="7169" width="15.570312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53.28515625" customWidth="1"/>
    <col min="7425" max="7425" width="15.570312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53.28515625" customWidth="1"/>
    <col min="7681" max="7681" width="15.570312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53.28515625" customWidth="1"/>
    <col min="7937" max="7937" width="15.570312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53.28515625" customWidth="1"/>
    <col min="8193" max="8193" width="15.570312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53.28515625" customWidth="1"/>
    <col min="8449" max="8449" width="15.570312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53.28515625" customWidth="1"/>
    <col min="8705" max="8705" width="15.570312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53.28515625" customWidth="1"/>
    <col min="8961" max="8961" width="15.570312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53.28515625" customWidth="1"/>
    <col min="9217" max="9217" width="15.570312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53.28515625" customWidth="1"/>
    <col min="9473" max="9473" width="15.570312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53.28515625" customWidth="1"/>
    <col min="9729" max="9729" width="15.570312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53.28515625" customWidth="1"/>
    <col min="9985" max="9985" width="15.570312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53.28515625" customWidth="1"/>
    <col min="10241" max="10241" width="15.570312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53.28515625" customWidth="1"/>
    <col min="10497" max="10497" width="15.570312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53.28515625" customWidth="1"/>
    <col min="10753" max="10753" width="15.570312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53.28515625" customWidth="1"/>
    <col min="11009" max="11009" width="15.570312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53.28515625" customWidth="1"/>
    <col min="11265" max="11265" width="15.570312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53.28515625" customWidth="1"/>
    <col min="11521" max="11521" width="15.570312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53.28515625" customWidth="1"/>
    <col min="11777" max="11777" width="15.570312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53.28515625" customWidth="1"/>
    <col min="12033" max="12033" width="15.570312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53.28515625" customWidth="1"/>
    <col min="12289" max="12289" width="15.570312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53.28515625" customWidth="1"/>
    <col min="12545" max="12545" width="15.570312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53.28515625" customWidth="1"/>
    <col min="12801" max="12801" width="15.570312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53.28515625" customWidth="1"/>
    <col min="13057" max="13057" width="15.570312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53.28515625" customWidth="1"/>
    <col min="13313" max="13313" width="15.570312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53.28515625" customWidth="1"/>
    <col min="13569" max="13569" width="15.570312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53.28515625" customWidth="1"/>
    <col min="13825" max="13825" width="15.570312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53.28515625" customWidth="1"/>
    <col min="14081" max="14081" width="15.570312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53.28515625" customWidth="1"/>
    <col min="14337" max="14337" width="15.570312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53.28515625" customWidth="1"/>
    <col min="14593" max="14593" width="15.570312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53.28515625" customWidth="1"/>
    <col min="14849" max="14849" width="15.570312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53.28515625" customWidth="1"/>
    <col min="15105" max="15105" width="15.570312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53.28515625" customWidth="1"/>
    <col min="15361" max="15361" width="15.570312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53.28515625" customWidth="1"/>
    <col min="15617" max="15617" width="15.570312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53.28515625" customWidth="1"/>
    <col min="15873" max="15873" width="15.570312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53.28515625" customWidth="1"/>
    <col min="16129" max="16129" width="15.570312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8</v>
      </c>
    </row>
    <row r="4" spans="1:10" x14ac:dyDescent="0.2">
      <c r="A4" s="14" t="s">
        <v>62</v>
      </c>
      <c r="B4" s="14">
        <v>2000</v>
      </c>
    </row>
    <row r="5" spans="1:10" x14ac:dyDescent="0.2">
      <c r="A5" s="14" t="s">
        <v>16</v>
      </c>
      <c r="B5" s="14">
        <f>VLOOKUP($B$3,'Data for Bill Impacts'!$A$3:$Y$15,5,0)</f>
        <v>0</v>
      </c>
    </row>
    <row r="6" spans="1:10" x14ac:dyDescent="0.2">
      <c r="A6" s="14" t="s">
        <v>20</v>
      </c>
      <c r="B6" s="14">
        <f>VLOOKUP($B$3,'Data for Bill Impacts'!$A$3:$Y$15,2,0)</f>
        <v>1.0920000000000001</v>
      </c>
    </row>
    <row r="7" spans="1:10" x14ac:dyDescent="0.2">
      <c r="A7" s="14" t="s">
        <v>15</v>
      </c>
      <c r="B7" s="14">
        <f>VLOOKUP($B$3,'Data for Bill Impacts'!$A$3:$Y$15,4,0)</f>
        <v>750</v>
      </c>
    </row>
    <row r="8" spans="1:10" x14ac:dyDescent="0.2">
      <c r="A8" s="14" t="s">
        <v>82</v>
      </c>
      <c r="B8" s="14">
        <f>B4*B6</f>
        <v>2184</v>
      </c>
    </row>
    <row r="9" spans="1:10" x14ac:dyDescent="0.2">
      <c r="A9" s="14" t="s">
        <v>21</v>
      </c>
      <c r="B9" s="15" t="str">
        <f>VLOOKUP($B$3,'Data for Bill Impacts'!$A$3:$Y$15,6,0)</f>
        <v>kWh</v>
      </c>
    </row>
    <row r="10" spans="1:10" ht="13.5" thickBot="1" x14ac:dyDescent="0.25"/>
    <row r="11" spans="1:10" s="19" customFormat="1" ht="39" thickBot="1" x14ac:dyDescent="0.25">
      <c r="A11" s="16"/>
      <c r="B11" s="17" t="s">
        <v>22</v>
      </c>
      <c r="C11" s="17" t="s">
        <v>23</v>
      </c>
      <c r="D11" s="17" t="s">
        <v>24</v>
      </c>
      <c r="E11" s="17" t="s">
        <v>22</v>
      </c>
      <c r="F11" s="17" t="s">
        <v>25</v>
      </c>
      <c r="G11" s="17" t="s">
        <v>26</v>
      </c>
      <c r="H11" s="17" t="s">
        <v>27</v>
      </c>
      <c r="I11" s="17" t="s">
        <v>28</v>
      </c>
      <c r="J11" s="122" t="s">
        <v>29</v>
      </c>
    </row>
    <row r="12" spans="1:10"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23">
        <f t="shared" ref="J12:J30" si="0">G12/$G$39</f>
        <v>0.14119898965789507</v>
      </c>
    </row>
    <row r="13" spans="1:10" x14ac:dyDescent="0.2">
      <c r="A13" s="106" t="s">
        <v>32</v>
      </c>
      <c r="B13" s="72">
        <f>IF(B4&gt;B7,(B4)-B7,0)</f>
        <v>1250</v>
      </c>
      <c r="C13" s="20">
        <v>0.121</v>
      </c>
      <c r="D13" s="21">
        <f>B13*C13</f>
        <v>151.25</v>
      </c>
      <c r="E13" s="72">
        <f t="shared" ref="E13" si="1">B13</f>
        <v>1250</v>
      </c>
      <c r="F13" s="20">
        <f>C13</f>
        <v>0.121</v>
      </c>
      <c r="G13" s="21">
        <f>E13*F13</f>
        <v>151.25</v>
      </c>
      <c r="H13" s="21">
        <f t="shared" ref="H13:H39" si="2">G13-D13</f>
        <v>0</v>
      </c>
      <c r="I13" s="22">
        <f t="shared" ref="I13:I39" si="3">IF(ISERROR(H13/D13),0,(H13/D13))</f>
        <v>0</v>
      </c>
      <c r="J13" s="124">
        <f t="shared" si="0"/>
        <v>0.27645756874765864</v>
      </c>
    </row>
    <row r="14" spans="1:10" s="1" customFormat="1" x14ac:dyDescent="0.2">
      <c r="A14" s="45" t="s">
        <v>33</v>
      </c>
      <c r="B14" s="23"/>
      <c r="C14" s="24"/>
      <c r="D14" s="24">
        <f>SUM(D12:D13)</f>
        <v>228.5</v>
      </c>
      <c r="E14" s="75"/>
      <c r="F14" s="24"/>
      <c r="G14" s="24">
        <f>SUM(G12:G13)</f>
        <v>228.5</v>
      </c>
      <c r="H14" s="24">
        <f t="shared" si="2"/>
        <v>0</v>
      </c>
      <c r="I14" s="26">
        <f t="shared" si="3"/>
        <v>0</v>
      </c>
      <c r="J14" s="46">
        <f t="shared" si="0"/>
        <v>0.41765655840555371</v>
      </c>
    </row>
    <row r="15" spans="1:10" x14ac:dyDescent="0.2">
      <c r="A15" s="106" t="s">
        <v>38</v>
      </c>
      <c r="B15" s="72">
        <v>1</v>
      </c>
      <c r="C15" s="77">
        <f>VLOOKUP($B$3,'Data for Bill Impacts'!$A$3:$Y$15,7,0)</f>
        <v>4.7699999999999996</v>
      </c>
      <c r="D15" s="21">
        <f>B15*C15</f>
        <v>4.7699999999999996</v>
      </c>
      <c r="E15" s="72">
        <f t="shared" ref="E15:E34" si="4">B15</f>
        <v>1</v>
      </c>
      <c r="F15" s="77">
        <f>VLOOKUP($B$3,'Data for Bill Impacts'!$A$3:$Y$15,17,0)</f>
        <v>4.8899999999999997</v>
      </c>
      <c r="G15" s="21">
        <f>E15*F15</f>
        <v>4.8899999999999997</v>
      </c>
      <c r="H15" s="21">
        <f t="shared" si="2"/>
        <v>0.12000000000000011</v>
      </c>
      <c r="I15" s="22">
        <f t="shared" si="3"/>
        <v>2.5157232704402541E-2</v>
      </c>
      <c r="J15" s="124">
        <f t="shared" si="0"/>
        <v>8.9380331317424847E-3</v>
      </c>
    </row>
    <row r="16" spans="1:10" hidden="1" x14ac:dyDescent="0.2">
      <c r="A16" s="106" t="s">
        <v>88</v>
      </c>
      <c r="B16" s="72">
        <v>1</v>
      </c>
      <c r="C16" s="77">
        <v>0</v>
      </c>
      <c r="D16" s="21">
        <f>B16*C16</f>
        <v>0</v>
      </c>
      <c r="E16" s="72">
        <f t="shared" si="4"/>
        <v>1</v>
      </c>
      <c r="F16" s="77">
        <v>0</v>
      </c>
      <c r="G16" s="21">
        <f t="shared" ref="G16:G18" si="5">E16*F16</f>
        <v>0</v>
      </c>
      <c r="H16" s="21">
        <f t="shared" si="2"/>
        <v>0</v>
      </c>
      <c r="I16" s="22">
        <f t="shared" si="3"/>
        <v>0</v>
      </c>
      <c r="J16" s="124">
        <f t="shared" si="0"/>
        <v>0</v>
      </c>
    </row>
    <row r="17" spans="1:10" hidden="1" x14ac:dyDescent="0.2">
      <c r="A17" s="106" t="s">
        <v>84</v>
      </c>
      <c r="B17" s="72">
        <v>1</v>
      </c>
      <c r="C17" s="77">
        <v>0</v>
      </c>
      <c r="D17" s="21">
        <f t="shared" ref="D17:D18" si="6">B17*C17</f>
        <v>0</v>
      </c>
      <c r="E17" s="72">
        <f t="shared" si="4"/>
        <v>1</v>
      </c>
      <c r="F17" s="77">
        <v>0</v>
      </c>
      <c r="G17" s="21">
        <f t="shared" si="5"/>
        <v>0</v>
      </c>
      <c r="H17" s="21">
        <f t="shared" si="2"/>
        <v>0</v>
      </c>
      <c r="I17" s="22">
        <f t="shared" si="3"/>
        <v>0</v>
      </c>
      <c r="J17" s="124">
        <f t="shared" si="0"/>
        <v>0</v>
      </c>
    </row>
    <row r="18" spans="1:10" x14ac:dyDescent="0.2">
      <c r="A18" s="106" t="s">
        <v>85</v>
      </c>
      <c r="B18" s="72">
        <v>1</v>
      </c>
      <c r="C18" s="77">
        <f>VLOOKUP($B$3,'Data for Bill Impacts'!$A$3:$Y$15,11,0)</f>
        <v>0</v>
      </c>
      <c r="D18" s="21">
        <f t="shared" si="6"/>
        <v>0</v>
      </c>
      <c r="E18" s="72">
        <f t="shared" si="4"/>
        <v>1</v>
      </c>
      <c r="F18" s="77">
        <f>VLOOKUP($B$3,'Data for Bill Impacts'!$A$3:$Y$15,22,0)</f>
        <v>0</v>
      </c>
      <c r="G18" s="21">
        <f t="shared" si="5"/>
        <v>0</v>
      </c>
      <c r="H18" s="21">
        <f t="shared" si="2"/>
        <v>0</v>
      </c>
      <c r="I18" s="22">
        <f t="shared" si="3"/>
        <v>0</v>
      </c>
      <c r="J18" s="124">
        <f t="shared" si="0"/>
        <v>0</v>
      </c>
    </row>
    <row r="19" spans="1:10" x14ac:dyDescent="0.2">
      <c r="A19" s="106" t="s">
        <v>39</v>
      </c>
      <c r="B19" s="72">
        <f>IF($B$9="kWh",$B$4,$B$5)</f>
        <v>2000</v>
      </c>
      <c r="C19" s="125">
        <f>VLOOKUP($B$3,'Data for Bill Impacts'!$A$3:$Y$15,10,0)</f>
        <v>0.107</v>
      </c>
      <c r="D19" s="21">
        <f>B19*C19</f>
        <v>214</v>
      </c>
      <c r="E19" s="72">
        <f t="shared" si="4"/>
        <v>2000</v>
      </c>
      <c r="F19" s="77">
        <f>VLOOKUP($B$3,'Data for Bill Impacts'!$A$3:$Y$15,19,0)</f>
        <v>0.10979999999999999</v>
      </c>
      <c r="G19" s="21">
        <f>E19*F19</f>
        <v>219.6</v>
      </c>
      <c r="H19" s="21">
        <f t="shared" si="2"/>
        <v>5.5999999999999943</v>
      </c>
      <c r="I19" s="22">
        <f t="shared" si="3"/>
        <v>2.6168224299065394E-2</v>
      </c>
      <c r="J19" s="124">
        <f t="shared" si="0"/>
        <v>0.40138897254205513</v>
      </c>
    </row>
    <row r="20" spans="1:10" s="1" customFormat="1" x14ac:dyDescent="0.2">
      <c r="A20" s="106" t="s">
        <v>129</v>
      </c>
      <c r="B20" s="72">
        <f>IF($B$9="kWh",$B$4,$B$5)</f>
        <v>2000</v>
      </c>
      <c r="C20" s="125">
        <f>VLOOKUP($B$3,'Data for Bill Impacts'!$A$3:$Y$15,14,0)</f>
        <v>2.0000000000000001E-4</v>
      </c>
      <c r="D20" s="21">
        <f>B20*C20</f>
        <v>0.4</v>
      </c>
      <c r="E20" s="72">
        <f>B20</f>
        <v>2000</v>
      </c>
      <c r="F20" s="77">
        <f>VLOOKUP($B$3,'Data for Bill Impacts'!$A$3:$Y$15,23,0)</f>
        <v>2.0000000000000001E-4</v>
      </c>
      <c r="G20" s="21">
        <f>E20*F20</f>
        <v>0.4</v>
      </c>
      <c r="H20" s="21">
        <f>G20-D20</f>
        <v>0</v>
      </c>
      <c r="I20" s="22">
        <f>IF(ISERROR(H20/D20),0,(H20/D20))</f>
        <v>0</v>
      </c>
      <c r="J20" s="124">
        <f t="shared" si="0"/>
        <v>7.311274545392626E-4</v>
      </c>
    </row>
    <row r="21" spans="1:10" hidden="1" x14ac:dyDescent="0.2">
      <c r="A21" s="106" t="s">
        <v>86</v>
      </c>
      <c r="B21" s="72">
        <f>IF($B$9="kWh",$B$4,$B$5)</f>
        <v>2000</v>
      </c>
      <c r="C21" s="125">
        <v>0</v>
      </c>
      <c r="D21" s="21">
        <f>B21*C21</f>
        <v>0</v>
      </c>
      <c r="E21" s="72">
        <f t="shared" si="4"/>
        <v>2000</v>
      </c>
      <c r="F21" s="77">
        <v>0</v>
      </c>
      <c r="G21" s="21">
        <f>E21*F21</f>
        <v>0</v>
      </c>
      <c r="H21" s="21">
        <f t="shared" si="2"/>
        <v>0</v>
      </c>
      <c r="I21" s="22">
        <f>IF(ISERROR(H21/D21),0,(H21/D21))</f>
        <v>0</v>
      </c>
      <c r="J21" s="124">
        <f t="shared" si="0"/>
        <v>0</v>
      </c>
    </row>
    <row r="22" spans="1:10" x14ac:dyDescent="0.2">
      <c r="A22" s="109" t="s">
        <v>72</v>
      </c>
      <c r="B22" s="73"/>
      <c r="C22" s="34"/>
      <c r="D22" s="34">
        <f>SUM(D15:D21)</f>
        <v>219.17000000000002</v>
      </c>
      <c r="E22" s="72"/>
      <c r="F22" s="34"/>
      <c r="G22" s="34">
        <f>SUM(G15:G21)</f>
        <v>224.89</v>
      </c>
      <c r="H22" s="34">
        <f t="shared" si="2"/>
        <v>5.7199999999999704</v>
      </c>
      <c r="I22" s="35">
        <f t="shared" si="3"/>
        <v>2.6098462380800155E-2</v>
      </c>
      <c r="J22" s="110">
        <f t="shared" si="0"/>
        <v>0.41105813312833689</v>
      </c>
    </row>
    <row r="23" spans="1:10" s="1" customFormat="1" x14ac:dyDescent="0.2">
      <c r="A23" s="118" t="s">
        <v>81</v>
      </c>
      <c r="B23" s="119">
        <f>B8-B4</f>
        <v>184</v>
      </c>
      <c r="C23" s="120">
        <f>IF(B4&gt;B7,C13,C12)</f>
        <v>0.121</v>
      </c>
      <c r="D23" s="21">
        <f>B23*C23</f>
        <v>22.263999999999999</v>
      </c>
      <c r="E23" s="72">
        <f>B23</f>
        <v>184</v>
      </c>
      <c r="F23" s="120">
        <f>C23</f>
        <v>0.121</v>
      </c>
      <c r="G23" s="21">
        <f>E23*F23</f>
        <v>22.263999999999999</v>
      </c>
      <c r="H23" s="21">
        <f t="shared" si="2"/>
        <v>0</v>
      </c>
      <c r="I23" s="22">
        <f>IF(ISERROR(H23/D23),0,(H23/D23))</f>
        <v>0</v>
      </c>
      <c r="J23" s="124">
        <f t="shared" si="0"/>
        <v>4.0694554119655356E-2</v>
      </c>
    </row>
    <row r="24" spans="1:10" x14ac:dyDescent="0.2">
      <c r="A24" s="109" t="s">
        <v>79</v>
      </c>
      <c r="B24" s="73"/>
      <c r="C24" s="34"/>
      <c r="D24" s="34">
        <f>SUM(D22,D23:D23)</f>
        <v>241.43400000000003</v>
      </c>
      <c r="E24" s="72"/>
      <c r="F24" s="34"/>
      <c r="G24" s="34">
        <f>SUM(G22,G23:G23)</f>
        <v>247.154</v>
      </c>
      <c r="H24" s="34">
        <f t="shared" si="2"/>
        <v>5.7199999999999704</v>
      </c>
      <c r="I24" s="35">
        <f>IF(ISERROR(H24/D24),0,(H24/D24))</f>
        <v>2.3691774977840609E-2</v>
      </c>
      <c r="J24" s="110">
        <f t="shared" si="0"/>
        <v>0.45175268724799222</v>
      </c>
    </row>
    <row r="25" spans="1:10" x14ac:dyDescent="0.2">
      <c r="A25" s="106" t="s">
        <v>40</v>
      </c>
      <c r="B25" s="72">
        <f>B8</f>
        <v>2184</v>
      </c>
      <c r="C25" s="125">
        <f>VLOOKUP($B$3,'Data for Bill Impacts'!$A$3:$Y$15,15,0)</f>
        <v>3.836E-3</v>
      </c>
      <c r="D25" s="21">
        <f>B25*C25</f>
        <v>8.3778240000000004</v>
      </c>
      <c r="E25" s="72">
        <f t="shared" si="4"/>
        <v>2184</v>
      </c>
      <c r="F25" s="77">
        <f>VLOOKUP($B$3,'Data for Bill Impacts'!$A$3:$Y$15,24,0)</f>
        <v>3.836E-3</v>
      </c>
      <c r="G25" s="21">
        <f>E25*F25</f>
        <v>8.3778240000000004</v>
      </c>
      <c r="H25" s="21">
        <f t="shared" si="2"/>
        <v>0</v>
      </c>
      <c r="I25" s="22">
        <f t="shared" si="3"/>
        <v>0</v>
      </c>
      <c r="J25" s="124">
        <f t="shared" si="0"/>
        <v>1.5313142839244858E-2</v>
      </c>
    </row>
    <row r="26" spans="1:10" s="1" customFormat="1" x14ac:dyDescent="0.2">
      <c r="A26" s="106" t="s">
        <v>41</v>
      </c>
      <c r="B26" s="72">
        <f>B8</f>
        <v>2184</v>
      </c>
      <c r="C26" s="125">
        <f>VLOOKUP($B$3,'Data for Bill Impacts'!$A$3:$Y$15,16,0)</f>
        <v>3.6240000000000001E-3</v>
      </c>
      <c r="D26" s="21">
        <f>B26*C26</f>
        <v>7.9148160000000001</v>
      </c>
      <c r="E26" s="72">
        <f t="shared" si="4"/>
        <v>2184</v>
      </c>
      <c r="F26" s="77">
        <f>VLOOKUP($B$3,'Data for Bill Impacts'!$A$3:$Y$15,25,0)</f>
        <v>3.6240000000000001E-3</v>
      </c>
      <c r="G26" s="21">
        <f>E26*F26</f>
        <v>7.9148160000000001</v>
      </c>
      <c r="H26" s="21">
        <f t="shared" si="2"/>
        <v>0</v>
      </c>
      <c r="I26" s="22">
        <f t="shared" si="3"/>
        <v>0</v>
      </c>
      <c r="J26" s="124">
        <f t="shared" si="0"/>
        <v>1.446684818806657E-2</v>
      </c>
    </row>
    <row r="27" spans="1:10" s="1" customFormat="1" x14ac:dyDescent="0.2">
      <c r="A27" s="109" t="s">
        <v>76</v>
      </c>
      <c r="B27" s="73"/>
      <c r="C27" s="34"/>
      <c r="D27" s="34">
        <f>SUM(D25:D26)</f>
        <v>16.292639999999999</v>
      </c>
      <c r="E27" s="72"/>
      <c r="F27" s="34"/>
      <c r="G27" s="34">
        <f>SUM(G25:G26)</f>
        <v>16.292639999999999</v>
      </c>
      <c r="H27" s="34">
        <f t="shared" si="2"/>
        <v>0</v>
      </c>
      <c r="I27" s="35">
        <f t="shared" si="3"/>
        <v>0</v>
      </c>
      <c r="J27" s="110">
        <f t="shared" si="0"/>
        <v>2.9779991027311423E-2</v>
      </c>
    </row>
    <row r="28" spans="1:10" s="1" customFormat="1" x14ac:dyDescent="0.2">
      <c r="A28" s="109" t="s">
        <v>80</v>
      </c>
      <c r="B28" s="73"/>
      <c r="C28" s="34"/>
      <c r="D28" s="34">
        <f>D24+D27</f>
        <v>257.72664000000003</v>
      </c>
      <c r="E28" s="72"/>
      <c r="F28" s="34"/>
      <c r="G28" s="34">
        <f>G24+G27</f>
        <v>263.44664</v>
      </c>
      <c r="H28" s="34">
        <f t="shared" si="2"/>
        <v>5.7199999999999704</v>
      </c>
      <c r="I28" s="35">
        <f t="shared" si="3"/>
        <v>2.2194058014336313E-2</v>
      </c>
      <c r="J28" s="110">
        <f t="shared" si="0"/>
        <v>0.48153267827530366</v>
      </c>
    </row>
    <row r="29" spans="1:10" x14ac:dyDescent="0.2">
      <c r="A29" s="106" t="s">
        <v>42</v>
      </c>
      <c r="B29" s="72">
        <f>B8</f>
        <v>2184</v>
      </c>
      <c r="C29" s="33">
        <v>3.5999999999999999E-3</v>
      </c>
      <c r="D29" s="21">
        <f>B29*C29</f>
        <v>7.8624000000000001</v>
      </c>
      <c r="E29" s="72">
        <f t="shared" si="4"/>
        <v>2184</v>
      </c>
      <c r="F29" s="33">
        <v>3.5999999999999999E-3</v>
      </c>
      <c r="G29" s="21">
        <f>E29*F29</f>
        <v>7.8624000000000001</v>
      </c>
      <c r="H29" s="21">
        <f t="shared" si="2"/>
        <v>0</v>
      </c>
      <c r="I29" s="22">
        <f t="shared" si="3"/>
        <v>0</v>
      </c>
      <c r="J29" s="124">
        <f t="shared" si="0"/>
        <v>1.4371041246423745E-2</v>
      </c>
    </row>
    <row r="30" spans="1:10" s="1" customFormat="1" x14ac:dyDescent="0.2">
      <c r="A30" s="106" t="s">
        <v>43</v>
      </c>
      <c r="B30" s="72">
        <f>B8</f>
        <v>2184</v>
      </c>
      <c r="C30" s="33">
        <v>2.0999999999999999E-3</v>
      </c>
      <c r="D30" s="21">
        <f>B30*C30</f>
        <v>4.5863999999999994</v>
      </c>
      <c r="E30" s="72">
        <f t="shared" si="4"/>
        <v>2184</v>
      </c>
      <c r="F30" s="33">
        <v>2.0999999999999999E-3</v>
      </c>
      <c r="G30" s="21">
        <f>E30*F30</f>
        <v>4.5863999999999994</v>
      </c>
      <c r="H30" s="21">
        <f>G30-D30</f>
        <v>0</v>
      </c>
      <c r="I30" s="22">
        <f t="shared" si="3"/>
        <v>0</v>
      </c>
      <c r="J30" s="124">
        <f t="shared" si="0"/>
        <v>8.3831073937471832E-3</v>
      </c>
    </row>
    <row r="31" spans="1:10" s="1" customFormat="1" x14ac:dyDescent="0.2">
      <c r="A31" s="106" t="s">
        <v>99</v>
      </c>
      <c r="B31" s="72">
        <f>B8</f>
        <v>2184</v>
      </c>
      <c r="C31" s="33">
        <v>1.1000000000000001E-3</v>
      </c>
      <c r="D31" s="21">
        <f>B31*C31</f>
        <v>2.4024000000000001</v>
      </c>
      <c r="E31" s="72">
        <f t="shared" si="4"/>
        <v>2184</v>
      </c>
      <c r="F31" s="33">
        <v>1.1000000000000001E-3</v>
      </c>
      <c r="G31" s="21">
        <f>E31*F31</f>
        <v>2.4024000000000001</v>
      </c>
      <c r="H31" s="21">
        <f>G31-D31</f>
        <v>0</v>
      </c>
      <c r="I31" s="22">
        <f t="shared" ref="I31" si="7">IF(ISERROR(H31/D31),0,(H31/D31))</f>
        <v>0</v>
      </c>
      <c r="J31" s="124">
        <f t="shared" ref="J31" si="8">G31/$G$39</f>
        <v>4.391151491962811E-3</v>
      </c>
    </row>
    <row r="32" spans="1:10" x14ac:dyDescent="0.2">
      <c r="A32" s="106" t="s">
        <v>44</v>
      </c>
      <c r="B32" s="72">
        <v>1</v>
      </c>
      <c r="C32" s="21">
        <v>0.25</v>
      </c>
      <c r="D32" s="21">
        <f>B32*C32</f>
        <v>0.25</v>
      </c>
      <c r="E32" s="72">
        <f t="shared" si="4"/>
        <v>1</v>
      </c>
      <c r="F32" s="21">
        <f>C32</f>
        <v>0.25</v>
      </c>
      <c r="G32" s="21">
        <f>E32*F32</f>
        <v>0.25</v>
      </c>
      <c r="H32" s="21">
        <f t="shared" si="2"/>
        <v>0</v>
      </c>
      <c r="I32" s="22">
        <f t="shared" si="3"/>
        <v>0</v>
      </c>
      <c r="J32" s="124">
        <f t="shared" ref="J32:J39" si="9">G32/$G$39</f>
        <v>4.569546590870391E-4</v>
      </c>
    </row>
    <row r="33" spans="1:10" s="1" customFormat="1" x14ac:dyDescent="0.2">
      <c r="A33" s="109" t="s">
        <v>45</v>
      </c>
      <c r="B33" s="73"/>
      <c r="C33" s="34"/>
      <c r="D33" s="34">
        <f>SUM(D29:D32)</f>
        <v>15.101199999999999</v>
      </c>
      <c r="E33" s="72"/>
      <c r="F33" s="34"/>
      <c r="G33" s="34">
        <f>SUM(G29:G32)</f>
        <v>15.101199999999999</v>
      </c>
      <c r="H33" s="34">
        <f t="shared" si="2"/>
        <v>0</v>
      </c>
      <c r="I33" s="35">
        <f t="shared" si="3"/>
        <v>0</v>
      </c>
      <c r="J33" s="110">
        <f t="shared" si="9"/>
        <v>2.7602254791220776E-2</v>
      </c>
    </row>
    <row r="34" spans="1:10" ht="13.5" thickBot="1" x14ac:dyDescent="0.25">
      <c r="A34" s="111" t="s">
        <v>46</v>
      </c>
      <c r="B34" s="112">
        <f>B4</f>
        <v>2000</v>
      </c>
      <c r="C34" s="113">
        <v>7.0000000000000001E-3</v>
      </c>
      <c r="D34" s="114">
        <f>B34*C34</f>
        <v>14</v>
      </c>
      <c r="E34" s="115">
        <f t="shared" si="4"/>
        <v>2000</v>
      </c>
      <c r="F34" s="113">
        <f>C34</f>
        <v>7.0000000000000001E-3</v>
      </c>
      <c r="G34" s="114">
        <f>E34*F34</f>
        <v>14</v>
      </c>
      <c r="H34" s="114">
        <f t="shared" si="2"/>
        <v>0</v>
      </c>
      <c r="I34" s="116">
        <f t="shared" si="3"/>
        <v>0</v>
      </c>
      <c r="J34" s="117">
        <f t="shared" si="9"/>
        <v>2.5589460908874189E-2</v>
      </c>
    </row>
    <row r="35" spans="1:10" x14ac:dyDescent="0.2">
      <c r="A35" s="36" t="s">
        <v>116</v>
      </c>
      <c r="B35" s="37"/>
      <c r="C35" s="38"/>
      <c r="D35" s="38">
        <f>SUM(D14,D24,D27,D33,D34)</f>
        <v>515.32784000000004</v>
      </c>
      <c r="E35" s="37"/>
      <c r="F35" s="38"/>
      <c r="G35" s="38">
        <f>SUM(G14,G24,G27,G33,G34)</f>
        <v>521.04783999999995</v>
      </c>
      <c r="H35" s="38">
        <f t="shared" si="2"/>
        <v>5.7199999999999136</v>
      </c>
      <c r="I35" s="39">
        <f>IF(ISERROR(H35/D35),0,(H35/D35))</f>
        <v>1.1099730222221087E-2</v>
      </c>
      <c r="J35" s="40">
        <f t="shared" si="9"/>
        <v>0.95238095238095233</v>
      </c>
    </row>
    <row r="36" spans="1:10" x14ac:dyDescent="0.2">
      <c r="A36" s="45" t="s">
        <v>108</v>
      </c>
      <c r="B36" s="42"/>
      <c r="C36" s="25">
        <v>0.13</v>
      </c>
      <c r="D36" s="25">
        <f>D35*C36</f>
        <v>66.992619200000007</v>
      </c>
      <c r="E36" s="25"/>
      <c r="F36" s="25">
        <f>C36</f>
        <v>0.13</v>
      </c>
      <c r="G36" s="25">
        <f>G35*F36</f>
        <v>67.736219199999994</v>
      </c>
      <c r="H36" s="25">
        <f t="shared" si="2"/>
        <v>0.74359999999998649</v>
      </c>
      <c r="I36" s="43">
        <f t="shared" si="3"/>
        <v>1.1099730222221053E-2</v>
      </c>
      <c r="J36" s="44">
        <f t="shared" si="9"/>
        <v>0.1238095238095238</v>
      </c>
    </row>
    <row r="37" spans="1:10" x14ac:dyDescent="0.2">
      <c r="A37" s="45" t="s">
        <v>109</v>
      </c>
      <c r="B37" s="23"/>
      <c r="C37" s="24"/>
      <c r="D37" s="24">
        <f>SUM(D35:D36)</f>
        <v>582.32045920000007</v>
      </c>
      <c r="E37" s="24"/>
      <c r="F37" s="24"/>
      <c r="G37" s="24">
        <f>SUM(G35:G36)</f>
        <v>588.7840592</v>
      </c>
      <c r="H37" s="24">
        <f t="shared" si="2"/>
        <v>6.4635999999999285</v>
      </c>
      <c r="I37" s="26">
        <f t="shared" si="3"/>
        <v>1.1099730222221132E-2</v>
      </c>
      <c r="J37" s="46">
        <f t="shared" si="9"/>
        <v>1.0761904761904761</v>
      </c>
    </row>
    <row r="38" spans="1:10" x14ac:dyDescent="0.2">
      <c r="A38" s="45" t="s">
        <v>110</v>
      </c>
      <c r="B38" s="42"/>
      <c r="C38" s="25">
        <v>-0.08</v>
      </c>
      <c r="D38" s="25">
        <f>D35*C38</f>
        <v>-41.226227200000004</v>
      </c>
      <c r="E38" s="25"/>
      <c r="F38" s="25">
        <f>C38</f>
        <v>-0.08</v>
      </c>
      <c r="G38" s="25">
        <f>G35*F38</f>
        <v>-41.683827199999996</v>
      </c>
      <c r="H38" s="25">
        <f t="shared" si="2"/>
        <v>-0.45759999999999224</v>
      </c>
      <c r="I38" s="43">
        <f t="shared" si="3"/>
        <v>1.1099730222221067E-2</v>
      </c>
      <c r="J38" s="44">
        <f t="shared" si="9"/>
        <v>-7.6190476190476183E-2</v>
      </c>
    </row>
    <row r="39" spans="1:10" ht="13.5" thickBot="1" x14ac:dyDescent="0.25">
      <c r="A39" s="47" t="s">
        <v>111</v>
      </c>
      <c r="B39" s="48"/>
      <c r="C39" s="49"/>
      <c r="D39" s="49">
        <f>SUM(D37:D38)</f>
        <v>541.09423200000003</v>
      </c>
      <c r="E39" s="49"/>
      <c r="F39" s="49"/>
      <c r="G39" s="49">
        <f>SUM(G37:G38)</f>
        <v>547.10023200000001</v>
      </c>
      <c r="H39" s="49">
        <f t="shared" si="2"/>
        <v>6.0059999999999718</v>
      </c>
      <c r="I39" s="50">
        <f t="shared" si="3"/>
        <v>1.1099730222221204E-2</v>
      </c>
      <c r="J39" s="51">
        <f t="shared" si="9"/>
        <v>1</v>
      </c>
    </row>
    <row r="40" spans="1:10" x14ac:dyDescent="0.2">
      <c r="A40" s="185"/>
      <c r="D40" s="71"/>
      <c r="F40" s="68"/>
    </row>
    <row r="41" spans="1:10" x14ac:dyDescent="0.2">
      <c r="A41" s="185"/>
      <c r="F41" s="68"/>
    </row>
    <row r="42" spans="1:10" x14ac:dyDescent="0.2">
      <c r="A42" s="186"/>
      <c r="B42" s="70"/>
      <c r="F42" s="68"/>
    </row>
    <row r="43" spans="1:10" x14ac:dyDescent="0.2">
      <c r="A43" s="185"/>
      <c r="B43" s="71"/>
      <c r="D43" s="71"/>
      <c r="F43" s="68"/>
    </row>
    <row r="44" spans="1:10" x14ac:dyDescent="0.2">
      <c r="A44" s="185"/>
      <c r="F44" s="68"/>
    </row>
    <row r="45" spans="1:10" x14ac:dyDescent="0.2">
      <c r="A45" s="185"/>
      <c r="F45" s="68"/>
    </row>
    <row r="46" spans="1:10" x14ac:dyDescent="0.2">
      <c r="A46" s="185"/>
      <c r="F46" s="68"/>
    </row>
    <row r="47" spans="1:10" x14ac:dyDescent="0.2">
      <c r="A47" s="185"/>
      <c r="F47" s="68"/>
    </row>
    <row r="48" spans="1:10" x14ac:dyDescent="0.2">
      <c r="A48" s="185"/>
      <c r="F48" s="68"/>
    </row>
    <row r="49" spans="1:6" x14ac:dyDescent="0.2">
      <c r="A49" s="185"/>
      <c r="F49" s="68"/>
    </row>
    <row r="50" spans="1:6" x14ac:dyDescent="0.2">
      <c r="A50" s="185"/>
      <c r="F50" s="68"/>
    </row>
    <row r="51" spans="1:6" x14ac:dyDescent="0.2">
      <c r="A51" s="185"/>
    </row>
    <row r="52" spans="1:6" x14ac:dyDescent="0.2">
      <c r="A52" s="185"/>
    </row>
    <row r="53" spans="1:6" x14ac:dyDescent="0.2">
      <c r="A53" s="185"/>
    </row>
    <row r="54" spans="1:6" x14ac:dyDescent="0.2">
      <c r="A54" s="185"/>
    </row>
  </sheetData>
  <mergeCells count="1">
    <mergeCell ref="A1:J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tint="0.499984740745262"/>
    <pageSetUpPr fitToPage="1"/>
  </sheetPr>
  <dimension ref="A1:K68"/>
  <sheetViews>
    <sheetView tabSelected="1" topLeftCell="A19"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130</v>
      </c>
    </row>
    <row r="4" spans="1:11" x14ac:dyDescent="0.2">
      <c r="A4" s="14" t="s">
        <v>62</v>
      </c>
      <c r="B4" s="14">
        <v>350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600</v>
      </c>
    </row>
    <row r="8" spans="1:11" x14ac:dyDescent="0.2">
      <c r="A8" s="14" t="s">
        <v>82</v>
      </c>
      <c r="B8" s="149">
        <f>B4*B6</f>
        <v>369.95</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350</v>
      </c>
      <c r="C12" s="102">
        <v>0.10299999999999999</v>
      </c>
      <c r="D12" s="103">
        <f>B12*C12</f>
        <v>36.049999999999997</v>
      </c>
      <c r="E12" s="101">
        <f>B12</f>
        <v>350</v>
      </c>
      <c r="F12" s="102">
        <f>C12</f>
        <v>0.10299999999999999</v>
      </c>
      <c r="G12" s="103">
        <f>E12*F12</f>
        <v>36.049999999999997</v>
      </c>
      <c r="H12" s="103">
        <f>G12-D12</f>
        <v>0</v>
      </c>
      <c r="I12" s="104">
        <f>IF(ISERROR(H12/D12),0,(H12/D12))</f>
        <v>0</v>
      </c>
      <c r="J12" s="104">
        <f>G12/$G$46</f>
        <v>0.43873753402372295</v>
      </c>
      <c r="K12" s="105"/>
    </row>
    <row r="13" spans="1:11" x14ac:dyDescent="0.2">
      <c r="A13" s="106" t="s">
        <v>32</v>
      </c>
      <c r="B13" s="72">
        <f>IF(B4&gt;B7,(B4)-B7,0)</f>
        <v>0</v>
      </c>
      <c r="C13" s="20">
        <v>0.121</v>
      </c>
      <c r="D13" s="21">
        <f>B13*C13</f>
        <v>0</v>
      </c>
      <c r="E13" s="72">
        <f t="shared" ref="E13:E41"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36.049999999999997</v>
      </c>
      <c r="E14" s="75"/>
      <c r="F14" s="24"/>
      <c r="G14" s="24">
        <f>SUM(G12:G13)</f>
        <v>36.049999999999997</v>
      </c>
      <c r="H14" s="24">
        <f t="shared" si="1"/>
        <v>0</v>
      </c>
      <c r="I14" s="26">
        <f t="shared" si="2"/>
        <v>0</v>
      </c>
      <c r="J14" s="26">
        <f>G14/$G$46</f>
        <v>0.43873753402372295</v>
      </c>
      <c r="K14" s="107"/>
    </row>
    <row r="15" spans="1:11" s="1" customFormat="1" x14ac:dyDescent="0.2">
      <c r="A15" s="108" t="s">
        <v>34</v>
      </c>
      <c r="B15" s="74">
        <f>B4*0.65</f>
        <v>227.5</v>
      </c>
      <c r="C15" s="27">
        <v>8.6999999999999994E-2</v>
      </c>
      <c r="D15" s="21">
        <f>B15*C15</f>
        <v>19.792499999999997</v>
      </c>
      <c r="E15" s="72">
        <f t="shared" ref="E15:F17" si="3">B15</f>
        <v>227.5</v>
      </c>
      <c r="F15" s="27">
        <f t="shared" si="3"/>
        <v>8.6999999999999994E-2</v>
      </c>
      <c r="G15" s="21">
        <f>E15*F15</f>
        <v>19.792499999999997</v>
      </c>
      <c r="H15" s="21">
        <f t="shared" si="1"/>
        <v>0</v>
      </c>
      <c r="I15" s="22">
        <f t="shared" si="2"/>
        <v>0</v>
      </c>
      <c r="J15" s="22"/>
      <c r="K15" s="107">
        <f t="shared" ref="K15:K24" si="4">G15/$G$51</f>
        <v>0.23168999023835371</v>
      </c>
    </row>
    <row r="16" spans="1:11" s="1" customFormat="1" x14ac:dyDescent="0.2">
      <c r="A16" s="108" t="s">
        <v>35</v>
      </c>
      <c r="B16" s="74">
        <f>B4*0.17</f>
        <v>59.500000000000007</v>
      </c>
      <c r="C16" s="27">
        <v>0.13200000000000001</v>
      </c>
      <c r="D16" s="21">
        <f>B16*C16</f>
        <v>7.854000000000001</v>
      </c>
      <c r="E16" s="72">
        <f t="shared" si="3"/>
        <v>59.500000000000007</v>
      </c>
      <c r="F16" s="27">
        <f t="shared" si="3"/>
        <v>0.13200000000000001</v>
      </c>
      <c r="G16" s="21">
        <f>E16*F16</f>
        <v>7.854000000000001</v>
      </c>
      <c r="H16" s="21">
        <f t="shared" si="1"/>
        <v>0</v>
      </c>
      <c r="I16" s="22">
        <f t="shared" si="2"/>
        <v>0</v>
      </c>
      <c r="J16" s="22"/>
      <c r="K16" s="107">
        <f t="shared" si="4"/>
        <v>9.193852132535206E-2</v>
      </c>
    </row>
    <row r="17" spans="1:11" s="1" customFormat="1" x14ac:dyDescent="0.2">
      <c r="A17" s="108" t="s">
        <v>36</v>
      </c>
      <c r="B17" s="74">
        <f>B4*0.18</f>
        <v>63</v>
      </c>
      <c r="C17" s="27">
        <v>0.18</v>
      </c>
      <c r="D17" s="21">
        <f>B17*C17</f>
        <v>11.34</v>
      </c>
      <c r="E17" s="72">
        <f t="shared" si="3"/>
        <v>63</v>
      </c>
      <c r="F17" s="27">
        <f t="shared" si="3"/>
        <v>0.18</v>
      </c>
      <c r="G17" s="21">
        <f>E17*F17</f>
        <v>11.34</v>
      </c>
      <c r="H17" s="21">
        <f t="shared" si="1"/>
        <v>0</v>
      </c>
      <c r="I17" s="22">
        <f t="shared" si="2"/>
        <v>0</v>
      </c>
      <c r="J17" s="22"/>
      <c r="K17" s="107">
        <f t="shared" si="4"/>
        <v>0.13274545859810188</v>
      </c>
    </row>
    <row r="18" spans="1:11" s="1" customFormat="1" x14ac:dyDescent="0.2">
      <c r="A18" s="60" t="s">
        <v>37</v>
      </c>
      <c r="B18" s="28"/>
      <c r="C18" s="29"/>
      <c r="D18" s="29">
        <f>SUM(D15:D17)</f>
        <v>38.986499999999992</v>
      </c>
      <c r="E18" s="76"/>
      <c r="F18" s="29"/>
      <c r="G18" s="29">
        <f>SUM(G15:G17)</f>
        <v>38.986499999999992</v>
      </c>
      <c r="H18" s="30">
        <f t="shared" si="1"/>
        <v>0</v>
      </c>
      <c r="I18" s="31">
        <f t="shared" si="2"/>
        <v>0</v>
      </c>
      <c r="J18" s="32">
        <f t="shared" ref="J18:J24" si="5">G18/$G$46</f>
        <v>0.47447547490196595</v>
      </c>
      <c r="K18" s="61">
        <f t="shared" si="4"/>
        <v>0.45637397016180759</v>
      </c>
    </row>
    <row r="19" spans="1:11" x14ac:dyDescent="0.2">
      <c r="A19" s="106" t="s">
        <v>38</v>
      </c>
      <c r="B19" s="72">
        <v>1</v>
      </c>
      <c r="C19" s="121">
        <f>VLOOKUP($B$3,'Data for Bill Impacts'!$A$3:$Y$25,7,0)</f>
        <v>30.76</v>
      </c>
      <c r="D19" s="21">
        <f>B19*C19</f>
        <v>30.76</v>
      </c>
      <c r="E19" s="72">
        <f t="shared" si="0"/>
        <v>1</v>
      </c>
      <c r="F19" s="121">
        <f>VLOOKUP($B$3,'Data for Bill Impacts'!$A$3:$Y$25,17,0)</f>
        <v>31.6</v>
      </c>
      <c r="G19" s="21">
        <f>E19*F19</f>
        <v>31.6</v>
      </c>
      <c r="H19" s="21">
        <f t="shared" si="1"/>
        <v>0.83999999999999986</v>
      </c>
      <c r="I19" s="22">
        <f t="shared" si="2"/>
        <v>2.7308192457737315E-2</v>
      </c>
      <c r="J19" s="22">
        <f t="shared" si="5"/>
        <v>0.38457991886684184</v>
      </c>
      <c r="K19" s="107">
        <f t="shared" si="4"/>
        <v>0.36990797986772661</v>
      </c>
    </row>
    <row r="20" spans="1:11" hidden="1" x14ac:dyDescent="0.2">
      <c r="A20" s="106" t="s">
        <v>83</v>
      </c>
      <c r="B20" s="72">
        <v>1</v>
      </c>
      <c r="C20" s="77">
        <f>VLOOKUP($B$3,'Data for Bill Impacts'!$A$3:$Y$25,8,0)</f>
        <v>0</v>
      </c>
      <c r="D20" s="21">
        <f>B20*C20</f>
        <v>0</v>
      </c>
      <c r="E20" s="72">
        <f t="shared" si="0"/>
        <v>1</v>
      </c>
      <c r="F20" s="77">
        <v>0</v>
      </c>
      <c r="G20" s="21">
        <f t="shared" ref="G20:G22" si="6">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7">B21*C21</f>
        <v>0</v>
      </c>
      <c r="E21" s="72">
        <f t="shared" si="0"/>
        <v>1</v>
      </c>
      <c r="F21" s="121">
        <f>VLOOKUP($B$3,'Data for Bill Impacts'!$A$3:$Y$25,12,0)</f>
        <v>0</v>
      </c>
      <c r="G21" s="21">
        <f t="shared" si="6"/>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7"/>
        <v>0</v>
      </c>
      <c r="E22" s="72">
        <f t="shared" si="0"/>
        <v>1</v>
      </c>
      <c r="F22" s="121">
        <f>VLOOKUP($B$3,'Data for Bill Impacts'!$A$3:$Y$25,22,0)</f>
        <v>0</v>
      </c>
      <c r="G22" s="21">
        <f t="shared" si="6"/>
        <v>0</v>
      </c>
      <c r="H22" s="21">
        <f t="shared" si="1"/>
        <v>0</v>
      </c>
      <c r="I22" s="22">
        <f t="shared" si="2"/>
        <v>0</v>
      </c>
      <c r="J22" s="22">
        <f t="shared" si="5"/>
        <v>0</v>
      </c>
      <c r="K22" s="107">
        <f t="shared" si="4"/>
        <v>0</v>
      </c>
    </row>
    <row r="23" spans="1:11" x14ac:dyDescent="0.2">
      <c r="A23" s="106" t="s">
        <v>39</v>
      </c>
      <c r="B23" s="72">
        <f>IF($B$9="kWh",$B$4,$B$5)</f>
        <v>350</v>
      </c>
      <c r="C23" s="77">
        <f>VLOOKUP($B$3,'Data for Bill Impacts'!$A$3:$Y$25,10,0)</f>
        <v>0</v>
      </c>
      <c r="D23" s="21">
        <f>B23*C23</f>
        <v>0</v>
      </c>
      <c r="E23" s="72">
        <f t="shared" si="0"/>
        <v>350</v>
      </c>
      <c r="F23" s="125">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350</v>
      </c>
      <c r="C24" s="77">
        <f>VLOOKUP($B$3,'Data for Bill Impacts'!$A$3:$Y$25,14,0)</f>
        <v>0</v>
      </c>
      <c r="D24" s="21">
        <f>B24*C24</f>
        <v>0</v>
      </c>
      <c r="E24" s="72">
        <f t="shared" si="0"/>
        <v>350</v>
      </c>
      <c r="F24" s="77">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30.76</v>
      </c>
      <c r="E25" s="72"/>
      <c r="F25" s="34"/>
      <c r="G25" s="34">
        <f>SUM(G19:G24)</f>
        <v>31.6</v>
      </c>
      <c r="H25" s="34">
        <f t="shared" si="1"/>
        <v>0.83999999999999986</v>
      </c>
      <c r="I25" s="35">
        <f t="shared" si="2"/>
        <v>2.7308192457737315E-2</v>
      </c>
      <c r="J25" s="35">
        <f>G25/$G$46</f>
        <v>0.38457991886684184</v>
      </c>
      <c r="K25" s="110">
        <f>G25/$G$51</f>
        <v>0.36990797986772661</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9.6144979716710453E-3</v>
      </c>
      <c r="K26" s="107">
        <f>G26/$G$51</f>
        <v>9.2476994966931656E-3</v>
      </c>
    </row>
    <row r="27" spans="1:11" s="1" customFormat="1" x14ac:dyDescent="0.2">
      <c r="A27" s="118" t="s">
        <v>75</v>
      </c>
      <c r="B27" s="119">
        <f>B8-B4</f>
        <v>19.949999999999989</v>
      </c>
      <c r="C27" s="120">
        <f>IF(B4&gt;B7,C13,C12)</f>
        <v>0.10299999999999999</v>
      </c>
      <c r="D27" s="21">
        <f>B27*C27</f>
        <v>2.0548499999999987</v>
      </c>
      <c r="E27" s="72">
        <f>B27</f>
        <v>19.949999999999989</v>
      </c>
      <c r="F27" s="120">
        <f>C27</f>
        <v>0.10299999999999999</v>
      </c>
      <c r="G27" s="21">
        <f>E27*F27</f>
        <v>2.0548499999999987</v>
      </c>
      <c r="H27" s="21">
        <f t="shared" si="1"/>
        <v>0</v>
      </c>
      <c r="I27" s="22">
        <f>IF(ISERROR(H27/D27),0,(H27/D27))</f>
        <v>0</v>
      </c>
      <c r="J27" s="22">
        <f t="shared" ref="J27:J46" si="8">G27/$G$46</f>
        <v>2.5008039439352196E-2</v>
      </c>
      <c r="K27" s="107">
        <f t="shared" ref="K27:K41" si="9">G27/$G$51</f>
        <v>2.4053968747822708E-2</v>
      </c>
    </row>
    <row r="28" spans="1:11" s="1" customFormat="1" x14ac:dyDescent="0.2">
      <c r="A28" s="118" t="s">
        <v>74</v>
      </c>
      <c r="B28" s="119">
        <f>B8-B4</f>
        <v>19.949999999999989</v>
      </c>
      <c r="C28" s="120">
        <f>0.65*C15+0.17*C16+0.18*C17</f>
        <v>0.11139</v>
      </c>
      <c r="D28" s="21">
        <f>B28*C28</f>
        <v>2.2222304999999989</v>
      </c>
      <c r="E28" s="72">
        <f>B28</f>
        <v>19.949999999999989</v>
      </c>
      <c r="F28" s="120">
        <f>C28</f>
        <v>0.11139</v>
      </c>
      <c r="G28" s="21">
        <f>E28*F28</f>
        <v>2.2222304999999989</v>
      </c>
      <c r="H28" s="21">
        <f t="shared" si="1"/>
        <v>0</v>
      </c>
      <c r="I28" s="22">
        <f>IF(ISERROR(H28/D28),0,(H28/D28))</f>
        <v>0</v>
      </c>
      <c r="J28" s="22">
        <f t="shared" si="8"/>
        <v>2.7045102069412054E-2</v>
      </c>
      <c r="K28" s="107">
        <f t="shared" si="9"/>
        <v>2.6013316299223026E-2</v>
      </c>
    </row>
    <row r="29" spans="1:11" s="1" customFormat="1" x14ac:dyDescent="0.2">
      <c r="A29" s="109" t="s">
        <v>78</v>
      </c>
      <c r="B29" s="73"/>
      <c r="C29" s="34"/>
      <c r="D29" s="34">
        <f>SUM(D25,D26:D27)</f>
        <v>33.604849999999999</v>
      </c>
      <c r="E29" s="72"/>
      <c r="F29" s="34"/>
      <c r="G29" s="34">
        <f>SUM(G25,G26:G27)</f>
        <v>34.444850000000002</v>
      </c>
      <c r="H29" s="34">
        <f t="shared" si="1"/>
        <v>0.84000000000000341</v>
      </c>
      <c r="I29" s="35">
        <f>IF(ISERROR(H29/D29),0,(H29/D29))</f>
        <v>2.499639188986124E-2</v>
      </c>
      <c r="J29" s="35">
        <f t="shared" si="8"/>
        <v>0.41920245627786507</v>
      </c>
      <c r="K29" s="110">
        <f t="shared" si="9"/>
        <v>0.40320964811224252</v>
      </c>
    </row>
    <row r="30" spans="1:11" s="1" customFormat="1" x14ac:dyDescent="0.2">
      <c r="A30" s="109" t="s">
        <v>77</v>
      </c>
      <c r="B30" s="73"/>
      <c r="C30" s="34"/>
      <c r="D30" s="34">
        <f>SUM(D25,D26,D28)</f>
        <v>33.772230499999999</v>
      </c>
      <c r="E30" s="72"/>
      <c r="F30" s="34"/>
      <c r="G30" s="34">
        <f>SUM(G25,G26,G28)</f>
        <v>34.612230500000003</v>
      </c>
      <c r="H30" s="34">
        <f t="shared" si="1"/>
        <v>0.84000000000000341</v>
      </c>
      <c r="I30" s="35">
        <f>IF(ISERROR(H30/D30),0,(H30/D30))</f>
        <v>2.4872505829900794E-2</v>
      </c>
      <c r="J30" s="35">
        <f t="shared" si="8"/>
        <v>0.42123951890792494</v>
      </c>
      <c r="K30" s="110">
        <f t="shared" si="9"/>
        <v>0.40516899566364284</v>
      </c>
    </row>
    <row r="31" spans="1:11" x14ac:dyDescent="0.2">
      <c r="A31" s="106" t="s">
        <v>40</v>
      </c>
      <c r="B31" s="72">
        <f>B8</f>
        <v>369.95</v>
      </c>
      <c r="C31" s="125">
        <f>VLOOKUP($B$3,'Data for Bill Impacts'!$A$3:$Y$25,15,0)</f>
        <v>7.3000000000000001E-3</v>
      </c>
      <c r="D31" s="21">
        <f>B31*C31</f>
        <v>2.7006350000000001</v>
      </c>
      <c r="E31" s="72">
        <f t="shared" si="0"/>
        <v>369.95</v>
      </c>
      <c r="F31" s="77">
        <f>VLOOKUP($B$3,'Data for Bill Impacts'!$A$3:$Y$25,24,0)</f>
        <v>7.3000000000000001E-3</v>
      </c>
      <c r="G31" s="21">
        <f>E31*F31</f>
        <v>2.7006350000000001</v>
      </c>
      <c r="H31" s="21">
        <f t="shared" si="1"/>
        <v>0</v>
      </c>
      <c r="I31" s="22">
        <f t="shared" si="2"/>
        <v>0</v>
      </c>
      <c r="J31" s="22">
        <f t="shared" si="8"/>
        <v>3.2867404721169412E-2</v>
      </c>
      <c r="K31" s="107">
        <f t="shared" si="9"/>
        <v>3.1613494848420187E-2</v>
      </c>
    </row>
    <row r="32" spans="1:11" x14ac:dyDescent="0.2">
      <c r="A32" s="106" t="s">
        <v>41</v>
      </c>
      <c r="B32" s="72">
        <f>B8</f>
        <v>369.95</v>
      </c>
      <c r="C32" s="125">
        <f>VLOOKUP($B$3,'Data for Bill Impacts'!$A$3:$Y$25,16,0)</f>
        <v>6.1999999999999998E-3</v>
      </c>
      <c r="D32" s="21">
        <f>B32*C32</f>
        <v>2.2936899999999998</v>
      </c>
      <c r="E32" s="72">
        <f t="shared" si="0"/>
        <v>369.95</v>
      </c>
      <c r="F32" s="77">
        <f>VLOOKUP($B$3,'Data for Bill Impacts'!$A$3:$Y$25,25,0)</f>
        <v>6.1999999999999998E-3</v>
      </c>
      <c r="G32" s="21">
        <f>E32*F32</f>
        <v>2.2936899999999998</v>
      </c>
      <c r="H32" s="21">
        <f t="shared" si="1"/>
        <v>0</v>
      </c>
      <c r="I32" s="22">
        <f t="shared" si="2"/>
        <v>0</v>
      </c>
      <c r="J32" s="22">
        <f t="shared" si="8"/>
        <v>2.7914782091952098E-2</v>
      </c>
      <c r="K32" s="107">
        <f t="shared" si="9"/>
        <v>2.6849817542493853E-2</v>
      </c>
    </row>
    <row r="33" spans="1:11" s="1" customFormat="1" x14ac:dyDescent="0.2">
      <c r="A33" s="109" t="s">
        <v>76</v>
      </c>
      <c r="B33" s="73"/>
      <c r="C33" s="34"/>
      <c r="D33" s="34">
        <f>SUM(D31:D32)</f>
        <v>4.9943249999999999</v>
      </c>
      <c r="E33" s="72"/>
      <c r="F33" s="34"/>
      <c r="G33" s="34">
        <f>SUM(G31:G32)</f>
        <v>4.9943249999999999</v>
      </c>
      <c r="H33" s="34">
        <f t="shared" si="1"/>
        <v>0</v>
      </c>
      <c r="I33" s="35">
        <f t="shared" si="2"/>
        <v>0</v>
      </c>
      <c r="J33" s="35">
        <f t="shared" si="8"/>
        <v>6.078218681312151E-2</v>
      </c>
      <c r="K33" s="110">
        <f t="shared" si="9"/>
        <v>5.8463312390914041E-2</v>
      </c>
    </row>
    <row r="34" spans="1:11" s="1" customFormat="1" x14ac:dyDescent="0.2">
      <c r="A34" s="109" t="s">
        <v>93</v>
      </c>
      <c r="B34" s="73"/>
      <c r="C34" s="34"/>
      <c r="D34" s="34">
        <f>D29+D33</f>
        <v>38.599175000000002</v>
      </c>
      <c r="E34" s="72"/>
      <c r="F34" s="34"/>
      <c r="G34" s="34">
        <f>G29+G33</f>
        <v>39.439175000000006</v>
      </c>
      <c r="H34" s="34">
        <f t="shared" si="1"/>
        <v>0.84000000000000341</v>
      </c>
      <c r="I34" s="35">
        <f t="shared" si="2"/>
        <v>2.1762123154186672E-2</v>
      </c>
      <c r="J34" s="35">
        <f t="shared" si="8"/>
        <v>0.47998464309098665</v>
      </c>
      <c r="K34" s="110">
        <f t="shared" si="9"/>
        <v>0.46167296050315659</v>
      </c>
    </row>
    <row r="35" spans="1:11" s="1" customFormat="1" x14ac:dyDescent="0.2">
      <c r="A35" s="109" t="s">
        <v>94</v>
      </c>
      <c r="B35" s="73"/>
      <c r="C35" s="34"/>
      <c r="D35" s="34">
        <f>D30+D33</f>
        <v>38.766555499999996</v>
      </c>
      <c r="E35" s="72"/>
      <c r="F35" s="34"/>
      <c r="G35" s="34">
        <f>G30+G33</f>
        <v>39.606555499999999</v>
      </c>
      <c r="H35" s="34">
        <f t="shared" si="1"/>
        <v>0.84000000000000341</v>
      </c>
      <c r="I35" s="35">
        <f t="shared" si="2"/>
        <v>2.1668161877317255E-2</v>
      </c>
      <c r="J35" s="35">
        <f t="shared" si="8"/>
        <v>0.48202170572104641</v>
      </c>
      <c r="K35" s="110">
        <f t="shared" si="9"/>
        <v>0.46363230805455685</v>
      </c>
    </row>
    <row r="36" spans="1:11" x14ac:dyDescent="0.2">
      <c r="A36" s="106" t="s">
        <v>42</v>
      </c>
      <c r="B36" s="72">
        <f>B8</f>
        <v>369.95</v>
      </c>
      <c r="C36" s="33">
        <v>3.5999999999999999E-3</v>
      </c>
      <c r="D36" s="21">
        <f>B36*C36</f>
        <v>1.33182</v>
      </c>
      <c r="E36" s="72">
        <f t="shared" si="0"/>
        <v>369.95</v>
      </c>
      <c r="F36" s="33">
        <v>3.5999999999999999E-3</v>
      </c>
      <c r="G36" s="21">
        <f>E36*F36</f>
        <v>1.33182</v>
      </c>
      <c r="H36" s="21">
        <f t="shared" si="1"/>
        <v>0</v>
      </c>
      <c r="I36" s="22">
        <f t="shared" si="2"/>
        <v>0</v>
      </c>
      <c r="J36" s="22">
        <f t="shared" si="8"/>
        <v>1.6208583150165736E-2</v>
      </c>
      <c r="K36" s="107">
        <f t="shared" si="9"/>
        <v>1.5590216637577077E-2</v>
      </c>
    </row>
    <row r="37" spans="1:11" x14ac:dyDescent="0.2">
      <c r="A37" s="106" t="s">
        <v>43</v>
      </c>
      <c r="B37" s="72">
        <f>B8</f>
        <v>369.95</v>
      </c>
      <c r="C37" s="33">
        <v>2.0999999999999999E-3</v>
      </c>
      <c r="D37" s="21">
        <f>B37*C37</f>
        <v>0.77689499999999989</v>
      </c>
      <c r="E37" s="72">
        <f t="shared" si="0"/>
        <v>369.95</v>
      </c>
      <c r="F37" s="33">
        <v>2.0999999999999999E-3</v>
      </c>
      <c r="G37" s="21">
        <f>E37*F37</f>
        <v>0.77689499999999989</v>
      </c>
      <c r="H37" s="21">
        <f>G37-D37</f>
        <v>0</v>
      </c>
      <c r="I37" s="22">
        <f t="shared" si="2"/>
        <v>0</v>
      </c>
      <c r="J37" s="22">
        <f t="shared" si="8"/>
        <v>9.455006837596678E-3</v>
      </c>
      <c r="K37" s="107">
        <f t="shared" si="9"/>
        <v>9.0942930385866268E-3</v>
      </c>
    </row>
    <row r="38" spans="1:11" x14ac:dyDescent="0.2">
      <c r="A38" s="106" t="s">
        <v>99</v>
      </c>
      <c r="B38" s="72">
        <f>B8</f>
        <v>369.95</v>
      </c>
      <c r="C38" s="33">
        <v>1.1000000000000001E-3</v>
      </c>
      <c r="D38" s="21">
        <f>B38*C38</f>
        <v>0.406945</v>
      </c>
      <c r="E38" s="72">
        <f t="shared" si="0"/>
        <v>369.95</v>
      </c>
      <c r="F38" s="33">
        <v>1.1000000000000001E-3</v>
      </c>
      <c r="G38" s="21">
        <f>E38*F38</f>
        <v>0.406945</v>
      </c>
      <c r="H38" s="21">
        <f>G38-D38</f>
        <v>0</v>
      </c>
      <c r="I38" s="22">
        <f t="shared" si="2"/>
        <v>0</v>
      </c>
      <c r="J38" s="22">
        <f t="shared" si="8"/>
        <v>4.9526226292173079E-3</v>
      </c>
      <c r="K38" s="107">
        <f t="shared" si="9"/>
        <v>4.7636773059263294E-3</v>
      </c>
    </row>
    <row r="39" spans="1:11" x14ac:dyDescent="0.2">
      <c r="A39" s="106" t="s">
        <v>44</v>
      </c>
      <c r="B39" s="72">
        <v>1</v>
      </c>
      <c r="C39" s="21">
        <v>0.25</v>
      </c>
      <c r="D39" s="21">
        <f>B39*C39</f>
        <v>0.25</v>
      </c>
      <c r="E39" s="72">
        <f t="shared" si="0"/>
        <v>1</v>
      </c>
      <c r="F39" s="21">
        <f>C39</f>
        <v>0.25</v>
      </c>
      <c r="G39" s="21">
        <f>E39*F39</f>
        <v>0.25</v>
      </c>
      <c r="H39" s="21">
        <f t="shared" si="1"/>
        <v>0</v>
      </c>
      <c r="I39" s="22">
        <f t="shared" si="2"/>
        <v>0</v>
      </c>
      <c r="J39" s="22">
        <f t="shared" si="8"/>
        <v>3.0425626492629888E-3</v>
      </c>
      <c r="K39" s="107">
        <f t="shared" si="9"/>
        <v>2.9264871824978369E-3</v>
      </c>
    </row>
    <row r="40" spans="1:11" s="1" customFormat="1" x14ac:dyDescent="0.2">
      <c r="A40" s="109" t="s">
        <v>45</v>
      </c>
      <c r="B40" s="73"/>
      <c r="C40" s="34"/>
      <c r="D40" s="34">
        <f>SUM(D36:D39)</f>
        <v>2.76566</v>
      </c>
      <c r="E40" s="72"/>
      <c r="F40" s="34"/>
      <c r="G40" s="34">
        <f>SUM(G36:G39)</f>
        <v>2.76566</v>
      </c>
      <c r="H40" s="34">
        <f t="shared" si="1"/>
        <v>0</v>
      </c>
      <c r="I40" s="35">
        <f t="shared" si="2"/>
        <v>0</v>
      </c>
      <c r="J40" s="35">
        <f t="shared" si="8"/>
        <v>3.365877526624271E-2</v>
      </c>
      <c r="K40" s="110">
        <f t="shared" si="9"/>
        <v>3.237467416458787E-2</v>
      </c>
    </row>
    <row r="41" spans="1:11" s="1" customFormat="1" ht="13.5" thickBot="1" x14ac:dyDescent="0.25">
      <c r="A41" s="111" t="s">
        <v>46</v>
      </c>
      <c r="B41" s="112">
        <f>B4</f>
        <v>350</v>
      </c>
      <c r="C41" s="113">
        <v>0</v>
      </c>
      <c r="D41" s="114">
        <f>B41*C41</f>
        <v>0</v>
      </c>
      <c r="E41" s="115">
        <f t="shared" si="0"/>
        <v>350</v>
      </c>
      <c r="F41" s="113">
        <f>C41</f>
        <v>0</v>
      </c>
      <c r="G41" s="114">
        <f>E41*F41</f>
        <v>0</v>
      </c>
      <c r="H41" s="114">
        <f t="shared" si="1"/>
        <v>0</v>
      </c>
      <c r="I41" s="116">
        <f t="shared" si="2"/>
        <v>0</v>
      </c>
      <c r="J41" s="116">
        <f t="shared" si="8"/>
        <v>0</v>
      </c>
      <c r="K41" s="117">
        <f t="shared" si="9"/>
        <v>0</v>
      </c>
    </row>
    <row r="42" spans="1:11" s="1" customFormat="1" x14ac:dyDescent="0.2">
      <c r="A42" s="36" t="s">
        <v>107</v>
      </c>
      <c r="B42" s="37"/>
      <c r="C42" s="38"/>
      <c r="D42" s="38">
        <f>SUM(D14,D25,D26,D27,D33,D40,D41)</f>
        <v>77.414835000000011</v>
      </c>
      <c r="E42" s="37"/>
      <c r="F42" s="38"/>
      <c r="G42" s="38">
        <f>SUM(G14,G25,G26,G27,G33,G40,G41)</f>
        <v>78.254835000000014</v>
      </c>
      <c r="H42" s="38">
        <f t="shared" si="1"/>
        <v>0.84000000000000341</v>
      </c>
      <c r="I42" s="39">
        <f>IF(ISERROR(H42/D42),0,(H42/D42))</f>
        <v>1.0850633473545521E-2</v>
      </c>
      <c r="J42" s="39">
        <f t="shared" si="8"/>
        <v>0.95238095238095244</v>
      </c>
      <c r="K42" s="40"/>
    </row>
    <row r="43" spans="1:11" x14ac:dyDescent="0.2">
      <c r="A43" s="143" t="s">
        <v>108</v>
      </c>
      <c r="B43" s="42"/>
      <c r="C43" s="25">
        <v>0.13</v>
      </c>
      <c r="D43" s="25">
        <f>D42*C43</f>
        <v>10.063928550000002</v>
      </c>
      <c r="E43" s="25"/>
      <c r="F43" s="25">
        <f>C43</f>
        <v>0.13</v>
      </c>
      <c r="G43" s="25">
        <f>G42*F43</f>
        <v>10.173128550000003</v>
      </c>
      <c r="H43" s="25">
        <f t="shared" si="1"/>
        <v>0.1092000000000013</v>
      </c>
      <c r="I43" s="43">
        <f t="shared" si="2"/>
        <v>1.0850633473545604E-2</v>
      </c>
      <c r="J43" s="43">
        <f t="shared" si="8"/>
        <v>0.12380952380952383</v>
      </c>
      <c r="K43" s="44"/>
    </row>
    <row r="44" spans="1:11" s="1" customFormat="1" x14ac:dyDescent="0.2">
      <c r="A44" s="45" t="s">
        <v>109</v>
      </c>
      <c r="B44" s="23"/>
      <c r="C44" s="24"/>
      <c r="D44" s="24">
        <f>SUM(D42:D43)</f>
        <v>87.478763550000011</v>
      </c>
      <c r="E44" s="24"/>
      <c r="F44" s="24"/>
      <c r="G44" s="24">
        <f>SUM(G42:G43)</f>
        <v>88.427963550000015</v>
      </c>
      <c r="H44" s="24">
        <f t="shared" si="1"/>
        <v>0.94920000000000471</v>
      </c>
      <c r="I44" s="26">
        <f t="shared" si="2"/>
        <v>1.0850633473545529E-2</v>
      </c>
      <c r="J44" s="26">
        <f t="shared" si="8"/>
        <v>1.0761904761904764</v>
      </c>
      <c r="K44" s="46"/>
    </row>
    <row r="45" spans="1:11" x14ac:dyDescent="0.2">
      <c r="A45" s="41" t="s">
        <v>110</v>
      </c>
      <c r="B45" s="42"/>
      <c r="C45" s="25">
        <v>-0.08</v>
      </c>
      <c r="D45" s="25">
        <f>D42*C45</f>
        <v>-6.1931868000000012</v>
      </c>
      <c r="E45" s="25"/>
      <c r="F45" s="25">
        <f>C45</f>
        <v>-0.08</v>
      </c>
      <c r="G45" s="25">
        <f>G42*F45</f>
        <v>-6.2603868000000009</v>
      </c>
      <c r="H45" s="25">
        <f t="shared" si="1"/>
        <v>-6.7199999999999704E-2</v>
      </c>
      <c r="I45" s="43">
        <f t="shared" si="2"/>
        <v>1.0850633473545427E-2</v>
      </c>
      <c r="J45" s="43">
        <f t="shared" si="8"/>
        <v>-7.6190476190476197E-2</v>
      </c>
      <c r="K45" s="44"/>
    </row>
    <row r="46" spans="1:11" s="1" customFormat="1" ht="13.5" thickBot="1" x14ac:dyDescent="0.25">
      <c r="A46" s="47" t="s">
        <v>111</v>
      </c>
      <c r="B46" s="48"/>
      <c r="C46" s="49"/>
      <c r="D46" s="49">
        <f>SUM(D44:D45)</f>
        <v>81.285576750000004</v>
      </c>
      <c r="E46" s="49"/>
      <c r="F46" s="49"/>
      <c r="G46" s="49">
        <f>SUM(G44:G45)</f>
        <v>82.167576750000009</v>
      </c>
      <c r="H46" s="49">
        <f t="shared" si="1"/>
        <v>0.882000000000005</v>
      </c>
      <c r="I46" s="50">
        <f t="shared" si="2"/>
        <v>1.0850633473545538E-2</v>
      </c>
      <c r="J46" s="50">
        <f t="shared" si="8"/>
        <v>1</v>
      </c>
      <c r="K46" s="51"/>
    </row>
    <row r="47" spans="1:11" x14ac:dyDescent="0.2">
      <c r="A47" s="52" t="s">
        <v>112</v>
      </c>
      <c r="B47" s="53"/>
      <c r="C47" s="54"/>
      <c r="D47" s="54">
        <f>SUM(D18,D25,D26,D28,D33,D40,D41)</f>
        <v>80.518715499999999</v>
      </c>
      <c r="E47" s="54"/>
      <c r="F47" s="54"/>
      <c r="G47" s="54">
        <f>SUM(G18,G25,G26,G28,G33,G40,G41)</f>
        <v>81.358715500000002</v>
      </c>
      <c r="H47" s="54">
        <f>G47-D47</f>
        <v>0.84000000000000341</v>
      </c>
      <c r="I47" s="55">
        <f>IF(ISERROR(H47/D47),0,(H47/D47))</f>
        <v>1.0432357182846557E-2</v>
      </c>
      <c r="J47" s="55"/>
      <c r="K47" s="56">
        <f>G47/$G$51</f>
        <v>0.95238095238095244</v>
      </c>
    </row>
    <row r="48" spans="1:11" x14ac:dyDescent="0.2">
      <c r="A48" s="144" t="s">
        <v>108</v>
      </c>
      <c r="B48" s="58"/>
      <c r="C48" s="30">
        <v>0.13</v>
      </c>
      <c r="D48" s="30">
        <f>D47*C48</f>
        <v>10.467433015000001</v>
      </c>
      <c r="E48" s="30"/>
      <c r="F48" s="30">
        <f>C48</f>
        <v>0.13</v>
      </c>
      <c r="G48" s="30">
        <f>G47*F48</f>
        <v>10.576633015000001</v>
      </c>
      <c r="H48" s="30">
        <f>G48-D48</f>
        <v>0.10919999999999952</v>
      </c>
      <c r="I48" s="31">
        <f>IF(ISERROR(H48/D48),0,(H48/D48))</f>
        <v>1.0432357182846469E-2</v>
      </c>
      <c r="J48" s="31"/>
      <c r="K48" s="59">
        <f>G48/$G$51</f>
        <v>0.12380952380952381</v>
      </c>
    </row>
    <row r="49" spans="1:11" x14ac:dyDescent="0.2">
      <c r="A49" s="60" t="s">
        <v>113</v>
      </c>
      <c r="B49" s="28"/>
      <c r="C49" s="29"/>
      <c r="D49" s="29">
        <f>SUM(D47:D48)</f>
        <v>90.986148514999996</v>
      </c>
      <c r="E49" s="29"/>
      <c r="F49" s="29"/>
      <c r="G49" s="29">
        <f>SUM(G47:G48)</f>
        <v>91.935348515000001</v>
      </c>
      <c r="H49" s="29">
        <f>G49-D49</f>
        <v>0.94920000000000471</v>
      </c>
      <c r="I49" s="32">
        <f>IF(ISERROR(H49/D49),0,(H49/D49))</f>
        <v>1.0432357182846567E-2</v>
      </c>
      <c r="J49" s="32"/>
      <c r="K49" s="61">
        <f>G49/$G$51</f>
        <v>1.0761904761904761</v>
      </c>
    </row>
    <row r="50" spans="1:11" x14ac:dyDescent="0.2">
      <c r="A50" s="57" t="s">
        <v>110</v>
      </c>
      <c r="B50" s="58"/>
      <c r="C50" s="30">
        <v>-0.08</v>
      </c>
      <c r="D50" s="30">
        <f>D47*C50</f>
        <v>-6.4414972400000003</v>
      </c>
      <c r="E50" s="30"/>
      <c r="F50" s="30">
        <f>C50</f>
        <v>-0.08</v>
      </c>
      <c r="G50" s="30">
        <f>G47*F50</f>
        <v>-6.5086972400000001</v>
      </c>
      <c r="H50" s="30">
        <f>G50-D50</f>
        <v>-6.7199999999999704E-2</v>
      </c>
      <c r="I50" s="31">
        <f>IF(ISERROR(H50/D50),0,(H50/D50))</f>
        <v>1.0432357182846469E-2</v>
      </c>
      <c r="J50" s="31"/>
      <c r="K50" s="59">
        <f>G50/$G$51</f>
        <v>-7.6190476190476197E-2</v>
      </c>
    </row>
    <row r="51" spans="1:11" ht="13.5" thickBot="1" x14ac:dyDescent="0.25">
      <c r="A51" s="62" t="s">
        <v>114</v>
      </c>
      <c r="B51" s="63"/>
      <c r="C51" s="64"/>
      <c r="D51" s="64">
        <f>SUM(D49:D50)</f>
        <v>84.544651274999993</v>
      </c>
      <c r="E51" s="64"/>
      <c r="F51" s="64"/>
      <c r="G51" s="64">
        <f>SUM(G49:G50)</f>
        <v>85.426651274999998</v>
      </c>
      <c r="H51" s="64">
        <f>G51-D51</f>
        <v>0.882000000000005</v>
      </c>
      <c r="I51" s="65">
        <f>IF(ISERROR(H51/D51),0,(H51/D51))</f>
        <v>1.0432357182846574E-2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0</v>
      </c>
    </row>
    <row r="4" spans="1:11" x14ac:dyDescent="0.2">
      <c r="A4" s="14" t="s">
        <v>62</v>
      </c>
      <c r="B4" s="14">
        <v>750</v>
      </c>
    </row>
    <row r="5" spans="1:11" x14ac:dyDescent="0.2">
      <c r="A5" s="14" t="s">
        <v>16</v>
      </c>
      <c r="B5" s="14">
        <f>VLOOKUP($B$3,'Data for Bill Impacts'!$A$3:$Y$15,5,0)</f>
        <v>0</v>
      </c>
    </row>
    <row r="6" spans="1:11" x14ac:dyDescent="0.2">
      <c r="A6" s="14" t="s">
        <v>20</v>
      </c>
      <c r="B6" s="14">
        <f>VLOOKUP($B$3,'Data for Bill Impacts'!$A$3:$Y$15,2,0)</f>
        <v>1.0569999999999999</v>
      </c>
    </row>
    <row r="7" spans="1:11" x14ac:dyDescent="0.2">
      <c r="A7" s="14" t="s">
        <v>15</v>
      </c>
      <c r="B7" s="14">
        <f>VLOOKUP($B$3,'Data for Bill Impacts'!$A$3:$Y$15,4,0)</f>
        <v>600</v>
      </c>
    </row>
    <row r="8" spans="1:11" x14ac:dyDescent="0.2">
      <c r="A8" s="14" t="s">
        <v>82</v>
      </c>
      <c r="B8" s="149">
        <f>B4*B6</f>
        <v>792.75</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0.41956319296347722</v>
      </c>
      <c r="K12" s="105"/>
    </row>
    <row r="13" spans="1:11" x14ac:dyDescent="0.2">
      <c r="A13" s="106" t="s">
        <v>32</v>
      </c>
      <c r="B13" s="72">
        <f>IF(B4&gt;B7,(B4)-B7,0)</f>
        <v>150</v>
      </c>
      <c r="C13" s="20">
        <v>0.121</v>
      </c>
      <c r="D13" s="21">
        <f>B13*C13</f>
        <v>18.149999999999999</v>
      </c>
      <c r="E13" s="72">
        <f t="shared" ref="E13" si="0">B13</f>
        <v>150</v>
      </c>
      <c r="F13" s="20">
        <f>C13</f>
        <v>0.121</v>
      </c>
      <c r="G13" s="21">
        <f>E13*F13</f>
        <v>18.149999999999999</v>
      </c>
      <c r="H13" s="21">
        <f t="shared" ref="H13:H46" si="1">G13-D13</f>
        <v>0</v>
      </c>
      <c r="I13" s="22">
        <f t="shared" ref="I13:I46" si="2">IF(ISERROR(H13/D13),0,(H13/D13))</f>
        <v>0</v>
      </c>
      <c r="J13" s="22">
        <f>G13/$G$46</f>
        <v>0.12322122900140955</v>
      </c>
      <c r="K13" s="107"/>
    </row>
    <row r="14" spans="1:11" s="1" customFormat="1" x14ac:dyDescent="0.2">
      <c r="A14" s="45" t="s">
        <v>33</v>
      </c>
      <c r="B14" s="23"/>
      <c r="C14" s="24"/>
      <c r="D14" s="24">
        <f>SUM(D12:D13)</f>
        <v>79.949999999999989</v>
      </c>
      <c r="E14" s="75"/>
      <c r="F14" s="24"/>
      <c r="G14" s="24">
        <f>SUM(G12:G13)</f>
        <v>79.949999999999989</v>
      </c>
      <c r="H14" s="24">
        <f t="shared" si="1"/>
        <v>0</v>
      </c>
      <c r="I14" s="26">
        <f t="shared" si="2"/>
        <v>0</v>
      </c>
      <c r="J14" s="26">
        <f>G14/$G$46</f>
        <v>0.54278442196488674</v>
      </c>
      <c r="K14" s="107"/>
    </row>
    <row r="15" spans="1:11" s="1" customFormat="1" x14ac:dyDescent="0.2">
      <c r="A15" s="108" t="s">
        <v>34</v>
      </c>
      <c r="B15" s="74">
        <f>B4*0.65</f>
        <v>487.5</v>
      </c>
      <c r="C15" s="27">
        <v>8.6999999999999994E-2</v>
      </c>
      <c r="D15" s="21">
        <f>B15*C15</f>
        <v>42.412499999999994</v>
      </c>
      <c r="E15" s="72">
        <f t="shared" ref="E15:F17" si="3">B15</f>
        <v>487.5</v>
      </c>
      <c r="F15" s="27">
        <f t="shared" si="3"/>
        <v>8.6999999999999994E-2</v>
      </c>
      <c r="G15" s="21">
        <f>E15*F15</f>
        <v>42.412499999999994</v>
      </c>
      <c r="H15" s="21">
        <f t="shared" si="1"/>
        <v>0</v>
      </c>
      <c r="I15" s="22">
        <f t="shared" si="2"/>
        <v>0</v>
      </c>
      <c r="J15" s="22"/>
      <c r="K15" s="107">
        <f t="shared" ref="K15:K26" si="4">G15/$G$51</f>
        <v>0.28155469964420515</v>
      </c>
    </row>
    <row r="16" spans="1:11" s="1" customFormat="1" x14ac:dyDescent="0.2">
      <c r="A16" s="108" t="s">
        <v>35</v>
      </c>
      <c r="B16" s="74">
        <f>B4*0.17</f>
        <v>127.50000000000001</v>
      </c>
      <c r="C16" s="27">
        <v>0.13200000000000001</v>
      </c>
      <c r="D16" s="21">
        <f>B16*C16</f>
        <v>16.830000000000002</v>
      </c>
      <c r="E16" s="72">
        <f t="shared" si="3"/>
        <v>127.50000000000001</v>
      </c>
      <c r="F16" s="27">
        <f t="shared" si="3"/>
        <v>0.13200000000000001</v>
      </c>
      <c r="G16" s="21">
        <f>E16*F16</f>
        <v>16.830000000000002</v>
      </c>
      <c r="H16" s="21">
        <f t="shared" si="1"/>
        <v>0</v>
      </c>
      <c r="I16" s="22">
        <f t="shared" si="2"/>
        <v>0</v>
      </c>
      <c r="J16" s="22"/>
      <c r="K16" s="107">
        <f t="shared" si="4"/>
        <v>0.1117256845272496</v>
      </c>
    </row>
    <row r="17" spans="1:11" s="1" customFormat="1" x14ac:dyDescent="0.2">
      <c r="A17" s="108" t="s">
        <v>36</v>
      </c>
      <c r="B17" s="74">
        <f>B4*0.18</f>
        <v>135</v>
      </c>
      <c r="C17" s="27">
        <v>0.18</v>
      </c>
      <c r="D17" s="21">
        <f>B17*C17</f>
        <v>24.3</v>
      </c>
      <c r="E17" s="72">
        <f t="shared" si="3"/>
        <v>135</v>
      </c>
      <c r="F17" s="27">
        <f t="shared" si="3"/>
        <v>0.18</v>
      </c>
      <c r="G17" s="21">
        <f>E17*F17</f>
        <v>24.3</v>
      </c>
      <c r="H17" s="21">
        <f t="shared" si="1"/>
        <v>0</v>
      </c>
      <c r="I17" s="22">
        <f t="shared" si="2"/>
        <v>0</v>
      </c>
      <c r="J17" s="22"/>
      <c r="K17" s="107">
        <f t="shared" si="4"/>
        <v>0.161315159477847</v>
      </c>
    </row>
    <row r="18" spans="1:11" s="1" customFormat="1" x14ac:dyDescent="0.2">
      <c r="A18" s="60" t="s">
        <v>37</v>
      </c>
      <c r="B18" s="28"/>
      <c r="C18" s="29"/>
      <c r="D18" s="29">
        <f>SUM(D15:D17)</f>
        <v>83.54249999999999</v>
      </c>
      <c r="E18" s="76"/>
      <c r="F18" s="29"/>
      <c r="G18" s="29">
        <f>SUM(G15:G17)</f>
        <v>83.54249999999999</v>
      </c>
      <c r="H18" s="30">
        <f t="shared" si="1"/>
        <v>0</v>
      </c>
      <c r="I18" s="31">
        <f t="shared" si="2"/>
        <v>0</v>
      </c>
      <c r="J18" s="32">
        <f t="shared" ref="J18:J23" si="5">G18/$G$46</f>
        <v>0.56717407844904999</v>
      </c>
      <c r="K18" s="61">
        <f t="shared" si="4"/>
        <v>0.55459554364930164</v>
      </c>
    </row>
    <row r="19" spans="1:11" x14ac:dyDescent="0.2">
      <c r="A19" s="106" t="s">
        <v>38</v>
      </c>
      <c r="B19" s="72">
        <v>1</v>
      </c>
      <c r="C19" s="77">
        <f>VLOOKUP($B$3,'Data for Bill Impacts'!$A$3:$Y$15,7,0)</f>
        <v>36.72</v>
      </c>
      <c r="D19" s="21">
        <f>B19*C19</f>
        <v>36.72</v>
      </c>
      <c r="E19" s="72">
        <f t="shared" ref="E19:E41" si="6">B19</f>
        <v>1</v>
      </c>
      <c r="F19" s="77">
        <f>VLOOKUP($B$3,'Data for Bill Impacts'!$A$3:$Y$15,17,0)</f>
        <v>37.47</v>
      </c>
      <c r="G19" s="21">
        <f>E19*F19</f>
        <v>37.47</v>
      </c>
      <c r="H19" s="21">
        <f t="shared" si="1"/>
        <v>0.75</v>
      </c>
      <c r="I19" s="22">
        <f t="shared" si="2"/>
        <v>2.042483660130719E-2</v>
      </c>
      <c r="J19" s="22">
        <f t="shared" si="5"/>
        <v>0.25438564466571989</v>
      </c>
      <c r="K19" s="107">
        <f t="shared" si="4"/>
        <v>0.24874399282448259</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6.7890484298297282E-5</v>
      </c>
      <c r="K22" s="107">
        <f t="shared" si="4"/>
        <v>6.6384839291295066E-5</v>
      </c>
    </row>
    <row r="23" spans="1:11" x14ac:dyDescent="0.2">
      <c r="A23" s="106" t="s">
        <v>39</v>
      </c>
      <c r="B23" s="72">
        <f>IF($B$9="kWh",$B$4,$B$5)</f>
        <v>750</v>
      </c>
      <c r="C23" s="77">
        <f>VLOOKUP($B$3,'Data for Bill Impacts'!$A$3:$Y$15,10,0)</f>
        <v>0</v>
      </c>
      <c r="D23" s="21">
        <f>B23*C23</f>
        <v>0</v>
      </c>
      <c r="E23" s="72">
        <f t="shared" si="6"/>
        <v>750</v>
      </c>
      <c r="F23" s="77">
        <f>VLOOKUP($B$3,'Data for Bill Impacts'!$A$3:$Y$15,19,0)</f>
        <v>0</v>
      </c>
      <c r="G23" s="21">
        <f>E23*F23</f>
        <v>0</v>
      </c>
      <c r="H23" s="21">
        <f t="shared" si="1"/>
        <v>0</v>
      </c>
      <c r="I23" s="22">
        <f t="shared" si="2"/>
        <v>0</v>
      </c>
      <c r="J23" s="22">
        <f t="shared" si="5"/>
        <v>0</v>
      </c>
      <c r="K23" s="107">
        <f t="shared" si="4"/>
        <v>0</v>
      </c>
    </row>
    <row r="24" spans="1:11" x14ac:dyDescent="0.2">
      <c r="A24" s="106" t="s">
        <v>129</v>
      </c>
      <c r="B24" s="72">
        <f>IF($B$9="kWh",$B$4,$B$5)</f>
        <v>750</v>
      </c>
      <c r="C24" s="125">
        <f>VLOOKUP($B$3,'Data for Bill Impacts'!$A$3:$Y$15,14,0)</f>
        <v>2.0000000000000001E-4</v>
      </c>
      <c r="D24" s="21">
        <f>B24*C24</f>
        <v>0.15</v>
      </c>
      <c r="E24" s="72">
        <f t="shared" si="6"/>
        <v>750</v>
      </c>
      <c r="F24" s="125">
        <f>VLOOKUP($B$3,'Data for Bill Impacts'!$A$3:$Y$15,23,0)</f>
        <v>2.0000000000000001E-4</v>
      </c>
      <c r="G24" s="21">
        <f>E24*F24</f>
        <v>0.15</v>
      </c>
      <c r="H24" s="21">
        <f t="shared" si="1"/>
        <v>0</v>
      </c>
      <c r="I24" s="22">
        <f>IF(ISERROR(H24/D24),0,(H24/D24))</f>
        <v>0</v>
      </c>
      <c r="J24" s="22">
        <f t="shared" ref="J24" si="9">G24/$G$46</f>
        <v>1.0183572644744592E-3</v>
      </c>
      <c r="K24" s="107">
        <f t="shared" si="4"/>
        <v>9.957725893694259E-4</v>
      </c>
    </row>
    <row r="25" spans="1:11" s="1" customFormat="1" x14ac:dyDescent="0.2">
      <c r="A25" s="109" t="s">
        <v>72</v>
      </c>
      <c r="B25" s="73"/>
      <c r="C25" s="34"/>
      <c r="D25" s="34">
        <f>SUM(D19:D24)</f>
        <v>36.879999999999995</v>
      </c>
      <c r="E25" s="72"/>
      <c r="F25" s="34"/>
      <c r="G25" s="34">
        <f>SUM(G19:G24)</f>
        <v>37.629999999999995</v>
      </c>
      <c r="H25" s="34">
        <f t="shared" si="1"/>
        <v>0.75</v>
      </c>
      <c r="I25" s="35">
        <f t="shared" si="2"/>
        <v>2.0336225596529287E-2</v>
      </c>
      <c r="J25" s="35">
        <f>G25/$G$46</f>
        <v>0.25547189241449264</v>
      </c>
      <c r="K25" s="110">
        <f t="shared" si="4"/>
        <v>0.24980615025314329</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5.3633482595654858E-3</v>
      </c>
      <c r="K26" s="107">
        <f t="shared" si="4"/>
        <v>5.2444023040123097E-3</v>
      </c>
    </row>
    <row r="27" spans="1:11" s="1" customFormat="1" x14ac:dyDescent="0.2">
      <c r="A27" s="118" t="s">
        <v>75</v>
      </c>
      <c r="B27" s="119">
        <f>B8-B4</f>
        <v>42.75</v>
      </c>
      <c r="C27" s="120">
        <f>IF(B4&gt;B7,C13,C12)</f>
        <v>0.121</v>
      </c>
      <c r="D27" s="21">
        <f>B27*C27</f>
        <v>5.1727499999999997</v>
      </c>
      <c r="E27" s="72">
        <f>B27</f>
        <v>42.75</v>
      </c>
      <c r="F27" s="120">
        <f>C27</f>
        <v>0.121</v>
      </c>
      <c r="G27" s="21">
        <f>E27*F27</f>
        <v>5.1727499999999997</v>
      </c>
      <c r="H27" s="21">
        <f t="shared" si="1"/>
        <v>0</v>
      </c>
      <c r="I27" s="22">
        <f>IF(ISERROR(H27/D27),0,(H27/D27))</f>
        <v>0</v>
      </c>
      <c r="J27" s="22">
        <f t="shared" ref="J27:J46" si="10">G27/$G$46</f>
        <v>3.5118050265401726E-2</v>
      </c>
      <c r="K27" s="107">
        <f t="shared" ref="K27:K41" si="11">G27/$G$51</f>
        <v>3.4339217744404647E-2</v>
      </c>
    </row>
    <row r="28" spans="1:11" s="1" customFormat="1" x14ac:dyDescent="0.2">
      <c r="A28" s="118" t="s">
        <v>74</v>
      </c>
      <c r="B28" s="119">
        <f>B8-B4</f>
        <v>42.75</v>
      </c>
      <c r="C28" s="120">
        <f>0.65*C15+0.17*C16+0.18*C17</f>
        <v>0.11139</v>
      </c>
      <c r="D28" s="21">
        <f>B28*C28</f>
        <v>4.7619224999999998</v>
      </c>
      <c r="E28" s="72">
        <f>B28</f>
        <v>42.75</v>
      </c>
      <c r="F28" s="120">
        <f>C28</f>
        <v>0.11139</v>
      </c>
      <c r="G28" s="21">
        <f>E28*F28</f>
        <v>4.7619224999999998</v>
      </c>
      <c r="H28" s="21">
        <f t="shared" si="1"/>
        <v>0</v>
      </c>
      <c r="I28" s="22">
        <f>IF(ISERROR(H28/D28),0,(H28/D28))</f>
        <v>0</v>
      </c>
      <c r="J28" s="22">
        <f t="shared" si="10"/>
        <v>3.2328922471595856E-2</v>
      </c>
      <c r="K28" s="107">
        <f t="shared" si="11"/>
        <v>3.1611945988010197E-2</v>
      </c>
    </row>
    <row r="29" spans="1:11" s="1" customFormat="1" x14ac:dyDescent="0.2">
      <c r="A29" s="109" t="s">
        <v>78</v>
      </c>
      <c r="B29" s="73"/>
      <c r="C29" s="34"/>
      <c r="D29" s="34">
        <f>SUM(D25,D26:D27)</f>
        <v>42.842749999999995</v>
      </c>
      <c r="E29" s="72"/>
      <c r="F29" s="34"/>
      <c r="G29" s="34">
        <f>SUM(G25,G26:G27)</f>
        <v>43.592749999999995</v>
      </c>
      <c r="H29" s="34">
        <f t="shared" si="1"/>
        <v>0.75</v>
      </c>
      <c r="I29" s="35">
        <f>IF(ISERROR(H29/D29),0,(H29/D29))</f>
        <v>1.7505879057716885E-2</v>
      </c>
      <c r="J29" s="35">
        <f t="shared" si="10"/>
        <v>0.29595329093945988</v>
      </c>
      <c r="K29" s="110">
        <f t="shared" si="11"/>
        <v>0.28938977030156027</v>
      </c>
    </row>
    <row r="30" spans="1:11" s="1" customFormat="1" x14ac:dyDescent="0.2">
      <c r="A30" s="109" t="s">
        <v>77</v>
      </c>
      <c r="B30" s="73"/>
      <c r="C30" s="34"/>
      <c r="D30" s="34">
        <f>SUM(D25,D26,D28)</f>
        <v>42.431922499999992</v>
      </c>
      <c r="E30" s="72"/>
      <c r="F30" s="34"/>
      <c r="G30" s="34">
        <f>SUM(G25,G26,G28)</f>
        <v>43.181922499999992</v>
      </c>
      <c r="H30" s="34">
        <f t="shared" si="1"/>
        <v>0.75</v>
      </c>
      <c r="I30" s="35">
        <f>IF(ISERROR(H30/D30),0,(H30/D30))</f>
        <v>1.7675371649729047E-2</v>
      </c>
      <c r="J30" s="35">
        <f t="shared" si="10"/>
        <v>0.29316416314565397</v>
      </c>
      <c r="K30" s="110">
        <f t="shared" si="11"/>
        <v>0.28666249854516579</v>
      </c>
    </row>
    <row r="31" spans="1:11" x14ac:dyDescent="0.2">
      <c r="A31" s="106" t="s">
        <v>40</v>
      </c>
      <c r="B31" s="72">
        <f>B8</f>
        <v>792.75</v>
      </c>
      <c r="C31" s="125">
        <f>VLOOKUP($B$3,'Data for Bill Impacts'!$A$3:$Y$15,15,0)</f>
        <v>7.7000000000000002E-3</v>
      </c>
      <c r="D31" s="21">
        <f>B31*C31</f>
        <v>6.1041750000000006</v>
      </c>
      <c r="E31" s="72">
        <f t="shared" si="6"/>
        <v>792.75</v>
      </c>
      <c r="F31" s="77">
        <f>VLOOKUP($B$3,'Data for Bill Impacts'!$A$3:$Y$15,24,0)</f>
        <v>7.7000000000000002E-3</v>
      </c>
      <c r="G31" s="21">
        <f>E31*F31</f>
        <v>6.1041750000000006</v>
      </c>
      <c r="H31" s="21">
        <f t="shared" si="1"/>
        <v>0</v>
      </c>
      <c r="I31" s="22">
        <f t="shared" si="2"/>
        <v>0</v>
      </c>
      <c r="J31" s="22">
        <f t="shared" si="10"/>
        <v>4.1441539699155885E-2</v>
      </c>
      <c r="K31" s="107">
        <f t="shared" si="11"/>
        <v>4.0522467638094105E-2</v>
      </c>
    </row>
    <row r="32" spans="1:11" x14ac:dyDescent="0.2">
      <c r="A32" s="106" t="s">
        <v>41</v>
      </c>
      <c r="B32" s="72">
        <f>B8</f>
        <v>792.75</v>
      </c>
      <c r="C32" s="125">
        <f>VLOOKUP($B$3,'Data for Bill Impacts'!$A$3:$Y$15,16,0)</f>
        <v>6.3E-3</v>
      </c>
      <c r="D32" s="21">
        <f>B32*C32</f>
        <v>4.9943249999999999</v>
      </c>
      <c r="E32" s="72">
        <f t="shared" si="6"/>
        <v>792.75</v>
      </c>
      <c r="F32" s="77">
        <f>VLOOKUP($B$3,'Data for Bill Impacts'!$A$3:$Y$15,25,0)</f>
        <v>6.3E-3</v>
      </c>
      <c r="G32" s="21">
        <f>E32*F32</f>
        <v>4.9943249999999999</v>
      </c>
      <c r="H32" s="21">
        <f t="shared" si="1"/>
        <v>0</v>
      </c>
      <c r="I32" s="22">
        <f t="shared" si="2"/>
        <v>0</v>
      </c>
      <c r="J32" s="22">
        <f t="shared" si="10"/>
        <v>3.390671429930936E-2</v>
      </c>
      <c r="K32" s="107">
        <f t="shared" si="11"/>
        <v>3.315474624934972E-2</v>
      </c>
    </row>
    <row r="33" spans="1:11" s="1" customFormat="1" x14ac:dyDescent="0.2">
      <c r="A33" s="109" t="s">
        <v>76</v>
      </c>
      <c r="B33" s="73"/>
      <c r="C33" s="34"/>
      <c r="D33" s="34">
        <f>SUM(D31:D32)</f>
        <v>11.098500000000001</v>
      </c>
      <c r="E33" s="72"/>
      <c r="F33" s="34"/>
      <c r="G33" s="34">
        <f>SUM(G31:G32)</f>
        <v>11.098500000000001</v>
      </c>
      <c r="H33" s="34">
        <f t="shared" si="1"/>
        <v>0</v>
      </c>
      <c r="I33" s="35">
        <f t="shared" si="2"/>
        <v>0</v>
      </c>
      <c r="J33" s="35">
        <f t="shared" si="10"/>
        <v>7.5348253998465245E-2</v>
      </c>
      <c r="K33" s="110">
        <f t="shared" si="11"/>
        <v>7.3677213887443832E-2</v>
      </c>
    </row>
    <row r="34" spans="1:11" s="1" customFormat="1" x14ac:dyDescent="0.2">
      <c r="A34" s="109" t="s">
        <v>93</v>
      </c>
      <c r="B34" s="73"/>
      <c r="C34" s="34"/>
      <c r="D34" s="34">
        <f>D29+D33</f>
        <v>53.941249999999997</v>
      </c>
      <c r="E34" s="72"/>
      <c r="F34" s="34"/>
      <c r="G34" s="34">
        <f>G29+G33</f>
        <v>54.691249999999997</v>
      </c>
      <c r="H34" s="34">
        <f t="shared" si="1"/>
        <v>0.75</v>
      </c>
      <c r="I34" s="35">
        <f t="shared" si="2"/>
        <v>1.3904015943271616E-2</v>
      </c>
      <c r="J34" s="35">
        <f t="shared" si="10"/>
        <v>0.37130154493792511</v>
      </c>
      <c r="K34" s="110">
        <f t="shared" si="11"/>
        <v>0.36306698418900407</v>
      </c>
    </row>
    <row r="35" spans="1:11" s="1" customFormat="1" x14ac:dyDescent="0.2">
      <c r="A35" s="109" t="s">
        <v>94</v>
      </c>
      <c r="B35" s="73"/>
      <c r="C35" s="34"/>
      <c r="D35" s="34">
        <f>D30+D33</f>
        <v>53.530422499999993</v>
      </c>
      <c r="E35" s="72"/>
      <c r="F35" s="34"/>
      <c r="G35" s="34">
        <f>G30+G33</f>
        <v>54.280422499999993</v>
      </c>
      <c r="H35" s="34">
        <f t="shared" si="1"/>
        <v>0.75</v>
      </c>
      <c r="I35" s="35">
        <f t="shared" si="2"/>
        <v>1.4010724462337283E-2</v>
      </c>
      <c r="J35" s="35">
        <f t="shared" si="10"/>
        <v>0.3685124171441192</v>
      </c>
      <c r="K35" s="110">
        <f t="shared" si="11"/>
        <v>0.36033971243260959</v>
      </c>
    </row>
    <row r="36" spans="1:11" x14ac:dyDescent="0.2">
      <c r="A36" s="106" t="s">
        <v>42</v>
      </c>
      <c r="B36" s="72">
        <f>B8</f>
        <v>792.75</v>
      </c>
      <c r="C36" s="33">
        <v>3.5999999999999999E-3</v>
      </c>
      <c r="D36" s="21">
        <f>B36*C36</f>
        <v>2.8538999999999999</v>
      </c>
      <c r="E36" s="72">
        <f t="shared" si="6"/>
        <v>792.75</v>
      </c>
      <c r="F36" s="33">
        <v>3.5999999999999999E-3</v>
      </c>
      <c r="G36" s="21">
        <f>E36*F36</f>
        <v>2.8538999999999999</v>
      </c>
      <c r="H36" s="21">
        <f t="shared" si="1"/>
        <v>0</v>
      </c>
      <c r="I36" s="22">
        <f t="shared" si="2"/>
        <v>0</v>
      </c>
      <c r="J36" s="22">
        <f t="shared" si="10"/>
        <v>1.9375265313891062E-2</v>
      </c>
      <c r="K36" s="107">
        <f t="shared" si="11"/>
        <v>1.8945569285342696E-2</v>
      </c>
    </row>
    <row r="37" spans="1:11" x14ac:dyDescent="0.2">
      <c r="A37" s="106" t="s">
        <v>43</v>
      </c>
      <c r="B37" s="72">
        <f>B8</f>
        <v>792.75</v>
      </c>
      <c r="C37" s="33">
        <v>2.0999999999999999E-3</v>
      </c>
      <c r="D37" s="21">
        <f>B37*C37</f>
        <v>1.6647749999999999</v>
      </c>
      <c r="E37" s="72">
        <f t="shared" si="6"/>
        <v>792.75</v>
      </c>
      <c r="F37" s="33">
        <v>2.0999999999999999E-3</v>
      </c>
      <c r="G37" s="21">
        <f>E37*F37</f>
        <v>1.6647749999999999</v>
      </c>
      <c r="H37" s="21">
        <f>G37-D37</f>
        <v>0</v>
      </c>
      <c r="I37" s="22">
        <f t="shared" si="2"/>
        <v>0</v>
      </c>
      <c r="J37" s="22">
        <f t="shared" si="10"/>
        <v>1.1302238099769785E-2</v>
      </c>
      <c r="K37" s="107">
        <f t="shared" si="11"/>
        <v>1.1051582083116573E-2</v>
      </c>
    </row>
    <row r="38" spans="1:11" x14ac:dyDescent="0.2">
      <c r="A38" s="106" t="s">
        <v>99</v>
      </c>
      <c r="B38" s="72">
        <f>B8</f>
        <v>792.75</v>
      </c>
      <c r="C38" s="33">
        <v>1.1000000000000001E-3</v>
      </c>
      <c r="D38" s="21">
        <f>B38*C38</f>
        <v>0.87202500000000005</v>
      </c>
      <c r="E38" s="72">
        <f t="shared" si="6"/>
        <v>792.75</v>
      </c>
      <c r="F38" s="33">
        <v>1.1000000000000001E-3</v>
      </c>
      <c r="G38" s="21">
        <f>E38*F38</f>
        <v>0.87202500000000005</v>
      </c>
      <c r="H38" s="21">
        <f>G38-D38</f>
        <v>0</v>
      </c>
      <c r="I38" s="22">
        <f t="shared" ref="I38" si="12">IF(ISERROR(H38/D38),0,(H38/D38))</f>
        <v>0</v>
      </c>
      <c r="J38" s="22">
        <f t="shared" ref="J38" si="13">G38/$G$46</f>
        <v>5.9202199570222696E-3</v>
      </c>
      <c r="K38" s="107">
        <f t="shared" ref="K38" si="14">G38/$G$51</f>
        <v>5.7889239482991576E-3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1.697262107457432E-3</v>
      </c>
      <c r="K39" s="107">
        <f t="shared" si="11"/>
        <v>1.6596209822823764E-3</v>
      </c>
    </row>
    <row r="40" spans="1:11" s="1" customFormat="1" x14ac:dyDescent="0.2">
      <c r="A40" s="109" t="s">
        <v>45</v>
      </c>
      <c r="B40" s="73"/>
      <c r="C40" s="34"/>
      <c r="D40" s="34">
        <f>SUM(D36:D39)</f>
        <v>5.6406999999999998</v>
      </c>
      <c r="E40" s="72"/>
      <c r="F40" s="34"/>
      <c r="G40" s="34">
        <f>SUM(G36:G39)</f>
        <v>5.6406999999999998</v>
      </c>
      <c r="H40" s="34">
        <f t="shared" si="1"/>
        <v>0</v>
      </c>
      <c r="I40" s="35">
        <f t="shared" si="2"/>
        <v>0</v>
      </c>
      <c r="J40" s="35">
        <f t="shared" si="10"/>
        <v>3.8294985478140545E-2</v>
      </c>
      <c r="K40" s="110">
        <f t="shared" si="11"/>
        <v>3.7445696299040807E-2</v>
      </c>
    </row>
    <row r="41" spans="1:11" s="1" customFormat="1" ht="13.5" thickBot="1" x14ac:dyDescent="0.25">
      <c r="A41" s="111" t="s">
        <v>46</v>
      </c>
      <c r="B41" s="112">
        <f>B4</f>
        <v>750</v>
      </c>
      <c r="C41" s="113">
        <v>0</v>
      </c>
      <c r="D41" s="114">
        <f>B41*C41</f>
        <v>0</v>
      </c>
      <c r="E41" s="115">
        <f t="shared" si="6"/>
        <v>750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139.53194999999999</v>
      </c>
      <c r="E42" s="37"/>
      <c r="F42" s="38"/>
      <c r="G42" s="38">
        <f>SUM(G14,G25,G26,G27,G33,G40,G41)</f>
        <v>140.28194999999999</v>
      </c>
      <c r="H42" s="38">
        <f t="shared" si="1"/>
        <v>0.75</v>
      </c>
      <c r="I42" s="39">
        <f>IF(ISERROR(H42/D42),0,(H42/D42))</f>
        <v>5.3751130117510723E-3</v>
      </c>
      <c r="J42" s="39">
        <f t="shared" si="10"/>
        <v>0.95238095238095244</v>
      </c>
      <c r="K42" s="40"/>
    </row>
    <row r="43" spans="1:11" x14ac:dyDescent="0.2">
      <c r="A43" s="143" t="s">
        <v>108</v>
      </c>
      <c r="B43" s="42"/>
      <c r="C43" s="25">
        <v>0.13</v>
      </c>
      <c r="D43" s="25">
        <f>D42*C43</f>
        <v>18.139153499999999</v>
      </c>
      <c r="E43" s="25"/>
      <c r="F43" s="25">
        <f>C43</f>
        <v>0.13</v>
      </c>
      <c r="G43" s="25">
        <f>G42*F43</f>
        <v>18.236653499999999</v>
      </c>
      <c r="H43" s="25">
        <f t="shared" si="1"/>
        <v>9.7500000000000142E-2</v>
      </c>
      <c r="I43" s="43">
        <f t="shared" si="2"/>
        <v>5.3751130117510801E-3</v>
      </c>
      <c r="J43" s="43">
        <f t="shared" si="10"/>
        <v>0.12380952380952381</v>
      </c>
      <c r="K43" s="44"/>
    </row>
    <row r="44" spans="1:11" s="1" customFormat="1" x14ac:dyDescent="0.2">
      <c r="A44" s="45" t="s">
        <v>109</v>
      </c>
      <c r="B44" s="23"/>
      <c r="C44" s="24"/>
      <c r="D44" s="24">
        <f>SUM(D42:D43)</f>
        <v>157.67110349999999</v>
      </c>
      <c r="E44" s="24"/>
      <c r="F44" s="24"/>
      <c r="G44" s="24">
        <f>SUM(G42:G43)</f>
        <v>158.51860349999998</v>
      </c>
      <c r="H44" s="24">
        <f t="shared" si="1"/>
        <v>0.84749999999999659</v>
      </c>
      <c r="I44" s="26">
        <f t="shared" si="2"/>
        <v>5.3751130117510506E-3</v>
      </c>
      <c r="J44" s="26">
        <f t="shared" si="10"/>
        <v>1.0761904761904761</v>
      </c>
      <c r="K44" s="46"/>
    </row>
    <row r="45" spans="1:11" x14ac:dyDescent="0.2">
      <c r="A45" s="41" t="s">
        <v>110</v>
      </c>
      <c r="B45" s="42"/>
      <c r="C45" s="25">
        <v>-0.08</v>
      </c>
      <c r="D45" s="25">
        <f>D42*C45</f>
        <v>-11.162556</v>
      </c>
      <c r="E45" s="25"/>
      <c r="F45" s="25">
        <f>C45</f>
        <v>-0.08</v>
      </c>
      <c r="G45" s="25">
        <f>G42*F45</f>
        <v>-11.222555999999999</v>
      </c>
      <c r="H45" s="25">
        <f t="shared" si="1"/>
        <v>-5.9999999999998721E-2</v>
      </c>
      <c r="I45" s="43">
        <f t="shared" si="2"/>
        <v>5.3751130117509569E-3</v>
      </c>
      <c r="J45" s="43">
        <f t="shared" si="10"/>
        <v>-7.6190476190476197E-2</v>
      </c>
      <c r="K45" s="44"/>
    </row>
    <row r="46" spans="1:11" s="1" customFormat="1" ht="13.5" thickBot="1" x14ac:dyDescent="0.25">
      <c r="A46" s="47" t="s">
        <v>111</v>
      </c>
      <c r="B46" s="48"/>
      <c r="C46" s="49"/>
      <c r="D46" s="49">
        <f>SUM(D44:D45)</f>
        <v>146.50854749999999</v>
      </c>
      <c r="E46" s="49"/>
      <c r="F46" s="49"/>
      <c r="G46" s="49">
        <f>SUM(G44:G45)</f>
        <v>147.29604749999999</v>
      </c>
      <c r="H46" s="49">
        <f t="shared" si="1"/>
        <v>0.78749999999999432</v>
      </c>
      <c r="I46" s="50">
        <f t="shared" si="2"/>
        <v>5.3751130117510332E-3</v>
      </c>
      <c r="J46" s="50">
        <f t="shared" si="10"/>
        <v>1</v>
      </c>
      <c r="K46" s="51"/>
    </row>
    <row r="47" spans="1:11" x14ac:dyDescent="0.2">
      <c r="A47" s="52" t="s">
        <v>112</v>
      </c>
      <c r="B47" s="53"/>
      <c r="C47" s="54"/>
      <c r="D47" s="54">
        <f>SUM(D18,D25,D26,D28,D33,D40,D41)</f>
        <v>142.71362250000001</v>
      </c>
      <c r="E47" s="54"/>
      <c r="F47" s="54"/>
      <c r="G47" s="54">
        <f>SUM(G18,G25,G26,G28,G33,G40,G41)</f>
        <v>143.46362250000001</v>
      </c>
      <c r="H47" s="54">
        <f>G47-D47</f>
        <v>0.75</v>
      </c>
      <c r="I47" s="55">
        <f>IF(ISERROR(H47/D47),0,(H47/D47))</f>
        <v>5.2552796773132149E-3</v>
      </c>
      <c r="J47" s="55"/>
      <c r="K47" s="56">
        <f>G47/$G$51</f>
        <v>0.95238095238095233</v>
      </c>
    </row>
    <row r="48" spans="1:11" x14ac:dyDescent="0.2">
      <c r="A48" s="57" t="s">
        <v>108</v>
      </c>
      <c r="B48" s="58"/>
      <c r="C48" s="30">
        <v>0.13</v>
      </c>
      <c r="D48" s="30">
        <f>D47*C48</f>
        <v>18.552770925000001</v>
      </c>
      <c r="E48" s="30"/>
      <c r="F48" s="30">
        <f>C48</f>
        <v>0.13</v>
      </c>
      <c r="G48" s="30">
        <f>G47*F48</f>
        <v>18.650270925000001</v>
      </c>
      <c r="H48" s="30">
        <f>G48-D48</f>
        <v>9.7500000000000142E-2</v>
      </c>
      <c r="I48" s="31">
        <f>IF(ISERROR(H48/D48),0,(H48/D48))</f>
        <v>5.2552796773132227E-3</v>
      </c>
      <c r="J48" s="31"/>
      <c r="K48" s="59">
        <f>G48/$G$51</f>
        <v>0.1238095238095238</v>
      </c>
    </row>
    <row r="49" spans="1:11" x14ac:dyDescent="0.2">
      <c r="A49" s="60" t="s">
        <v>113</v>
      </c>
      <c r="B49" s="28"/>
      <c r="C49" s="29"/>
      <c r="D49" s="29">
        <f>SUM(D47:D48)</f>
        <v>161.26639342500002</v>
      </c>
      <c r="E49" s="29"/>
      <c r="F49" s="29"/>
      <c r="G49" s="29">
        <f>SUM(G47:G48)</f>
        <v>162.11389342500001</v>
      </c>
      <c r="H49" s="29">
        <f>G49-D49</f>
        <v>0.84749999999999659</v>
      </c>
      <c r="I49" s="32">
        <f>IF(ISERROR(H49/D49),0,(H49/D49))</f>
        <v>5.2552796773131932E-3</v>
      </c>
      <c r="J49" s="32"/>
      <c r="K49" s="61">
        <f>G49/$G$51</f>
        <v>1.0761904761904761</v>
      </c>
    </row>
    <row r="50" spans="1:11" x14ac:dyDescent="0.2">
      <c r="A50" s="57" t="s">
        <v>110</v>
      </c>
      <c r="B50" s="58"/>
      <c r="C50" s="30">
        <v>-0.08</v>
      </c>
      <c r="D50" s="30">
        <f>D47*C50</f>
        <v>-11.417089800000001</v>
      </c>
      <c r="E50" s="30"/>
      <c r="F50" s="30">
        <f>C50</f>
        <v>-0.08</v>
      </c>
      <c r="G50" s="30">
        <f>G47*F50</f>
        <v>-11.477089800000002</v>
      </c>
      <c r="H50" s="30">
        <f>G50-D50</f>
        <v>-6.0000000000000497E-2</v>
      </c>
      <c r="I50" s="31">
        <f>IF(ISERROR(H50/D50),0,(H50/D50))</f>
        <v>5.2552796773132583E-3</v>
      </c>
      <c r="J50" s="31"/>
      <c r="K50" s="59">
        <f>G50/$G$51</f>
        <v>-7.6190476190476183E-2</v>
      </c>
    </row>
    <row r="51" spans="1:11" ht="13.5" thickBot="1" x14ac:dyDescent="0.25">
      <c r="A51" s="62" t="s">
        <v>114</v>
      </c>
      <c r="B51" s="63"/>
      <c r="C51" s="64"/>
      <c r="D51" s="64">
        <f>SUM(D49:D50)</f>
        <v>149.849303625</v>
      </c>
      <c r="E51" s="64"/>
      <c r="F51" s="64"/>
      <c r="G51" s="64">
        <f>SUM(G49:G50)</f>
        <v>150.63680362500003</v>
      </c>
      <c r="H51" s="64">
        <f>G51-D51</f>
        <v>0.78750000000002274</v>
      </c>
      <c r="I51" s="65">
        <f>IF(ISERROR(H51/D51),0,(H51/D51))</f>
        <v>5.2552796773133667E-3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1" tint="0.499984740745262"/>
    <pageSetUpPr fitToPage="1"/>
  </sheetPr>
  <dimension ref="A1:K68"/>
  <sheetViews>
    <sheetView tabSelected="1" topLeftCell="A22"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130</v>
      </c>
    </row>
    <row r="4" spans="1:11" x14ac:dyDescent="0.2">
      <c r="A4" s="14" t="s">
        <v>62</v>
      </c>
      <c r="B4" s="14">
        <v>750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600</v>
      </c>
    </row>
    <row r="8" spans="1:11" x14ac:dyDescent="0.2">
      <c r="A8" s="14" t="s">
        <v>82</v>
      </c>
      <c r="B8" s="149">
        <f>B4*B6</f>
        <v>792.75</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0.4397063242016096</v>
      </c>
      <c r="K12" s="105"/>
    </row>
    <row r="13" spans="1:11" x14ac:dyDescent="0.2">
      <c r="A13" s="106" t="s">
        <v>32</v>
      </c>
      <c r="B13" s="72">
        <f>IF(B4&gt;B7,(B4)-B7,0)</f>
        <v>150</v>
      </c>
      <c r="C13" s="20">
        <v>0.121</v>
      </c>
      <c r="D13" s="21">
        <f>B13*C13</f>
        <v>18.149999999999999</v>
      </c>
      <c r="E13" s="72">
        <f t="shared" ref="E13" si="0">B13</f>
        <v>150</v>
      </c>
      <c r="F13" s="20">
        <f>C13</f>
        <v>0.121</v>
      </c>
      <c r="G13" s="21">
        <f>E13*F13</f>
        <v>18.149999999999999</v>
      </c>
      <c r="H13" s="21">
        <f t="shared" ref="H13:H46" si="1">G13-D13</f>
        <v>0</v>
      </c>
      <c r="I13" s="22">
        <f t="shared" ref="I13:I46" si="2">IF(ISERROR(H13/D13),0,(H13/D13))</f>
        <v>0</v>
      </c>
      <c r="J13" s="22">
        <f>G13/$G$46</f>
        <v>0.12913705152523</v>
      </c>
      <c r="K13" s="107"/>
    </row>
    <row r="14" spans="1:11" s="1" customFormat="1" x14ac:dyDescent="0.2">
      <c r="A14" s="45" t="s">
        <v>33</v>
      </c>
      <c r="B14" s="23"/>
      <c r="C14" s="24"/>
      <c r="D14" s="24">
        <f>SUM(D12:D13)</f>
        <v>79.949999999999989</v>
      </c>
      <c r="E14" s="75"/>
      <c r="F14" s="24"/>
      <c r="G14" s="24">
        <f>SUM(G12:G13)</f>
        <v>79.949999999999989</v>
      </c>
      <c r="H14" s="24">
        <f t="shared" si="1"/>
        <v>0</v>
      </c>
      <c r="I14" s="26">
        <f t="shared" si="2"/>
        <v>0</v>
      </c>
      <c r="J14" s="26">
        <f>G14/$G$46</f>
        <v>0.56884337572683952</v>
      </c>
      <c r="K14" s="107"/>
    </row>
    <row r="15" spans="1:11" s="1" customFormat="1" x14ac:dyDescent="0.2">
      <c r="A15" s="108" t="s">
        <v>34</v>
      </c>
      <c r="B15" s="74">
        <f>B4*0.65</f>
        <v>487.5</v>
      </c>
      <c r="C15" s="27">
        <v>8.6999999999999994E-2</v>
      </c>
      <c r="D15" s="21">
        <f>B15*C15</f>
        <v>42.412499999999994</v>
      </c>
      <c r="E15" s="72">
        <f t="shared" ref="E15:F17" si="3">B15</f>
        <v>487.5</v>
      </c>
      <c r="F15" s="27">
        <f t="shared" si="3"/>
        <v>8.6999999999999994E-2</v>
      </c>
      <c r="G15" s="21">
        <f>E15*F15</f>
        <v>42.412499999999994</v>
      </c>
      <c r="H15" s="21">
        <f t="shared" si="1"/>
        <v>0</v>
      </c>
      <c r="I15" s="22">
        <f t="shared" si="2"/>
        <v>0</v>
      </c>
      <c r="J15" s="22"/>
      <c r="K15" s="107">
        <f t="shared" ref="K15:K41" si="4">G15/$G$51</f>
        <v>0.29475823456580397</v>
      </c>
    </row>
    <row r="16" spans="1:11" s="1" customFormat="1" x14ac:dyDescent="0.2">
      <c r="A16" s="108" t="s">
        <v>35</v>
      </c>
      <c r="B16" s="74">
        <f>B4*0.17</f>
        <v>127.50000000000001</v>
      </c>
      <c r="C16" s="27">
        <v>0.13200000000000001</v>
      </c>
      <c r="D16" s="21">
        <f>B16*C16</f>
        <v>16.830000000000002</v>
      </c>
      <c r="E16" s="72">
        <f t="shared" si="3"/>
        <v>127.50000000000001</v>
      </c>
      <c r="F16" s="27">
        <f t="shared" si="3"/>
        <v>0.13200000000000001</v>
      </c>
      <c r="G16" s="21">
        <f>E16*F16</f>
        <v>16.830000000000002</v>
      </c>
      <c r="H16" s="21">
        <f t="shared" si="1"/>
        <v>0</v>
      </c>
      <c r="I16" s="22">
        <f t="shared" si="2"/>
        <v>0</v>
      </c>
      <c r="J16" s="22"/>
      <c r="K16" s="107">
        <f t="shared" si="4"/>
        <v>0.11696507132902995</v>
      </c>
    </row>
    <row r="17" spans="1:11" s="1" customFormat="1" x14ac:dyDescent="0.2">
      <c r="A17" s="108" t="s">
        <v>36</v>
      </c>
      <c r="B17" s="74">
        <f>B4*0.18</f>
        <v>135</v>
      </c>
      <c r="C17" s="27">
        <v>0.18</v>
      </c>
      <c r="D17" s="21">
        <f>B17*C17</f>
        <v>24.3</v>
      </c>
      <c r="E17" s="72">
        <f t="shared" si="3"/>
        <v>135</v>
      </c>
      <c r="F17" s="27">
        <f t="shared" si="3"/>
        <v>0.18</v>
      </c>
      <c r="G17" s="21">
        <f>E17*F17</f>
        <v>24.3</v>
      </c>
      <c r="H17" s="21">
        <f t="shared" si="1"/>
        <v>0</v>
      </c>
      <c r="I17" s="22">
        <f t="shared" si="2"/>
        <v>0</v>
      </c>
      <c r="J17" s="22"/>
      <c r="K17" s="107">
        <f t="shared" si="4"/>
        <v>0.1688800495125031</v>
      </c>
    </row>
    <row r="18" spans="1:11" s="1" customFormat="1" x14ac:dyDescent="0.2">
      <c r="A18" s="60" t="s">
        <v>37</v>
      </c>
      <c r="B18" s="28"/>
      <c r="C18" s="29"/>
      <c r="D18" s="29">
        <f>SUM(D15:D17)</f>
        <v>83.54249999999999</v>
      </c>
      <c r="E18" s="76"/>
      <c r="F18" s="29"/>
      <c r="G18" s="29">
        <f>SUM(G15:G17)</f>
        <v>83.54249999999999</v>
      </c>
      <c r="H18" s="30">
        <f t="shared" si="1"/>
        <v>0</v>
      </c>
      <c r="I18" s="31">
        <f t="shared" si="2"/>
        <v>0</v>
      </c>
      <c r="J18" s="32">
        <f t="shared" ref="J18:J24" si="5">G18/$G$46</f>
        <v>0.59440397394195743</v>
      </c>
      <c r="K18" s="61">
        <f t="shared" si="4"/>
        <v>0.58060335540733699</v>
      </c>
    </row>
    <row r="19" spans="1:11" x14ac:dyDescent="0.2">
      <c r="A19" s="106" t="s">
        <v>38</v>
      </c>
      <c r="B19" s="72">
        <v>1</v>
      </c>
      <c r="C19" s="77">
        <f>VLOOKUP($B$3,'Data for Bill Impacts'!$A$3:$Y$25,7,0)</f>
        <v>30.76</v>
      </c>
      <c r="D19" s="21">
        <f>B19*C19</f>
        <v>30.76</v>
      </c>
      <c r="E19" s="72">
        <f t="shared" ref="E19:E41" si="6">B19</f>
        <v>1</v>
      </c>
      <c r="F19" s="77">
        <f>VLOOKUP($B$3,'Data for Bill Impacts'!$A$3:$Y$25,17,0)</f>
        <v>31.6</v>
      </c>
      <c r="G19" s="21">
        <f>E19*F19</f>
        <v>31.6</v>
      </c>
      <c r="H19" s="21">
        <f t="shared" si="1"/>
        <v>0.83999999999999986</v>
      </c>
      <c r="I19" s="22">
        <f t="shared" si="2"/>
        <v>2.7308192457737315E-2</v>
      </c>
      <c r="J19" s="22">
        <f t="shared" si="5"/>
        <v>0.22483365444613052</v>
      </c>
      <c r="K19" s="107">
        <f t="shared" si="4"/>
        <v>0.21961356232901638</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750</v>
      </c>
      <c r="C23" s="77">
        <f>VLOOKUP($B$3,'Data for Bill Impacts'!$A$3:$Y$25,10,0)</f>
        <v>0</v>
      </c>
      <c r="D23" s="21">
        <f>B23*C23</f>
        <v>0</v>
      </c>
      <c r="E23" s="72">
        <f t="shared" si="6"/>
        <v>750</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750</v>
      </c>
      <c r="C24" s="77">
        <f>VLOOKUP($B$3,'Data for Bill Impacts'!$A$3:$Y$25,14,0)</f>
        <v>0</v>
      </c>
      <c r="D24" s="21">
        <f>B24*C24</f>
        <v>0</v>
      </c>
      <c r="E24" s="72">
        <f t="shared" si="6"/>
        <v>750</v>
      </c>
      <c r="F24" s="77">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30.76</v>
      </c>
      <c r="E25" s="72"/>
      <c r="F25" s="34"/>
      <c r="G25" s="34">
        <f>SUM(G19:G24)</f>
        <v>31.6</v>
      </c>
      <c r="H25" s="34">
        <f t="shared" si="1"/>
        <v>0.83999999999999986</v>
      </c>
      <c r="I25" s="35">
        <f t="shared" si="2"/>
        <v>2.7308192457737315E-2</v>
      </c>
      <c r="J25" s="35">
        <f>G25/$G$46</f>
        <v>0.22483365444613052</v>
      </c>
      <c r="K25" s="110">
        <f t="shared" si="4"/>
        <v>0.21961356232901638</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5.6208413611532624E-3</v>
      </c>
      <c r="K26" s="107">
        <f t="shared" si="4"/>
        <v>5.4903390582254101E-3</v>
      </c>
    </row>
    <row r="27" spans="1:11" s="1" customFormat="1" x14ac:dyDescent="0.2">
      <c r="A27" s="118" t="s">
        <v>75</v>
      </c>
      <c r="B27" s="119">
        <f>B8-B4</f>
        <v>42.75</v>
      </c>
      <c r="C27" s="120">
        <f>IF(B4&gt;B7,C13,C12)</f>
        <v>0.121</v>
      </c>
      <c r="D27" s="21">
        <f>B27*C27</f>
        <v>5.1727499999999997</v>
      </c>
      <c r="E27" s="72">
        <f>B27</f>
        <v>42.75</v>
      </c>
      <c r="F27" s="120">
        <f>C27</f>
        <v>0.121</v>
      </c>
      <c r="G27" s="21">
        <f>E27*F27</f>
        <v>5.1727499999999997</v>
      </c>
      <c r="H27" s="21">
        <f t="shared" si="1"/>
        <v>0</v>
      </c>
      <c r="I27" s="22">
        <f>IF(ISERROR(H27/D27),0,(H27/D27))</f>
        <v>0</v>
      </c>
      <c r="J27" s="22">
        <f t="shared" ref="J27:J46" si="9">G27/$G$46</f>
        <v>3.6804059684690554E-2</v>
      </c>
      <c r="K27" s="107">
        <f t="shared" si="4"/>
        <v>3.594955868789302E-2</v>
      </c>
    </row>
    <row r="28" spans="1:11" s="1" customFormat="1" x14ac:dyDescent="0.2">
      <c r="A28" s="118" t="s">
        <v>74</v>
      </c>
      <c r="B28" s="119">
        <f>B8-B4</f>
        <v>42.75</v>
      </c>
      <c r="C28" s="120">
        <f>0.65*C15+0.17*C16+0.18*C17</f>
        <v>0.11139</v>
      </c>
      <c r="D28" s="21">
        <f>B28*C28</f>
        <v>4.7619224999999998</v>
      </c>
      <c r="E28" s="72">
        <f>B28</f>
        <v>42.75</v>
      </c>
      <c r="F28" s="120">
        <f>C28</f>
        <v>0.11139</v>
      </c>
      <c r="G28" s="21">
        <f>E28*F28</f>
        <v>4.7619224999999998</v>
      </c>
      <c r="H28" s="21">
        <f t="shared" si="1"/>
        <v>0</v>
      </c>
      <c r="I28" s="22">
        <f>IF(ISERROR(H28/D28),0,(H28/D28))</f>
        <v>0</v>
      </c>
      <c r="J28" s="22">
        <f t="shared" si="9"/>
        <v>3.3881026514691576E-2</v>
      </c>
      <c r="K28" s="107">
        <f t="shared" si="4"/>
        <v>3.3094391258218211E-2</v>
      </c>
    </row>
    <row r="29" spans="1:11" s="1" customFormat="1" x14ac:dyDescent="0.2">
      <c r="A29" s="109" t="s">
        <v>78</v>
      </c>
      <c r="B29" s="73"/>
      <c r="C29" s="34"/>
      <c r="D29" s="34">
        <f>SUM(D25,D26:D27)</f>
        <v>36.722749999999998</v>
      </c>
      <c r="E29" s="72"/>
      <c r="F29" s="34"/>
      <c r="G29" s="34">
        <f>SUM(G25,G26:G27)</f>
        <v>37.562750000000001</v>
      </c>
      <c r="H29" s="34">
        <f t="shared" si="1"/>
        <v>0.84000000000000341</v>
      </c>
      <c r="I29" s="35">
        <f>IF(ISERROR(H29/D29),0,(H29/D29))</f>
        <v>2.2874103927402044E-2</v>
      </c>
      <c r="J29" s="35">
        <f t="shared" si="9"/>
        <v>0.2672585554919743</v>
      </c>
      <c r="K29" s="110">
        <f t="shared" si="4"/>
        <v>0.2610534600751348</v>
      </c>
    </row>
    <row r="30" spans="1:11" s="1" customFormat="1" x14ac:dyDescent="0.2">
      <c r="A30" s="109" t="s">
        <v>77</v>
      </c>
      <c r="B30" s="73"/>
      <c r="C30" s="34"/>
      <c r="D30" s="34">
        <f>SUM(D25,D26,D28)</f>
        <v>36.311922500000001</v>
      </c>
      <c r="E30" s="72"/>
      <c r="F30" s="34"/>
      <c r="G30" s="34">
        <f>SUM(G25,G26,G28)</f>
        <v>37.151922499999998</v>
      </c>
      <c r="H30" s="34">
        <f t="shared" si="1"/>
        <v>0.83999999999999631</v>
      </c>
      <c r="I30" s="35">
        <f>IF(ISERROR(H30/D30),0,(H30/D30))</f>
        <v>2.3132898017173182E-2</v>
      </c>
      <c r="J30" s="35">
        <f t="shared" si="9"/>
        <v>0.26433552232197532</v>
      </c>
      <c r="K30" s="110">
        <f t="shared" si="4"/>
        <v>0.25819829264546001</v>
      </c>
    </row>
    <row r="31" spans="1:11" x14ac:dyDescent="0.2">
      <c r="A31" s="106" t="s">
        <v>40</v>
      </c>
      <c r="B31" s="72">
        <f>B8</f>
        <v>792.75</v>
      </c>
      <c r="C31" s="125">
        <f>VLOOKUP($B$3,'Data for Bill Impacts'!$A$3:$Y$25,15,0)</f>
        <v>7.3000000000000001E-3</v>
      </c>
      <c r="D31" s="21">
        <f>B31*C31</f>
        <v>5.7870749999999997</v>
      </c>
      <c r="E31" s="72">
        <f t="shared" si="6"/>
        <v>792.75</v>
      </c>
      <c r="F31" s="77">
        <f>VLOOKUP($B$3,'Data for Bill Impacts'!$A$3:$Y$25,24,0)</f>
        <v>7.3000000000000001E-3</v>
      </c>
      <c r="G31" s="21">
        <f>E31*F31</f>
        <v>5.7870749999999997</v>
      </c>
      <c r="H31" s="21">
        <f t="shared" si="1"/>
        <v>0</v>
      </c>
      <c r="I31" s="22">
        <f t="shared" si="2"/>
        <v>0</v>
      </c>
      <c r="J31" s="22">
        <f t="shared" si="9"/>
        <v>4.117497534189369E-2</v>
      </c>
      <c r="K31" s="107">
        <f t="shared" si="4"/>
        <v>4.0218992285290897E-2</v>
      </c>
    </row>
    <row r="32" spans="1:11" x14ac:dyDescent="0.2">
      <c r="A32" s="106" t="s">
        <v>41</v>
      </c>
      <c r="B32" s="72">
        <f>B8</f>
        <v>792.75</v>
      </c>
      <c r="C32" s="125">
        <f>VLOOKUP($B$3,'Data for Bill Impacts'!$A$3:$Y$25,16,0)</f>
        <v>6.1999999999999998E-3</v>
      </c>
      <c r="D32" s="21">
        <f>B32*C32</f>
        <v>4.9150499999999999</v>
      </c>
      <c r="E32" s="72">
        <f t="shared" si="6"/>
        <v>792.75</v>
      </c>
      <c r="F32" s="77">
        <f>VLOOKUP($B$3,'Data for Bill Impacts'!$A$3:$Y$25,25,0)</f>
        <v>6.1999999999999998E-3</v>
      </c>
      <c r="G32" s="21">
        <f>E32*F32</f>
        <v>4.9150499999999999</v>
      </c>
      <c r="H32" s="21">
        <f t="shared" si="1"/>
        <v>0</v>
      </c>
      <c r="I32" s="22">
        <f t="shared" si="2"/>
        <v>0</v>
      </c>
      <c r="J32" s="22">
        <f t="shared" si="9"/>
        <v>3.4970527002704227E-2</v>
      </c>
      <c r="K32" s="107">
        <f t="shared" si="4"/>
        <v>3.4158596187507342E-2</v>
      </c>
    </row>
    <row r="33" spans="1:11" s="1" customFormat="1" x14ac:dyDescent="0.2">
      <c r="A33" s="109" t="s">
        <v>76</v>
      </c>
      <c r="B33" s="73"/>
      <c r="C33" s="34"/>
      <c r="D33" s="34">
        <f>SUM(D31:D32)</f>
        <v>10.702124999999999</v>
      </c>
      <c r="E33" s="72"/>
      <c r="F33" s="34"/>
      <c r="G33" s="34">
        <f>SUM(G31:G32)</f>
        <v>10.702124999999999</v>
      </c>
      <c r="H33" s="34">
        <f t="shared" si="1"/>
        <v>0</v>
      </c>
      <c r="I33" s="35">
        <f t="shared" si="2"/>
        <v>0</v>
      </c>
      <c r="J33" s="35">
        <f t="shared" si="9"/>
        <v>7.614550234459791E-2</v>
      </c>
      <c r="K33" s="110">
        <f t="shared" si="4"/>
        <v>7.4377588472798239E-2</v>
      </c>
    </row>
    <row r="34" spans="1:11" s="1" customFormat="1" x14ac:dyDescent="0.2">
      <c r="A34" s="109" t="s">
        <v>93</v>
      </c>
      <c r="B34" s="73"/>
      <c r="C34" s="34"/>
      <c r="D34" s="34">
        <f>D29+D33</f>
        <v>47.424875</v>
      </c>
      <c r="E34" s="72"/>
      <c r="F34" s="34"/>
      <c r="G34" s="34">
        <f>G29+G33</f>
        <v>48.264875000000004</v>
      </c>
      <c r="H34" s="34">
        <f t="shared" si="1"/>
        <v>0.84000000000000341</v>
      </c>
      <c r="I34" s="35">
        <f t="shared" si="2"/>
        <v>1.7712223806599457E-2</v>
      </c>
      <c r="J34" s="35">
        <f t="shared" si="9"/>
        <v>0.34340405783657224</v>
      </c>
      <c r="K34" s="110">
        <f t="shared" si="4"/>
        <v>0.3354310485479331</v>
      </c>
    </row>
    <row r="35" spans="1:11" s="1" customFormat="1" x14ac:dyDescent="0.2">
      <c r="A35" s="109" t="s">
        <v>94</v>
      </c>
      <c r="B35" s="73"/>
      <c r="C35" s="34"/>
      <c r="D35" s="34">
        <f>D30+D33</f>
        <v>47.014047500000004</v>
      </c>
      <c r="E35" s="72"/>
      <c r="F35" s="34"/>
      <c r="G35" s="34">
        <f>G30+G33</f>
        <v>47.854047499999993</v>
      </c>
      <c r="H35" s="34">
        <f t="shared" si="1"/>
        <v>0.8399999999999892</v>
      </c>
      <c r="I35" s="35">
        <f t="shared" si="2"/>
        <v>1.7867000283266168E-2</v>
      </c>
      <c r="J35" s="35">
        <f t="shared" si="9"/>
        <v>0.34048102466657321</v>
      </c>
      <c r="K35" s="110">
        <f t="shared" si="4"/>
        <v>0.3325758811182582</v>
      </c>
    </row>
    <row r="36" spans="1:11" x14ac:dyDescent="0.2">
      <c r="A36" s="106" t="s">
        <v>42</v>
      </c>
      <c r="B36" s="72">
        <f>B8</f>
        <v>792.75</v>
      </c>
      <c r="C36" s="33">
        <v>3.5999999999999999E-3</v>
      </c>
      <c r="D36" s="21">
        <f>B36*C36</f>
        <v>2.8538999999999999</v>
      </c>
      <c r="E36" s="72">
        <f t="shared" si="6"/>
        <v>792.75</v>
      </c>
      <c r="F36" s="33">
        <v>3.5999999999999999E-3</v>
      </c>
      <c r="G36" s="21">
        <f>E36*F36</f>
        <v>2.8538999999999999</v>
      </c>
      <c r="H36" s="21">
        <f t="shared" si="1"/>
        <v>0</v>
      </c>
      <c r="I36" s="22">
        <f t="shared" si="2"/>
        <v>0</v>
      </c>
      <c r="J36" s="22">
        <f t="shared" si="9"/>
        <v>2.0305467291892778E-2</v>
      </c>
      <c r="K36" s="107">
        <f t="shared" si="4"/>
        <v>1.9834023592746199E-2</v>
      </c>
    </row>
    <row r="37" spans="1:11" x14ac:dyDescent="0.2">
      <c r="A37" s="106" t="s">
        <v>43</v>
      </c>
      <c r="B37" s="72">
        <f>B8</f>
        <v>792.75</v>
      </c>
      <c r="C37" s="33">
        <v>2.0999999999999999E-3</v>
      </c>
      <c r="D37" s="21">
        <f>B37*C37</f>
        <v>1.6647749999999999</v>
      </c>
      <c r="E37" s="72">
        <f t="shared" si="6"/>
        <v>792.75</v>
      </c>
      <c r="F37" s="33">
        <v>2.0999999999999999E-3</v>
      </c>
      <c r="G37" s="21">
        <f>E37*F37</f>
        <v>1.6647749999999999</v>
      </c>
      <c r="H37" s="21">
        <f>G37-D37</f>
        <v>0</v>
      </c>
      <c r="I37" s="22">
        <f t="shared" si="2"/>
        <v>0</v>
      </c>
      <c r="J37" s="22">
        <f t="shared" si="9"/>
        <v>1.1844855920270786E-2</v>
      </c>
      <c r="K37" s="107">
        <f t="shared" si="4"/>
        <v>1.1569847095768615E-2</v>
      </c>
    </row>
    <row r="38" spans="1:11" x14ac:dyDescent="0.2">
      <c r="A38" s="106" t="s">
        <v>99</v>
      </c>
      <c r="B38" s="72">
        <f>B8</f>
        <v>792.75</v>
      </c>
      <c r="C38" s="33">
        <v>1.1000000000000001E-3</v>
      </c>
      <c r="D38" s="21">
        <f>B38*C38</f>
        <v>0.87202500000000005</v>
      </c>
      <c r="E38" s="72">
        <f t="shared" si="6"/>
        <v>792.75</v>
      </c>
      <c r="F38" s="33">
        <v>1.1000000000000001E-3</v>
      </c>
      <c r="G38" s="21">
        <f>E38*F38</f>
        <v>0.87202500000000005</v>
      </c>
      <c r="H38" s="21">
        <f>G38-D38</f>
        <v>0</v>
      </c>
      <c r="I38" s="22">
        <f t="shared" si="2"/>
        <v>0</v>
      </c>
      <c r="J38" s="22">
        <f t="shared" si="9"/>
        <v>6.2044483391894608E-3</v>
      </c>
      <c r="K38" s="107">
        <f t="shared" si="4"/>
        <v>6.0603960977835608E-3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1.7787472661877411E-3</v>
      </c>
      <c r="K39" s="107">
        <f t="shared" si="4"/>
        <v>1.737449069058674E-3</v>
      </c>
    </row>
    <row r="40" spans="1:11" s="1" customFormat="1" x14ac:dyDescent="0.2">
      <c r="A40" s="109" t="s">
        <v>45</v>
      </c>
      <c r="B40" s="73"/>
      <c r="C40" s="34"/>
      <c r="D40" s="34">
        <f>SUM(D36:D39)</f>
        <v>5.6406999999999998</v>
      </c>
      <c r="E40" s="72"/>
      <c r="F40" s="34"/>
      <c r="G40" s="34">
        <f>SUM(G36:G39)</f>
        <v>5.6406999999999998</v>
      </c>
      <c r="H40" s="34">
        <f t="shared" si="1"/>
        <v>0</v>
      </c>
      <c r="I40" s="35">
        <f t="shared" si="2"/>
        <v>0</v>
      </c>
      <c r="J40" s="35">
        <f t="shared" si="9"/>
        <v>4.0133518817540764E-2</v>
      </c>
      <c r="K40" s="110">
        <f t="shared" si="4"/>
        <v>3.9201715855357047E-2</v>
      </c>
    </row>
    <row r="41" spans="1:11" s="1" customFormat="1" ht="13.5" thickBot="1" x14ac:dyDescent="0.25">
      <c r="A41" s="111" t="s">
        <v>46</v>
      </c>
      <c r="B41" s="112">
        <f>B4</f>
        <v>750</v>
      </c>
      <c r="C41" s="113">
        <v>0</v>
      </c>
      <c r="D41" s="114">
        <f>B41*C41</f>
        <v>0</v>
      </c>
      <c r="E41" s="115">
        <f t="shared" si="6"/>
        <v>750</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133.01557499999998</v>
      </c>
      <c r="E42" s="37"/>
      <c r="F42" s="38"/>
      <c r="G42" s="38">
        <f>SUM(G14,G25,G26,G27,G33,G40,G41)</f>
        <v>133.85557499999999</v>
      </c>
      <c r="H42" s="38">
        <f t="shared" si="1"/>
        <v>0.84000000000000341</v>
      </c>
      <c r="I42" s="39">
        <f>IF(ISERROR(H42/D42),0,(H42/D42))</f>
        <v>6.3150499480982098E-3</v>
      </c>
      <c r="J42" s="39">
        <f t="shared" si="9"/>
        <v>0.95238095238095255</v>
      </c>
      <c r="K42" s="40"/>
    </row>
    <row r="43" spans="1:11" x14ac:dyDescent="0.2">
      <c r="A43" s="143" t="s">
        <v>108</v>
      </c>
      <c r="B43" s="42"/>
      <c r="C43" s="25">
        <v>0.13</v>
      </c>
      <c r="D43" s="25">
        <f>D42*C43</f>
        <v>17.29202475</v>
      </c>
      <c r="E43" s="25"/>
      <c r="F43" s="25">
        <f>C43</f>
        <v>0.13</v>
      </c>
      <c r="G43" s="25">
        <f>G42*F43</f>
        <v>17.401224749999997</v>
      </c>
      <c r="H43" s="25">
        <f t="shared" si="1"/>
        <v>0.10919999999999774</v>
      </c>
      <c r="I43" s="43">
        <f t="shared" si="2"/>
        <v>6.3150499480980529E-3</v>
      </c>
      <c r="J43" s="43">
        <f t="shared" si="9"/>
        <v>0.12380952380952383</v>
      </c>
      <c r="K43" s="44"/>
    </row>
    <row r="44" spans="1:11" s="1" customFormat="1" x14ac:dyDescent="0.2">
      <c r="A44" s="45" t="s">
        <v>109</v>
      </c>
      <c r="B44" s="23"/>
      <c r="C44" s="24"/>
      <c r="D44" s="24">
        <f>SUM(D42:D43)</f>
        <v>150.30759974999998</v>
      </c>
      <c r="E44" s="24"/>
      <c r="F44" s="24"/>
      <c r="G44" s="24">
        <f>SUM(G42:G43)</f>
        <v>151.25679974999997</v>
      </c>
      <c r="H44" s="24">
        <f t="shared" si="1"/>
        <v>0.9491999999999905</v>
      </c>
      <c r="I44" s="26">
        <f t="shared" si="2"/>
        <v>6.3150499480981205E-3</v>
      </c>
      <c r="J44" s="26">
        <f t="shared" si="9"/>
        <v>1.0761904761904764</v>
      </c>
      <c r="K44" s="46"/>
    </row>
    <row r="45" spans="1:11" x14ac:dyDescent="0.2">
      <c r="A45" s="41" t="s">
        <v>110</v>
      </c>
      <c r="B45" s="42"/>
      <c r="C45" s="25">
        <v>-0.08</v>
      </c>
      <c r="D45" s="25">
        <f>D42*C45</f>
        <v>-10.641245999999999</v>
      </c>
      <c r="E45" s="25"/>
      <c r="F45" s="25">
        <f>C45</f>
        <v>-0.08</v>
      </c>
      <c r="G45" s="25">
        <f>G42*F45</f>
        <v>-10.708445999999999</v>
      </c>
      <c r="H45" s="25">
        <f t="shared" si="1"/>
        <v>-6.7199999999999704E-2</v>
      </c>
      <c r="I45" s="43">
        <f t="shared" si="2"/>
        <v>6.3150499480981561E-3</v>
      </c>
      <c r="J45" s="43">
        <f t="shared" si="9"/>
        <v>-7.6190476190476197E-2</v>
      </c>
      <c r="K45" s="44"/>
    </row>
    <row r="46" spans="1:11" s="1" customFormat="1" ht="13.5" thickBot="1" x14ac:dyDescent="0.25">
      <c r="A46" s="47" t="s">
        <v>111</v>
      </c>
      <c r="B46" s="48"/>
      <c r="C46" s="49"/>
      <c r="D46" s="49">
        <f>SUM(D44:D45)</f>
        <v>139.66635374999998</v>
      </c>
      <c r="E46" s="49"/>
      <c r="F46" s="49"/>
      <c r="G46" s="49">
        <f>SUM(G44:G45)</f>
        <v>140.54835374999996</v>
      </c>
      <c r="H46" s="49">
        <f t="shared" si="1"/>
        <v>0.88199999999997658</v>
      </c>
      <c r="I46" s="50">
        <f t="shared" si="2"/>
        <v>6.3150499480980164E-3</v>
      </c>
      <c r="J46" s="50">
        <f t="shared" si="9"/>
        <v>1</v>
      </c>
      <c r="K46" s="51"/>
    </row>
    <row r="47" spans="1:11" x14ac:dyDescent="0.2">
      <c r="A47" s="52" t="s">
        <v>112</v>
      </c>
      <c r="B47" s="53"/>
      <c r="C47" s="54"/>
      <c r="D47" s="54">
        <f>SUM(D18,D25,D26,D28,D33,D40,D41)</f>
        <v>136.1972475</v>
      </c>
      <c r="E47" s="54"/>
      <c r="F47" s="54"/>
      <c r="G47" s="54">
        <f>SUM(G18,G25,G26,G28,G33,G40,G41)</f>
        <v>137.03724750000001</v>
      </c>
      <c r="H47" s="54">
        <f>G47-D47</f>
        <v>0.84000000000000341</v>
      </c>
      <c r="I47" s="55">
        <f>IF(ISERROR(H47/D47),0,(H47/D47))</f>
        <v>6.1675255221292444E-3</v>
      </c>
      <c r="J47" s="55"/>
      <c r="K47" s="56">
        <f>G47/$G$51</f>
        <v>0.95238095238095244</v>
      </c>
    </row>
    <row r="48" spans="1:11" x14ac:dyDescent="0.2">
      <c r="A48" s="57" t="s">
        <v>108</v>
      </c>
      <c r="B48" s="58"/>
      <c r="C48" s="30">
        <v>0.13</v>
      </c>
      <c r="D48" s="30">
        <f>D47*C48</f>
        <v>17.705642175000001</v>
      </c>
      <c r="E48" s="30"/>
      <c r="F48" s="30">
        <f>C48</f>
        <v>0.13</v>
      </c>
      <c r="G48" s="30">
        <f>G47*F48</f>
        <v>17.814842175000003</v>
      </c>
      <c r="H48" s="30">
        <f>G48-D48</f>
        <v>0.1092000000000013</v>
      </c>
      <c r="I48" s="31">
        <f>IF(ISERROR(H48/D48),0,(H48/D48))</f>
        <v>6.1675255221292921E-3</v>
      </c>
      <c r="J48" s="31"/>
      <c r="K48" s="59">
        <f>G48/$G$51</f>
        <v>0.12380952380952383</v>
      </c>
    </row>
    <row r="49" spans="1:11" x14ac:dyDescent="0.2">
      <c r="A49" s="60" t="s">
        <v>113</v>
      </c>
      <c r="B49" s="28"/>
      <c r="C49" s="29"/>
      <c r="D49" s="29">
        <f>SUM(D47:D48)</f>
        <v>153.90288967500001</v>
      </c>
      <c r="E49" s="29"/>
      <c r="F49" s="29"/>
      <c r="G49" s="29">
        <f>SUM(G47:G48)</f>
        <v>154.852089675</v>
      </c>
      <c r="H49" s="29">
        <f>G49-D49</f>
        <v>0.9491999999999905</v>
      </c>
      <c r="I49" s="32">
        <f>IF(ISERROR(H49/D49),0,(H49/D49))</f>
        <v>6.1675255221291568E-3</v>
      </c>
      <c r="J49" s="32"/>
      <c r="K49" s="61">
        <f>G49/$G$51</f>
        <v>1.0761904761904761</v>
      </c>
    </row>
    <row r="50" spans="1:11" x14ac:dyDescent="0.2">
      <c r="A50" s="57" t="s">
        <v>110</v>
      </c>
      <c r="B50" s="58"/>
      <c r="C50" s="30">
        <v>-0.08</v>
      </c>
      <c r="D50" s="30">
        <f>D47*C50</f>
        <v>-10.8957798</v>
      </c>
      <c r="E50" s="30"/>
      <c r="F50" s="30">
        <f>C50</f>
        <v>-0.08</v>
      </c>
      <c r="G50" s="30">
        <f>G47*F50</f>
        <v>-10.962979800000001</v>
      </c>
      <c r="H50" s="30">
        <f>G50-D50</f>
        <v>-6.7200000000001481E-2</v>
      </c>
      <c r="I50" s="31">
        <f>IF(ISERROR(H50/D50),0,(H50/D50))</f>
        <v>6.1675255221293555E-3</v>
      </c>
      <c r="J50" s="31"/>
      <c r="K50" s="59">
        <f>G50/$G$51</f>
        <v>-7.6190476190476197E-2</v>
      </c>
    </row>
    <row r="51" spans="1:11" ht="13.5" thickBot="1" x14ac:dyDescent="0.25">
      <c r="A51" s="62" t="s">
        <v>114</v>
      </c>
      <c r="B51" s="63"/>
      <c r="C51" s="64"/>
      <c r="D51" s="64">
        <f>SUM(D49:D50)</f>
        <v>143.00710987500003</v>
      </c>
      <c r="E51" s="64"/>
      <c r="F51" s="64"/>
      <c r="G51" s="64">
        <f>SUM(G49:G50)</f>
        <v>143.889109875</v>
      </c>
      <c r="H51" s="64">
        <f>G51-D51</f>
        <v>0.88199999999997658</v>
      </c>
      <c r="I51" s="65">
        <f>IF(ISERROR(H51/D51),0,(H51/D51))</f>
        <v>6.1675255221290545E-3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1" tint="0.499984740745262"/>
    <pageSetUpPr fitToPage="1"/>
  </sheetPr>
  <dimension ref="A1:K68"/>
  <sheetViews>
    <sheetView tabSelected="1" topLeftCell="A28" zoomScale="110" zoomScaleNormal="11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130</v>
      </c>
    </row>
    <row r="4" spans="1:11" x14ac:dyDescent="0.2">
      <c r="A4" s="14" t="s">
        <v>62</v>
      </c>
      <c r="B4" s="78">
        <f>VLOOKUP($B$3,'Data for Bill Impacts_HONI Avg '!$A$2:$F$21,3,FALSE)</f>
        <v>505</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600</v>
      </c>
    </row>
    <row r="8" spans="1:11" x14ac:dyDescent="0.2">
      <c r="A8" s="14" t="s">
        <v>82</v>
      </c>
      <c r="B8" s="149">
        <f>B4*B6</f>
        <v>533.78499999999997</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505</v>
      </c>
      <c r="C12" s="102">
        <v>0.10299999999999999</v>
      </c>
      <c r="D12" s="103">
        <f>B12*C12</f>
        <v>52.015000000000001</v>
      </c>
      <c r="E12" s="101">
        <f>B12</f>
        <v>505</v>
      </c>
      <c r="F12" s="102">
        <f>C12</f>
        <v>0.10299999999999999</v>
      </c>
      <c r="G12" s="103">
        <f>E12*F12</f>
        <v>52.015000000000001</v>
      </c>
      <c r="H12" s="103">
        <f>G12-D12</f>
        <v>0</v>
      </c>
      <c r="I12" s="104">
        <f>IF(ISERROR(H12/D12),0,(H12/D12))</f>
        <v>0</v>
      </c>
      <c r="J12" s="104">
        <f>G12/$G$46</f>
        <v>0.50315116359978429</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52.015000000000001</v>
      </c>
      <c r="E14" s="75"/>
      <c r="F14" s="24"/>
      <c r="G14" s="24">
        <f>SUM(G12:G13)</f>
        <v>52.015000000000001</v>
      </c>
      <c r="H14" s="24">
        <f t="shared" si="1"/>
        <v>0</v>
      </c>
      <c r="I14" s="26">
        <f t="shared" si="2"/>
        <v>0</v>
      </c>
      <c r="J14" s="26">
        <f>G14/$G$46</f>
        <v>0.50315116359978429</v>
      </c>
      <c r="K14" s="107"/>
    </row>
    <row r="15" spans="1:11" s="1" customFormat="1" x14ac:dyDescent="0.2">
      <c r="A15" s="108" t="s">
        <v>34</v>
      </c>
      <c r="B15" s="74">
        <f>B4*0.65</f>
        <v>328.25</v>
      </c>
      <c r="C15" s="27">
        <v>8.6999999999999994E-2</v>
      </c>
      <c r="D15" s="21">
        <f>B15*C15</f>
        <v>28.557749999999999</v>
      </c>
      <c r="E15" s="72">
        <f t="shared" ref="E15:F17" si="3">B15</f>
        <v>328.25</v>
      </c>
      <c r="F15" s="27">
        <f t="shared" si="3"/>
        <v>8.6999999999999994E-2</v>
      </c>
      <c r="G15" s="21">
        <f>E15*F15</f>
        <v>28.557749999999999</v>
      </c>
      <c r="H15" s="21">
        <f t="shared" si="1"/>
        <v>0</v>
      </c>
      <c r="I15" s="22">
        <f t="shared" si="2"/>
        <v>0</v>
      </c>
      <c r="J15" s="22"/>
      <c r="K15" s="107">
        <f t="shared" ref="K15:K41" si="4">G15/$G$51</f>
        <v>0.26422579899881204</v>
      </c>
    </row>
    <row r="16" spans="1:11" s="1" customFormat="1" x14ac:dyDescent="0.2">
      <c r="A16" s="108" t="s">
        <v>35</v>
      </c>
      <c r="B16" s="74">
        <f>B4*0.17</f>
        <v>85.850000000000009</v>
      </c>
      <c r="C16" s="27">
        <v>0.13200000000000001</v>
      </c>
      <c r="D16" s="21">
        <f>B16*C16</f>
        <v>11.332200000000002</v>
      </c>
      <c r="E16" s="72">
        <f t="shared" si="3"/>
        <v>85.850000000000009</v>
      </c>
      <c r="F16" s="27">
        <f t="shared" si="3"/>
        <v>0.13200000000000001</v>
      </c>
      <c r="G16" s="21">
        <f>E16*F16</f>
        <v>11.332200000000002</v>
      </c>
      <c r="H16" s="21">
        <f t="shared" si="1"/>
        <v>0</v>
      </c>
      <c r="I16" s="22">
        <f t="shared" si="2"/>
        <v>0</v>
      </c>
      <c r="J16" s="22"/>
      <c r="K16" s="107">
        <f t="shared" si="4"/>
        <v>0.10484928257353393</v>
      </c>
    </row>
    <row r="17" spans="1:11" s="1" customFormat="1" x14ac:dyDescent="0.2">
      <c r="A17" s="108" t="s">
        <v>36</v>
      </c>
      <c r="B17" s="74">
        <f>B4*0.18</f>
        <v>90.899999999999991</v>
      </c>
      <c r="C17" s="27">
        <v>0.18</v>
      </c>
      <c r="D17" s="21">
        <f>B17*C17</f>
        <v>16.361999999999998</v>
      </c>
      <c r="E17" s="72">
        <f t="shared" si="3"/>
        <v>90.899999999999991</v>
      </c>
      <c r="F17" s="27">
        <f t="shared" si="3"/>
        <v>0.18</v>
      </c>
      <c r="G17" s="21">
        <f>E17*F17</f>
        <v>16.361999999999998</v>
      </c>
      <c r="H17" s="21">
        <f t="shared" si="1"/>
        <v>0</v>
      </c>
      <c r="I17" s="22">
        <f t="shared" si="2"/>
        <v>0</v>
      </c>
      <c r="J17" s="22"/>
      <c r="K17" s="107">
        <f t="shared" si="4"/>
        <v>0.15138666467836445</v>
      </c>
    </row>
    <row r="18" spans="1:11" s="1" customFormat="1" x14ac:dyDescent="0.2">
      <c r="A18" s="60" t="s">
        <v>37</v>
      </c>
      <c r="B18" s="28"/>
      <c r="C18" s="29"/>
      <c r="D18" s="29">
        <f>SUM(D15:D17)</f>
        <v>56.251949999999994</v>
      </c>
      <c r="E18" s="76"/>
      <c r="F18" s="29"/>
      <c r="G18" s="29">
        <f>SUM(G15:G17)</f>
        <v>56.251949999999994</v>
      </c>
      <c r="H18" s="30">
        <f t="shared" si="1"/>
        <v>0</v>
      </c>
      <c r="I18" s="31">
        <f t="shared" si="2"/>
        <v>0</v>
      </c>
      <c r="J18" s="32">
        <f t="shared" ref="J18:J24" si="5">G18/$G$46</f>
        <v>0.54413600110077642</v>
      </c>
      <c r="K18" s="61">
        <f t="shared" si="4"/>
        <v>0.5204617462507104</v>
      </c>
    </row>
    <row r="19" spans="1:11" x14ac:dyDescent="0.2">
      <c r="A19" s="106" t="s">
        <v>38</v>
      </c>
      <c r="B19" s="72">
        <v>1</v>
      </c>
      <c r="C19" s="77">
        <f>VLOOKUP($B$3,'Data for Bill Impacts'!$A$3:$Y$25,7,0)</f>
        <v>30.76</v>
      </c>
      <c r="D19" s="21">
        <f>B19*C19</f>
        <v>30.76</v>
      </c>
      <c r="E19" s="72">
        <f t="shared" ref="E19:E41" si="6">B19</f>
        <v>1</v>
      </c>
      <c r="F19" s="77">
        <f>VLOOKUP($B$3,'Data for Bill Impacts'!$A$3:$Y$25,17,0)</f>
        <v>31.6</v>
      </c>
      <c r="G19" s="21">
        <f>E19*F19</f>
        <v>31.6</v>
      </c>
      <c r="H19" s="21">
        <f t="shared" si="1"/>
        <v>0.83999999999999986</v>
      </c>
      <c r="I19" s="22">
        <f t="shared" si="2"/>
        <v>2.7308192457737315E-2</v>
      </c>
      <c r="J19" s="22">
        <f t="shared" si="5"/>
        <v>0.30567291684616332</v>
      </c>
      <c r="K19" s="107">
        <f t="shared" si="4"/>
        <v>0.29237370760520215</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505</v>
      </c>
      <c r="C23" s="77">
        <f>VLOOKUP($B$3,'Data for Bill Impacts'!$A$3:$Y$25,10,0)</f>
        <v>0</v>
      </c>
      <c r="D23" s="21">
        <f>B23*C23</f>
        <v>0</v>
      </c>
      <c r="E23" s="72">
        <f t="shared" si="6"/>
        <v>505</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505</v>
      </c>
      <c r="C24" s="77">
        <f>VLOOKUP($B$3,'Data for Bill Impacts'!$A$3:$Y$25,14,0)</f>
        <v>0</v>
      </c>
      <c r="D24" s="21">
        <f>B24*C24</f>
        <v>0</v>
      </c>
      <c r="E24" s="72">
        <f t="shared" si="6"/>
        <v>505</v>
      </c>
      <c r="F24" s="77">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30.76</v>
      </c>
      <c r="E25" s="72"/>
      <c r="F25" s="34"/>
      <c r="G25" s="34">
        <f>SUM(G19:G24)</f>
        <v>31.6</v>
      </c>
      <c r="H25" s="34">
        <f t="shared" si="1"/>
        <v>0.83999999999999986</v>
      </c>
      <c r="I25" s="35">
        <f t="shared" si="2"/>
        <v>2.7308192457737315E-2</v>
      </c>
      <c r="J25" s="35">
        <f>G25/$G$46</f>
        <v>0.30567291684616332</v>
      </c>
      <c r="K25" s="110">
        <f t="shared" si="4"/>
        <v>0.29237370760520215</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7.6418229211540831E-3</v>
      </c>
      <c r="K26" s="107">
        <f t="shared" si="4"/>
        <v>7.3093426901300537E-3</v>
      </c>
    </row>
    <row r="27" spans="1:11" s="1" customFormat="1" x14ac:dyDescent="0.2">
      <c r="A27" s="118" t="s">
        <v>75</v>
      </c>
      <c r="B27" s="119">
        <f>B8-B4</f>
        <v>28.784999999999968</v>
      </c>
      <c r="C27" s="120">
        <f>IF(B4&gt;B7,C13,C12)</f>
        <v>0.10299999999999999</v>
      </c>
      <c r="D27" s="21">
        <f>B27*C27</f>
        <v>2.9648549999999965</v>
      </c>
      <c r="E27" s="72">
        <f>B27</f>
        <v>28.784999999999968</v>
      </c>
      <c r="F27" s="120">
        <f>C27</f>
        <v>0.10299999999999999</v>
      </c>
      <c r="G27" s="21">
        <f>E27*F27</f>
        <v>2.9648549999999965</v>
      </c>
      <c r="H27" s="21">
        <f t="shared" si="1"/>
        <v>0</v>
      </c>
      <c r="I27" s="22">
        <f>IF(ISERROR(H27/D27),0,(H27/D27))</f>
        <v>0</v>
      </c>
      <c r="J27" s="22">
        <f t="shared" ref="J27:J46" si="9">G27/$G$46</f>
        <v>2.8679616325187673E-2</v>
      </c>
      <c r="K27" s="107">
        <f t="shared" si="4"/>
        <v>2.7431824331070272E-2</v>
      </c>
    </row>
    <row r="28" spans="1:11" s="1" customFormat="1" x14ac:dyDescent="0.2">
      <c r="A28" s="118" t="s">
        <v>74</v>
      </c>
      <c r="B28" s="119">
        <f>B8-B4</f>
        <v>28.784999999999968</v>
      </c>
      <c r="C28" s="120">
        <f>0.65*C15+0.17*C16+0.18*C17</f>
        <v>0.11139</v>
      </c>
      <c r="D28" s="21">
        <f>B28*C28</f>
        <v>3.2063611499999967</v>
      </c>
      <c r="E28" s="72">
        <f>B28</f>
        <v>28.784999999999968</v>
      </c>
      <c r="F28" s="120">
        <f>C28</f>
        <v>0.11139</v>
      </c>
      <c r="G28" s="21">
        <f>E28*F28</f>
        <v>3.2063611499999967</v>
      </c>
      <c r="H28" s="21">
        <f t="shared" si="1"/>
        <v>0</v>
      </c>
      <c r="I28" s="22">
        <f>IF(ISERROR(H28/D28),0,(H28/D28))</f>
        <v>0</v>
      </c>
      <c r="J28" s="22">
        <f t="shared" si="9"/>
        <v>3.1015752062744227E-2</v>
      </c>
      <c r="K28" s="107">
        <f t="shared" si="4"/>
        <v>2.9666319536290467E-2</v>
      </c>
    </row>
    <row r="29" spans="1:11" s="1" customFormat="1" x14ac:dyDescent="0.2">
      <c r="A29" s="109" t="s">
        <v>78</v>
      </c>
      <c r="B29" s="73"/>
      <c r="C29" s="34"/>
      <c r="D29" s="34">
        <f>SUM(D25,D26:D27)</f>
        <v>34.514854999999997</v>
      </c>
      <c r="E29" s="72"/>
      <c r="F29" s="34"/>
      <c r="G29" s="34">
        <f>SUM(G25,G26:G27)</f>
        <v>35.354855000000001</v>
      </c>
      <c r="H29" s="34">
        <f t="shared" si="1"/>
        <v>0.84000000000000341</v>
      </c>
      <c r="I29" s="35">
        <f>IF(ISERROR(H29/D29),0,(H29/D29))</f>
        <v>2.4337346919174468E-2</v>
      </c>
      <c r="J29" s="35">
        <f t="shared" si="9"/>
        <v>0.34199435609250511</v>
      </c>
      <c r="K29" s="110">
        <f t="shared" si="4"/>
        <v>0.32711487462640254</v>
      </c>
    </row>
    <row r="30" spans="1:11" s="1" customFormat="1" x14ac:dyDescent="0.2">
      <c r="A30" s="109" t="s">
        <v>77</v>
      </c>
      <c r="B30" s="73"/>
      <c r="C30" s="34"/>
      <c r="D30" s="34">
        <f>SUM(D25,D26,D28)</f>
        <v>34.756361149999996</v>
      </c>
      <c r="E30" s="72"/>
      <c r="F30" s="34"/>
      <c r="G30" s="34">
        <f>SUM(G25,G26,G28)</f>
        <v>35.59636115</v>
      </c>
      <c r="H30" s="34">
        <f t="shared" si="1"/>
        <v>0.84000000000000341</v>
      </c>
      <c r="I30" s="35">
        <f>IF(ISERROR(H30/D30),0,(H30/D30))</f>
        <v>2.4168237761564505E-2</v>
      </c>
      <c r="J30" s="35">
        <f t="shared" si="9"/>
        <v>0.34433049183006165</v>
      </c>
      <c r="K30" s="110">
        <f t="shared" si="4"/>
        <v>0.32934936983162272</v>
      </c>
    </row>
    <row r="31" spans="1:11" x14ac:dyDescent="0.2">
      <c r="A31" s="106" t="s">
        <v>40</v>
      </c>
      <c r="B31" s="72">
        <f>B8</f>
        <v>533.78499999999997</v>
      </c>
      <c r="C31" s="125">
        <f>VLOOKUP($B$3,'Data for Bill Impacts'!$A$3:$Y$25,15,0)</f>
        <v>7.3000000000000001E-3</v>
      </c>
      <c r="D31" s="21">
        <f>B31*C31</f>
        <v>3.8966304999999997</v>
      </c>
      <c r="E31" s="72">
        <f t="shared" si="6"/>
        <v>533.78499999999997</v>
      </c>
      <c r="F31" s="77">
        <f>VLOOKUP($B$3,'Data for Bill Impacts'!$A$3:$Y$25,24,0)</f>
        <v>7.3000000000000001E-3</v>
      </c>
      <c r="G31" s="21">
        <f>E31*F31</f>
        <v>3.8966304999999997</v>
      </c>
      <c r="H31" s="21">
        <f t="shared" si="1"/>
        <v>0</v>
      </c>
      <c r="I31" s="22">
        <f t="shared" si="2"/>
        <v>0</v>
      </c>
      <c r="J31" s="22">
        <f t="shared" si="9"/>
        <v>3.7692861101478597E-2</v>
      </c>
      <c r="K31" s="107">
        <f t="shared" si="4"/>
        <v>3.6052921090269384E-2</v>
      </c>
    </row>
    <row r="32" spans="1:11" x14ac:dyDescent="0.2">
      <c r="A32" s="106" t="s">
        <v>41</v>
      </c>
      <c r="B32" s="72">
        <f>B8</f>
        <v>533.78499999999997</v>
      </c>
      <c r="C32" s="125">
        <f>VLOOKUP($B$3,'Data for Bill Impacts'!$A$3:$Y$25,16,0)</f>
        <v>6.1999999999999998E-3</v>
      </c>
      <c r="D32" s="21">
        <f>B32*C32</f>
        <v>3.3094669999999997</v>
      </c>
      <c r="E32" s="72">
        <f t="shared" si="6"/>
        <v>533.78499999999997</v>
      </c>
      <c r="F32" s="77">
        <f>VLOOKUP($B$3,'Data for Bill Impacts'!$A$3:$Y$25,25,0)</f>
        <v>6.1999999999999998E-3</v>
      </c>
      <c r="G32" s="21">
        <f>E32*F32</f>
        <v>3.3094669999999997</v>
      </c>
      <c r="H32" s="21">
        <f t="shared" si="1"/>
        <v>0</v>
      </c>
      <c r="I32" s="22">
        <f t="shared" si="2"/>
        <v>0</v>
      </c>
      <c r="J32" s="22">
        <f t="shared" si="9"/>
        <v>3.2013114908105107E-2</v>
      </c>
      <c r="K32" s="107">
        <f t="shared" si="4"/>
        <v>3.0620289145160299E-2</v>
      </c>
    </row>
    <row r="33" spans="1:11" s="1" customFormat="1" x14ac:dyDescent="0.2">
      <c r="A33" s="109" t="s">
        <v>76</v>
      </c>
      <c r="B33" s="73"/>
      <c r="C33" s="34"/>
      <c r="D33" s="34">
        <f>SUM(D31:D32)</f>
        <v>7.2060974999999994</v>
      </c>
      <c r="E33" s="72"/>
      <c r="F33" s="34"/>
      <c r="G33" s="34">
        <f>SUM(G31:G32)</f>
        <v>7.2060974999999994</v>
      </c>
      <c r="H33" s="34">
        <f t="shared" si="1"/>
        <v>0</v>
      </c>
      <c r="I33" s="35">
        <f t="shared" si="2"/>
        <v>0</v>
      </c>
      <c r="J33" s="35">
        <f t="shared" si="9"/>
        <v>6.9705976009583712E-2</v>
      </c>
      <c r="K33" s="110">
        <f t="shared" si="4"/>
        <v>6.6673210235429686E-2</v>
      </c>
    </row>
    <row r="34" spans="1:11" s="1" customFormat="1" x14ac:dyDescent="0.2">
      <c r="A34" s="109" t="s">
        <v>93</v>
      </c>
      <c r="B34" s="73"/>
      <c r="C34" s="34"/>
      <c r="D34" s="34">
        <f>D29+D33</f>
        <v>41.720952499999996</v>
      </c>
      <c r="E34" s="72"/>
      <c r="F34" s="34"/>
      <c r="G34" s="34">
        <f>G29+G33</f>
        <v>42.560952499999999</v>
      </c>
      <c r="H34" s="34">
        <f t="shared" si="1"/>
        <v>0.84000000000000341</v>
      </c>
      <c r="I34" s="35">
        <f t="shared" si="2"/>
        <v>2.013376851834827E-2</v>
      </c>
      <c r="J34" s="35">
        <f t="shared" si="9"/>
        <v>0.41170033210208878</v>
      </c>
      <c r="K34" s="110">
        <f t="shared" si="4"/>
        <v>0.3937880848618322</v>
      </c>
    </row>
    <row r="35" spans="1:11" s="1" customFormat="1" x14ac:dyDescent="0.2">
      <c r="A35" s="109" t="s">
        <v>94</v>
      </c>
      <c r="B35" s="73"/>
      <c r="C35" s="34"/>
      <c r="D35" s="34">
        <f>D30+D33</f>
        <v>41.962458649999995</v>
      </c>
      <c r="E35" s="72"/>
      <c r="F35" s="34"/>
      <c r="G35" s="34">
        <f>G30+G33</f>
        <v>42.802458649999998</v>
      </c>
      <c r="H35" s="34">
        <f t="shared" si="1"/>
        <v>0.84000000000000341</v>
      </c>
      <c r="I35" s="35">
        <f t="shared" si="2"/>
        <v>2.0017892826687443E-2</v>
      </c>
      <c r="J35" s="35">
        <f t="shared" si="9"/>
        <v>0.41403646783964537</v>
      </c>
      <c r="K35" s="110">
        <f t="shared" si="4"/>
        <v>0.39602258006705238</v>
      </c>
    </row>
    <row r="36" spans="1:11" x14ac:dyDescent="0.2">
      <c r="A36" s="106" t="s">
        <v>42</v>
      </c>
      <c r="B36" s="72">
        <f>B8</f>
        <v>533.78499999999997</v>
      </c>
      <c r="C36" s="33">
        <v>3.5999999999999999E-3</v>
      </c>
      <c r="D36" s="21">
        <f>B36*C36</f>
        <v>1.9216259999999998</v>
      </c>
      <c r="E36" s="72">
        <f t="shared" si="6"/>
        <v>533.78499999999997</v>
      </c>
      <c r="F36" s="33">
        <v>3.5999999999999999E-3</v>
      </c>
      <c r="G36" s="21">
        <f>E36*F36</f>
        <v>1.9216259999999998</v>
      </c>
      <c r="H36" s="21">
        <f t="shared" si="1"/>
        <v>0</v>
      </c>
      <c r="I36" s="22">
        <f t="shared" si="2"/>
        <v>0</v>
      </c>
      <c r="J36" s="22">
        <f t="shared" si="9"/>
        <v>1.858826026922232E-2</v>
      </c>
      <c r="K36" s="107">
        <f t="shared" si="4"/>
        <v>1.7779522729447914E-2</v>
      </c>
    </row>
    <row r="37" spans="1:11" x14ac:dyDescent="0.2">
      <c r="A37" s="106" t="s">
        <v>43</v>
      </c>
      <c r="B37" s="72">
        <f>B8</f>
        <v>533.78499999999997</v>
      </c>
      <c r="C37" s="33">
        <v>2.0999999999999999E-3</v>
      </c>
      <c r="D37" s="21">
        <f>B37*C37</f>
        <v>1.1209484999999999</v>
      </c>
      <c r="E37" s="72">
        <f t="shared" si="6"/>
        <v>533.78499999999997</v>
      </c>
      <c r="F37" s="33">
        <v>2.0999999999999999E-3</v>
      </c>
      <c r="G37" s="21">
        <f>E37*F37</f>
        <v>1.1209484999999999</v>
      </c>
      <c r="H37" s="21">
        <f>G37-D37</f>
        <v>0</v>
      </c>
      <c r="I37" s="22">
        <f t="shared" si="2"/>
        <v>0</v>
      </c>
      <c r="J37" s="22">
        <f t="shared" si="9"/>
        <v>1.084315182371302E-2</v>
      </c>
      <c r="K37" s="107">
        <f t="shared" si="4"/>
        <v>1.0371388258844618E-2</v>
      </c>
    </row>
    <row r="38" spans="1:11" x14ac:dyDescent="0.2">
      <c r="A38" s="106" t="s">
        <v>99</v>
      </c>
      <c r="B38" s="72">
        <f>B8</f>
        <v>533.78499999999997</v>
      </c>
      <c r="C38" s="33">
        <v>1.1000000000000001E-3</v>
      </c>
      <c r="D38" s="21">
        <f>B38*C38</f>
        <v>0.58716349999999995</v>
      </c>
      <c r="E38" s="72">
        <f t="shared" si="6"/>
        <v>533.78499999999997</v>
      </c>
      <c r="F38" s="33">
        <v>1.1000000000000001E-3</v>
      </c>
      <c r="G38" s="21">
        <f>E38*F38</f>
        <v>0.58716349999999995</v>
      </c>
      <c r="H38" s="21">
        <f>G38-D38</f>
        <v>0</v>
      </c>
      <c r="I38" s="22">
        <f t="shared" si="2"/>
        <v>0</v>
      </c>
      <c r="J38" s="22">
        <f t="shared" si="9"/>
        <v>5.6797461933734876E-3</v>
      </c>
      <c r="K38" s="107">
        <f t="shared" si="4"/>
        <v>5.432631945109085E-3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2.4182983927702796E-3</v>
      </c>
      <c r="K39" s="107">
        <f t="shared" si="4"/>
        <v>2.3130831297879916E-3</v>
      </c>
    </row>
    <row r="40" spans="1:11" s="1" customFormat="1" x14ac:dyDescent="0.2">
      <c r="A40" s="109" t="s">
        <v>45</v>
      </c>
      <c r="B40" s="73"/>
      <c r="C40" s="34"/>
      <c r="D40" s="34">
        <f>SUM(D36:D39)</f>
        <v>3.8797379999999997</v>
      </c>
      <c r="E40" s="72"/>
      <c r="F40" s="34"/>
      <c r="G40" s="34">
        <f>SUM(G36:G39)</f>
        <v>3.8797379999999997</v>
      </c>
      <c r="H40" s="34">
        <f t="shared" si="1"/>
        <v>0</v>
      </c>
      <c r="I40" s="35">
        <f t="shared" si="2"/>
        <v>0</v>
      </c>
      <c r="J40" s="35">
        <f t="shared" si="9"/>
        <v>3.7529456679079108E-2</v>
      </c>
      <c r="K40" s="110">
        <f t="shared" si="4"/>
        <v>3.5896626063189607E-2</v>
      </c>
    </row>
    <row r="41" spans="1:11" s="1" customFormat="1" ht="13.5" thickBot="1" x14ac:dyDescent="0.25">
      <c r="A41" s="111" t="s">
        <v>46</v>
      </c>
      <c r="B41" s="112">
        <f>B4</f>
        <v>505</v>
      </c>
      <c r="C41" s="113">
        <v>0</v>
      </c>
      <c r="D41" s="114">
        <f>B41*C41</f>
        <v>0</v>
      </c>
      <c r="E41" s="115">
        <f t="shared" si="6"/>
        <v>505</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97.615690500000014</v>
      </c>
      <c r="E42" s="37"/>
      <c r="F42" s="38"/>
      <c r="G42" s="38">
        <f>SUM(G14,G25,G26,G27,G33,G40,G41)</f>
        <v>98.455690500000017</v>
      </c>
      <c r="H42" s="38">
        <f t="shared" si="1"/>
        <v>0.84000000000000341</v>
      </c>
      <c r="I42" s="39">
        <f>IF(ISERROR(H42/D42),0,(H42/D42))</f>
        <v>8.6051739807137175E-3</v>
      </c>
      <c r="J42" s="39">
        <f t="shared" si="9"/>
        <v>0.95238095238095244</v>
      </c>
      <c r="K42" s="40"/>
    </row>
    <row r="43" spans="1:11" x14ac:dyDescent="0.2">
      <c r="A43" s="143" t="s">
        <v>108</v>
      </c>
      <c r="B43" s="42"/>
      <c r="C43" s="25">
        <v>0.13</v>
      </c>
      <c r="D43" s="25">
        <f>D42*C43</f>
        <v>12.690039765000002</v>
      </c>
      <c r="E43" s="25"/>
      <c r="F43" s="25">
        <f>C43</f>
        <v>0.13</v>
      </c>
      <c r="G43" s="25">
        <f>G42*F43</f>
        <v>12.799239765000003</v>
      </c>
      <c r="H43" s="25">
        <f t="shared" si="1"/>
        <v>0.1092000000000013</v>
      </c>
      <c r="I43" s="43">
        <f t="shared" si="2"/>
        <v>8.6051739807137852E-3</v>
      </c>
      <c r="J43" s="43">
        <f t="shared" si="9"/>
        <v>0.12380952380952381</v>
      </c>
      <c r="K43" s="44"/>
    </row>
    <row r="44" spans="1:11" s="1" customFormat="1" x14ac:dyDescent="0.2">
      <c r="A44" s="45" t="s">
        <v>109</v>
      </c>
      <c r="B44" s="23"/>
      <c r="C44" s="24"/>
      <c r="D44" s="24">
        <f>SUM(D42:D43)</f>
        <v>110.30573026500002</v>
      </c>
      <c r="E44" s="24"/>
      <c r="F44" s="24"/>
      <c r="G44" s="24">
        <f>SUM(G42:G43)</f>
        <v>111.25493026500001</v>
      </c>
      <c r="H44" s="24">
        <f t="shared" si="1"/>
        <v>0.9491999999999905</v>
      </c>
      <c r="I44" s="26">
        <f t="shared" si="2"/>
        <v>8.6051739807135961E-3</v>
      </c>
      <c r="J44" s="26">
        <f t="shared" si="9"/>
        <v>1.0761904761904761</v>
      </c>
      <c r="K44" s="46"/>
    </row>
    <row r="45" spans="1:11" x14ac:dyDescent="0.2">
      <c r="A45" s="41" t="s">
        <v>110</v>
      </c>
      <c r="B45" s="42"/>
      <c r="C45" s="25">
        <v>-0.08</v>
      </c>
      <c r="D45" s="25">
        <f>D42*C45</f>
        <v>-7.8092552400000015</v>
      </c>
      <c r="E45" s="25"/>
      <c r="F45" s="25">
        <f>C45</f>
        <v>-0.08</v>
      </c>
      <c r="G45" s="25">
        <f>G42*F45</f>
        <v>-7.8764552400000012</v>
      </c>
      <c r="H45" s="25">
        <f t="shared" si="1"/>
        <v>-6.7199999999999704E-2</v>
      </c>
      <c r="I45" s="43">
        <f t="shared" si="2"/>
        <v>8.6051739807136447E-3</v>
      </c>
      <c r="J45" s="43">
        <f t="shared" si="9"/>
        <v>-7.6190476190476197E-2</v>
      </c>
      <c r="K45" s="44"/>
    </row>
    <row r="46" spans="1:11" s="1" customFormat="1" ht="13.5" thickBot="1" x14ac:dyDescent="0.25">
      <c r="A46" s="47" t="s">
        <v>111</v>
      </c>
      <c r="B46" s="48"/>
      <c r="C46" s="49"/>
      <c r="D46" s="49">
        <f>SUM(D44:D45)</f>
        <v>102.49647502500002</v>
      </c>
      <c r="E46" s="49"/>
      <c r="F46" s="49"/>
      <c r="G46" s="49">
        <f>SUM(G44:G45)</f>
        <v>103.37847502500001</v>
      </c>
      <c r="H46" s="49">
        <f t="shared" si="1"/>
        <v>0.88199999999999079</v>
      </c>
      <c r="I46" s="50">
        <f t="shared" si="2"/>
        <v>8.6051739807135926E-3</v>
      </c>
      <c r="J46" s="50">
        <f t="shared" si="9"/>
        <v>1</v>
      </c>
      <c r="K46" s="51"/>
    </row>
    <row r="47" spans="1:11" x14ac:dyDescent="0.2">
      <c r="A47" s="52" t="s">
        <v>112</v>
      </c>
      <c r="B47" s="53"/>
      <c r="C47" s="54"/>
      <c r="D47" s="54">
        <f>SUM(D18,D25,D26,D28,D33,D40,D41)</f>
        <v>102.09414665</v>
      </c>
      <c r="E47" s="54"/>
      <c r="F47" s="54"/>
      <c r="G47" s="54">
        <f>SUM(G18,G25,G26,G28,G33,G40,G41)</f>
        <v>102.93414664999999</v>
      </c>
      <c r="H47" s="54">
        <f>G47-D47</f>
        <v>0.8399999999999892</v>
      </c>
      <c r="I47" s="55">
        <f>IF(ISERROR(H47/D47),0,(H47/D47))</f>
        <v>8.227699898209484E-3</v>
      </c>
      <c r="J47" s="55"/>
      <c r="K47" s="56">
        <f>G47/$G$51</f>
        <v>0.95238095238095233</v>
      </c>
    </row>
    <row r="48" spans="1:11" x14ac:dyDescent="0.2">
      <c r="A48" s="57" t="s">
        <v>108</v>
      </c>
      <c r="B48" s="58"/>
      <c r="C48" s="30">
        <v>0.13</v>
      </c>
      <c r="D48" s="30">
        <f>D47*C48</f>
        <v>13.272239064500001</v>
      </c>
      <c r="E48" s="30"/>
      <c r="F48" s="30">
        <f>C48</f>
        <v>0.13</v>
      </c>
      <c r="G48" s="30">
        <f>G47*F48</f>
        <v>13.381439064499999</v>
      </c>
      <c r="H48" s="30">
        <f>G48-D48</f>
        <v>0.10919999999999774</v>
      </c>
      <c r="I48" s="31">
        <f>IF(ISERROR(H48/D48),0,(H48/D48))</f>
        <v>8.2276998982094198E-3</v>
      </c>
      <c r="J48" s="31"/>
      <c r="K48" s="59">
        <f>G48/$G$51</f>
        <v>0.12380952380952381</v>
      </c>
    </row>
    <row r="49" spans="1:11" x14ac:dyDescent="0.2">
      <c r="A49" s="60" t="s">
        <v>113</v>
      </c>
      <c r="B49" s="28"/>
      <c r="C49" s="29"/>
      <c r="D49" s="29">
        <f>SUM(D47:D48)</f>
        <v>115.3663857145</v>
      </c>
      <c r="E49" s="29"/>
      <c r="F49" s="29"/>
      <c r="G49" s="29">
        <f>SUM(G47:G48)</f>
        <v>116.31558571449999</v>
      </c>
      <c r="H49" s="29">
        <f>G49-D49</f>
        <v>0.9491999999999905</v>
      </c>
      <c r="I49" s="32">
        <f>IF(ISERROR(H49/D49),0,(H49/D49))</f>
        <v>8.2276998982095083E-3</v>
      </c>
      <c r="J49" s="32"/>
      <c r="K49" s="61">
        <f>G49/$G$51</f>
        <v>1.0761904761904761</v>
      </c>
    </row>
    <row r="50" spans="1:11" x14ac:dyDescent="0.2">
      <c r="A50" s="57" t="s">
        <v>110</v>
      </c>
      <c r="B50" s="58"/>
      <c r="C50" s="30">
        <v>-0.08</v>
      </c>
      <c r="D50" s="30">
        <f>D47*C50</f>
        <v>-8.1675317320000005</v>
      </c>
      <c r="E50" s="30"/>
      <c r="F50" s="30">
        <f>C50</f>
        <v>-0.08</v>
      </c>
      <c r="G50" s="30">
        <f>G47*F50</f>
        <v>-8.2347317319999984</v>
      </c>
      <c r="H50" s="30">
        <f>G50-D50</f>
        <v>-6.7199999999997928E-2</v>
      </c>
      <c r="I50" s="31">
        <f>IF(ISERROR(H50/D50),0,(H50/D50))</f>
        <v>8.2276998982093365E-3</v>
      </c>
      <c r="J50" s="31"/>
      <c r="K50" s="59">
        <f>G50/$G$51</f>
        <v>-7.6190476190476183E-2</v>
      </c>
    </row>
    <row r="51" spans="1:11" ht="13.5" thickBot="1" x14ac:dyDescent="0.25">
      <c r="A51" s="62" t="s">
        <v>114</v>
      </c>
      <c r="B51" s="63"/>
      <c r="C51" s="64"/>
      <c r="D51" s="64">
        <f>SUM(D49:D50)</f>
        <v>107.1988539825</v>
      </c>
      <c r="E51" s="64"/>
      <c r="F51" s="64"/>
      <c r="G51" s="64">
        <f>SUM(G49:G50)</f>
        <v>108.08085398249999</v>
      </c>
      <c r="H51" s="64">
        <f>G51-D51</f>
        <v>0.88199999999999079</v>
      </c>
      <c r="I51" s="65">
        <f>IF(ISERROR(H51/D51),0,(H51/D51))</f>
        <v>8.2276998982095048E-3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ht="12" customHeight="1" x14ac:dyDescent="0.2">
      <c r="A3" s="12" t="s">
        <v>13</v>
      </c>
      <c r="B3" s="12" t="s">
        <v>130</v>
      </c>
    </row>
    <row r="4" spans="1:11" x14ac:dyDescent="0.2">
      <c r="A4" s="14" t="s">
        <v>62</v>
      </c>
      <c r="B4" s="14">
        <v>1400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600</v>
      </c>
    </row>
    <row r="8" spans="1:11" x14ac:dyDescent="0.2">
      <c r="A8" s="14" t="s">
        <v>82</v>
      </c>
      <c r="B8" s="149">
        <f>B4*B6</f>
        <v>1479.8</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0.25486372467571655</v>
      </c>
      <c r="K12" s="105"/>
    </row>
    <row r="13" spans="1:11" x14ac:dyDescent="0.2">
      <c r="A13" s="106" t="s">
        <v>32</v>
      </c>
      <c r="B13" s="72">
        <f>IF(B4&gt;B7,(B4)-B7,0)</f>
        <v>800</v>
      </c>
      <c r="C13" s="20">
        <v>0.121</v>
      </c>
      <c r="D13" s="21">
        <f>B13*C13</f>
        <v>96.8</v>
      </c>
      <c r="E13" s="72">
        <f t="shared" ref="E13" si="0">B13</f>
        <v>800</v>
      </c>
      <c r="F13" s="20">
        <f>C13</f>
        <v>0.121</v>
      </c>
      <c r="G13" s="21">
        <f>E13*F13</f>
        <v>96.8</v>
      </c>
      <c r="H13" s="21">
        <f t="shared" ref="H13:H46" si="1">G13-D13</f>
        <v>0</v>
      </c>
      <c r="I13" s="22">
        <f t="shared" ref="I13:I46" si="2">IF(ISERROR(H13/D13),0,(H13/D13))</f>
        <v>0</v>
      </c>
      <c r="J13" s="22">
        <f>G13/$G$46</f>
        <v>0.39920402182215797</v>
      </c>
      <c r="K13" s="107"/>
    </row>
    <row r="14" spans="1:11" s="1" customFormat="1" x14ac:dyDescent="0.2">
      <c r="A14" s="45" t="s">
        <v>33</v>
      </c>
      <c r="B14" s="23"/>
      <c r="C14" s="24"/>
      <c r="D14" s="24">
        <f>SUM(D12:D13)</f>
        <v>158.6</v>
      </c>
      <c r="E14" s="75"/>
      <c r="F14" s="24"/>
      <c r="G14" s="24">
        <f>SUM(G12:G13)</f>
        <v>158.6</v>
      </c>
      <c r="H14" s="24">
        <f t="shared" si="1"/>
        <v>0</v>
      </c>
      <c r="I14" s="26">
        <f t="shared" si="2"/>
        <v>0</v>
      </c>
      <c r="J14" s="26">
        <f>G14/$G$46</f>
        <v>0.65406774649787447</v>
      </c>
      <c r="K14" s="107"/>
    </row>
    <row r="15" spans="1:11" s="1" customFormat="1" x14ac:dyDescent="0.2">
      <c r="A15" s="108" t="s">
        <v>34</v>
      </c>
      <c r="B15" s="74">
        <f>B4*0.65</f>
        <v>910</v>
      </c>
      <c r="C15" s="27">
        <v>8.6999999999999994E-2</v>
      </c>
      <c r="D15" s="21">
        <f>B15*C15</f>
        <v>79.169999999999987</v>
      </c>
      <c r="E15" s="72">
        <f t="shared" ref="E15:F17" si="3">B15</f>
        <v>910</v>
      </c>
      <c r="F15" s="27">
        <f t="shared" si="3"/>
        <v>8.6999999999999994E-2</v>
      </c>
      <c r="G15" s="21">
        <f>E15*F15</f>
        <v>79.169999999999987</v>
      </c>
      <c r="H15" s="21">
        <f t="shared" si="1"/>
        <v>0</v>
      </c>
      <c r="I15" s="22">
        <f t="shared" si="2"/>
        <v>0</v>
      </c>
      <c r="J15" s="22"/>
      <c r="K15" s="107">
        <f t="shared" ref="K15:K41" si="4">G15/$G$51</f>
        <v>0.33140692145201489</v>
      </c>
    </row>
    <row r="16" spans="1:11" s="1" customFormat="1" x14ac:dyDescent="0.2">
      <c r="A16" s="108" t="s">
        <v>35</v>
      </c>
      <c r="B16" s="74">
        <f>B4*0.17</f>
        <v>238.00000000000003</v>
      </c>
      <c r="C16" s="27">
        <v>0.13200000000000001</v>
      </c>
      <c r="D16" s="21">
        <f>B16*C16</f>
        <v>31.416000000000004</v>
      </c>
      <c r="E16" s="72">
        <f t="shared" si="3"/>
        <v>238.00000000000003</v>
      </c>
      <c r="F16" s="27">
        <f t="shared" si="3"/>
        <v>0.13200000000000001</v>
      </c>
      <c r="G16" s="21">
        <f>E16*F16</f>
        <v>31.416000000000004</v>
      </c>
      <c r="H16" s="21">
        <f t="shared" si="1"/>
        <v>0</v>
      </c>
      <c r="I16" s="22">
        <f t="shared" si="2"/>
        <v>0</v>
      </c>
      <c r="J16" s="22"/>
      <c r="K16" s="107">
        <f t="shared" si="4"/>
        <v>0.13150789243825317</v>
      </c>
    </row>
    <row r="17" spans="1:11" s="1" customFormat="1" x14ac:dyDescent="0.2">
      <c r="A17" s="108" t="s">
        <v>36</v>
      </c>
      <c r="B17" s="74">
        <f>B4*0.18</f>
        <v>252</v>
      </c>
      <c r="C17" s="27">
        <v>0.18</v>
      </c>
      <c r="D17" s="21">
        <f>B17*C17</f>
        <v>45.36</v>
      </c>
      <c r="E17" s="72">
        <f t="shared" si="3"/>
        <v>252</v>
      </c>
      <c r="F17" s="27">
        <f t="shared" si="3"/>
        <v>0.18</v>
      </c>
      <c r="G17" s="21">
        <f>E17*F17</f>
        <v>45.36</v>
      </c>
      <c r="H17" s="21">
        <f t="shared" si="1"/>
        <v>0</v>
      </c>
      <c r="I17" s="22">
        <f t="shared" si="2"/>
        <v>0</v>
      </c>
      <c r="J17" s="22"/>
      <c r="K17" s="107">
        <f t="shared" si="4"/>
        <v>0.1898777056595099</v>
      </c>
    </row>
    <row r="18" spans="1:11" s="1" customFormat="1" x14ac:dyDescent="0.2">
      <c r="A18" s="60" t="s">
        <v>37</v>
      </c>
      <c r="B18" s="28"/>
      <c r="C18" s="29"/>
      <c r="D18" s="29">
        <f>SUM(D15:D17)</f>
        <v>155.94599999999997</v>
      </c>
      <c r="E18" s="76"/>
      <c r="F18" s="29"/>
      <c r="G18" s="29">
        <f>SUM(G15:G17)</f>
        <v>155.94599999999997</v>
      </c>
      <c r="H18" s="30">
        <f t="shared" si="1"/>
        <v>0</v>
      </c>
      <c r="I18" s="31">
        <f t="shared" si="2"/>
        <v>0</v>
      </c>
      <c r="J18" s="32">
        <f t="shared" ref="J18:J24" si="5">G18/$G$46</f>
        <v>0.6431226279656842</v>
      </c>
      <c r="K18" s="61">
        <f t="shared" si="4"/>
        <v>0.65279251954977791</v>
      </c>
    </row>
    <row r="19" spans="1:11" x14ac:dyDescent="0.2">
      <c r="A19" s="106" t="s">
        <v>38</v>
      </c>
      <c r="B19" s="72">
        <v>1</v>
      </c>
      <c r="C19" s="77">
        <f>VLOOKUP($B$3,'Data for Bill Impacts'!$A$3:$Y$25,7,0)</f>
        <v>30.76</v>
      </c>
      <c r="D19" s="21">
        <f>B19*C19</f>
        <v>30.76</v>
      </c>
      <c r="E19" s="72">
        <f t="shared" ref="E19:E41" si="6">B19</f>
        <v>1</v>
      </c>
      <c r="F19" s="77">
        <f>VLOOKUP($B$3,'Data for Bill Impacts'!$A$3:$Y$25,17,0)</f>
        <v>31.6</v>
      </c>
      <c r="G19" s="21">
        <f>E19*F19</f>
        <v>31.6</v>
      </c>
      <c r="H19" s="21">
        <f t="shared" si="1"/>
        <v>0.83999999999999986</v>
      </c>
      <c r="I19" s="22">
        <f t="shared" si="2"/>
        <v>2.7308192457737315E-2</v>
      </c>
      <c r="J19" s="22">
        <f t="shared" si="5"/>
        <v>0.13031866828078711</v>
      </c>
      <c r="K19" s="107">
        <f t="shared" si="4"/>
        <v>0.13227811946297427</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1400</v>
      </c>
      <c r="C23" s="77">
        <f>VLOOKUP($B$3,'Data for Bill Impacts'!$A$3:$Y$25,10,0)</f>
        <v>0</v>
      </c>
      <c r="D23" s="21">
        <f>B23*C23</f>
        <v>0</v>
      </c>
      <c r="E23" s="72">
        <f t="shared" si="6"/>
        <v>1400</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1400</v>
      </c>
      <c r="C24" s="77">
        <f>VLOOKUP($B$3,'Data for Bill Impacts'!$A$3:$Y$25,14,0)</f>
        <v>0</v>
      </c>
      <c r="D24" s="21">
        <f>B24*C24</f>
        <v>0</v>
      </c>
      <c r="E24" s="72">
        <f t="shared" si="6"/>
        <v>1400</v>
      </c>
      <c r="F24" s="77">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30.76</v>
      </c>
      <c r="E25" s="72"/>
      <c r="F25" s="34"/>
      <c r="G25" s="34">
        <f>SUM(G19:G24)</f>
        <v>31.6</v>
      </c>
      <c r="H25" s="34">
        <f t="shared" si="1"/>
        <v>0.83999999999999986</v>
      </c>
      <c r="I25" s="35">
        <f t="shared" si="2"/>
        <v>2.7308192457737315E-2</v>
      </c>
      <c r="J25" s="35">
        <f>G25/$G$46</f>
        <v>0.13031866828078711</v>
      </c>
      <c r="K25" s="110">
        <f t="shared" si="4"/>
        <v>0.13227811946297427</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3.2579667070196778E-3</v>
      </c>
      <c r="K26" s="107">
        <f t="shared" si="4"/>
        <v>3.3069529865743567E-3</v>
      </c>
    </row>
    <row r="27" spans="1:11" s="1" customFormat="1" x14ac:dyDescent="0.2">
      <c r="A27" s="118" t="s">
        <v>75</v>
      </c>
      <c r="B27" s="119">
        <f>B8-B4</f>
        <v>79.799999999999955</v>
      </c>
      <c r="C27" s="120">
        <f>IF(B4&gt;B7,C13,C12)</f>
        <v>0.121</v>
      </c>
      <c r="D27" s="21">
        <f>B27*C27</f>
        <v>9.6557999999999939</v>
      </c>
      <c r="E27" s="72">
        <f>B27</f>
        <v>79.799999999999955</v>
      </c>
      <c r="F27" s="120">
        <f>C27</f>
        <v>0.121</v>
      </c>
      <c r="G27" s="21">
        <f>E27*F27</f>
        <v>9.6557999999999939</v>
      </c>
      <c r="H27" s="21">
        <f t="shared" si="1"/>
        <v>0</v>
      </c>
      <c r="I27" s="22">
        <f>IF(ISERROR(H27/D27),0,(H27/D27))</f>
        <v>0</v>
      </c>
      <c r="J27" s="22">
        <f t="shared" ref="J27:J46" si="9">G27/$G$46</f>
        <v>3.9820601176760236E-2</v>
      </c>
      <c r="K27" s="107">
        <f t="shared" si="4"/>
        <v>4.0419337528816018E-2</v>
      </c>
    </row>
    <row r="28" spans="1:11" s="1" customFormat="1" x14ac:dyDescent="0.2">
      <c r="A28" s="118" t="s">
        <v>74</v>
      </c>
      <c r="B28" s="119">
        <f>B8-B4</f>
        <v>79.799999999999955</v>
      </c>
      <c r="C28" s="120">
        <f>0.65*C15+0.17*C16+0.18*C17</f>
        <v>0.11139</v>
      </c>
      <c r="D28" s="21">
        <f>B28*C28</f>
        <v>8.8889219999999955</v>
      </c>
      <c r="E28" s="72">
        <f>B28</f>
        <v>79.799999999999955</v>
      </c>
      <c r="F28" s="120">
        <f>C28</f>
        <v>0.11139</v>
      </c>
      <c r="G28" s="21">
        <f>E28*F28</f>
        <v>8.8889219999999955</v>
      </c>
      <c r="H28" s="21">
        <f t="shared" si="1"/>
        <v>0</v>
      </c>
      <c r="I28" s="22">
        <f>IF(ISERROR(H28/D28),0,(H28/D28))</f>
        <v>0</v>
      </c>
      <c r="J28" s="22">
        <f t="shared" si="9"/>
        <v>3.6657989794043992E-2</v>
      </c>
      <c r="K28" s="107">
        <f t="shared" si="4"/>
        <v>3.7209173614337329E-2</v>
      </c>
    </row>
    <row r="29" spans="1:11" s="1" customFormat="1" x14ac:dyDescent="0.2">
      <c r="A29" s="109" t="s">
        <v>78</v>
      </c>
      <c r="B29" s="73"/>
      <c r="C29" s="34"/>
      <c r="D29" s="34">
        <f>SUM(D25,D26:D27)</f>
        <v>41.205799999999996</v>
      </c>
      <c r="E29" s="72"/>
      <c r="F29" s="34"/>
      <c r="G29" s="34">
        <f>SUM(G25,G26:G27)</f>
        <v>42.045799999999993</v>
      </c>
      <c r="H29" s="34">
        <f t="shared" si="1"/>
        <v>0.83999999999999631</v>
      </c>
      <c r="I29" s="35">
        <f>IF(ISERROR(H29/D29),0,(H29/D29))</f>
        <v>2.0385479714020754E-2</v>
      </c>
      <c r="J29" s="35">
        <f t="shared" si="9"/>
        <v>0.17339723616456701</v>
      </c>
      <c r="K29" s="110">
        <f t="shared" si="4"/>
        <v>0.17600440997836464</v>
      </c>
    </row>
    <row r="30" spans="1:11" s="1" customFormat="1" x14ac:dyDescent="0.2">
      <c r="A30" s="109" t="s">
        <v>77</v>
      </c>
      <c r="B30" s="73"/>
      <c r="C30" s="34"/>
      <c r="D30" s="34">
        <f>SUM(D25,D26,D28)</f>
        <v>40.438921999999998</v>
      </c>
      <c r="E30" s="72"/>
      <c r="F30" s="34"/>
      <c r="G30" s="34">
        <f>SUM(G25,G26,G28)</f>
        <v>41.278921999999994</v>
      </c>
      <c r="H30" s="34">
        <f t="shared" si="1"/>
        <v>0.83999999999999631</v>
      </c>
      <c r="I30" s="35">
        <f>IF(ISERROR(H30/D30),0,(H30/D30))</f>
        <v>2.077206706944355E-2</v>
      </c>
      <c r="J30" s="35">
        <f t="shared" si="9"/>
        <v>0.17023462478185078</v>
      </c>
      <c r="K30" s="110">
        <f t="shared" si="4"/>
        <v>0.17279424606388594</v>
      </c>
    </row>
    <row r="31" spans="1:11" x14ac:dyDescent="0.2">
      <c r="A31" s="106" t="s">
        <v>40</v>
      </c>
      <c r="B31" s="72">
        <f>B8</f>
        <v>1479.8</v>
      </c>
      <c r="C31" s="125">
        <f>VLOOKUP($B$3,'Data for Bill Impacts'!$A$3:$Y$25,15,0)</f>
        <v>7.3000000000000001E-3</v>
      </c>
      <c r="D31" s="21">
        <f>B31*C31</f>
        <v>10.80254</v>
      </c>
      <c r="E31" s="72">
        <f t="shared" si="6"/>
        <v>1479.8</v>
      </c>
      <c r="F31" s="77">
        <f>VLOOKUP($B$3,'Data for Bill Impacts'!$A$3:$Y$25,24,0)</f>
        <v>7.3000000000000001E-3</v>
      </c>
      <c r="G31" s="21">
        <f>E31*F31</f>
        <v>10.80254</v>
      </c>
      <c r="H31" s="21">
        <f t="shared" si="1"/>
        <v>0</v>
      </c>
      <c r="I31" s="22">
        <f t="shared" si="2"/>
        <v>0</v>
      </c>
      <c r="J31" s="22">
        <f t="shared" si="9"/>
        <v>4.4549766672466268E-2</v>
      </c>
      <c r="K31" s="107">
        <f t="shared" si="4"/>
        <v>4.5219610019732848E-2</v>
      </c>
    </row>
    <row r="32" spans="1:11" x14ac:dyDescent="0.2">
      <c r="A32" s="106" t="s">
        <v>41</v>
      </c>
      <c r="B32" s="72">
        <f>B8</f>
        <v>1479.8</v>
      </c>
      <c r="C32" s="125">
        <f>VLOOKUP($B$3,'Data for Bill Impacts'!$A$3:$Y$25,16,0)</f>
        <v>6.1999999999999998E-3</v>
      </c>
      <c r="D32" s="21">
        <f>B32*C32</f>
        <v>9.1747599999999991</v>
      </c>
      <c r="E32" s="72">
        <f t="shared" si="6"/>
        <v>1479.8</v>
      </c>
      <c r="F32" s="77">
        <f>VLOOKUP($B$3,'Data for Bill Impacts'!$A$3:$Y$25,25,0)</f>
        <v>6.1999999999999998E-3</v>
      </c>
      <c r="G32" s="21">
        <f>E32*F32</f>
        <v>9.1747599999999991</v>
      </c>
      <c r="H32" s="21">
        <f t="shared" si="1"/>
        <v>0</v>
      </c>
      <c r="I32" s="22">
        <f t="shared" si="2"/>
        <v>0</v>
      </c>
      <c r="J32" s="22">
        <f t="shared" si="9"/>
        <v>3.7836788132779561E-2</v>
      </c>
      <c r="K32" s="107">
        <f t="shared" si="4"/>
        <v>3.8405696181142965E-2</v>
      </c>
    </row>
    <row r="33" spans="1:11" s="1" customFormat="1" x14ac:dyDescent="0.2">
      <c r="A33" s="109" t="s">
        <v>76</v>
      </c>
      <c r="B33" s="73"/>
      <c r="C33" s="34"/>
      <c r="D33" s="34">
        <f>SUM(D31:D32)</f>
        <v>19.9773</v>
      </c>
      <c r="E33" s="72"/>
      <c r="F33" s="34"/>
      <c r="G33" s="34">
        <f>SUM(G31:G32)</f>
        <v>19.9773</v>
      </c>
      <c r="H33" s="34">
        <f t="shared" si="1"/>
        <v>0</v>
      </c>
      <c r="I33" s="35">
        <f t="shared" si="2"/>
        <v>0</v>
      </c>
      <c r="J33" s="35">
        <f t="shared" si="9"/>
        <v>8.2386554805245829E-2</v>
      </c>
      <c r="K33" s="110">
        <f t="shared" si="4"/>
        <v>8.3625306200875812E-2</v>
      </c>
    </row>
    <row r="34" spans="1:11" s="1" customFormat="1" x14ac:dyDescent="0.2">
      <c r="A34" s="109" t="s">
        <v>93</v>
      </c>
      <c r="B34" s="73"/>
      <c r="C34" s="34"/>
      <c r="D34" s="34">
        <f>D29+D33</f>
        <v>61.183099999999996</v>
      </c>
      <c r="E34" s="72"/>
      <c r="F34" s="34"/>
      <c r="G34" s="34">
        <f>G29+G33</f>
        <v>62.023099999999992</v>
      </c>
      <c r="H34" s="34">
        <f t="shared" si="1"/>
        <v>0.83999999999999631</v>
      </c>
      <c r="I34" s="35">
        <f t="shared" si="2"/>
        <v>1.3729281451904142E-2</v>
      </c>
      <c r="J34" s="35">
        <f t="shared" si="9"/>
        <v>0.25578379096981285</v>
      </c>
      <c r="K34" s="110">
        <f t="shared" si="4"/>
        <v>0.25962971617924047</v>
      </c>
    </row>
    <row r="35" spans="1:11" s="1" customFormat="1" x14ac:dyDescent="0.2">
      <c r="A35" s="109" t="s">
        <v>94</v>
      </c>
      <c r="B35" s="73"/>
      <c r="C35" s="34"/>
      <c r="D35" s="34">
        <f>D30+D33</f>
        <v>60.416221999999998</v>
      </c>
      <c r="E35" s="72"/>
      <c r="F35" s="34"/>
      <c r="G35" s="34">
        <f>G30+G33</f>
        <v>61.256221999999994</v>
      </c>
      <c r="H35" s="34">
        <f t="shared" si="1"/>
        <v>0.83999999999999631</v>
      </c>
      <c r="I35" s="35">
        <f t="shared" si="2"/>
        <v>1.3903550605994469E-2</v>
      </c>
      <c r="J35" s="35">
        <f t="shared" si="9"/>
        <v>0.25262117958709662</v>
      </c>
      <c r="K35" s="110">
        <f t="shared" si="4"/>
        <v>0.25641955226476176</v>
      </c>
    </row>
    <row r="36" spans="1:11" x14ac:dyDescent="0.2">
      <c r="A36" s="106" t="s">
        <v>42</v>
      </c>
      <c r="B36" s="72">
        <f>B8</f>
        <v>1479.8</v>
      </c>
      <c r="C36" s="33">
        <v>3.5999999999999999E-3</v>
      </c>
      <c r="D36" s="21">
        <f>B36*C36</f>
        <v>5.32728</v>
      </c>
      <c r="E36" s="72">
        <f t="shared" si="6"/>
        <v>1479.8</v>
      </c>
      <c r="F36" s="33">
        <v>3.5999999999999999E-3</v>
      </c>
      <c r="G36" s="21">
        <f>E36*F36</f>
        <v>5.32728</v>
      </c>
      <c r="H36" s="21">
        <f t="shared" si="1"/>
        <v>0</v>
      </c>
      <c r="I36" s="22">
        <f t="shared" si="2"/>
        <v>0</v>
      </c>
      <c r="J36" s="22">
        <f t="shared" si="9"/>
        <v>2.1969747948065554E-2</v>
      </c>
      <c r="K36" s="107">
        <f t="shared" si="4"/>
        <v>2.2300081653566884E-2</v>
      </c>
    </row>
    <row r="37" spans="1:11" x14ac:dyDescent="0.2">
      <c r="A37" s="106" t="s">
        <v>43</v>
      </c>
      <c r="B37" s="72">
        <f>B8</f>
        <v>1479.8</v>
      </c>
      <c r="C37" s="33">
        <v>2.0999999999999999E-3</v>
      </c>
      <c r="D37" s="21">
        <f>B37*C37</f>
        <v>3.1075799999999996</v>
      </c>
      <c r="E37" s="72">
        <f t="shared" si="6"/>
        <v>1479.8</v>
      </c>
      <c r="F37" s="33">
        <v>2.0999999999999999E-3</v>
      </c>
      <c r="G37" s="21">
        <f>E37*F37</f>
        <v>3.1075799999999996</v>
      </c>
      <c r="H37" s="21">
        <f>G37-D37</f>
        <v>0</v>
      </c>
      <c r="I37" s="22">
        <f t="shared" si="2"/>
        <v>0</v>
      </c>
      <c r="J37" s="22">
        <f t="shared" si="9"/>
        <v>1.2815686303038238E-2</v>
      </c>
      <c r="K37" s="107">
        <f t="shared" si="4"/>
        <v>1.3008380964580681E-2</v>
      </c>
    </row>
    <row r="38" spans="1:11" x14ac:dyDescent="0.2">
      <c r="A38" s="106" t="s">
        <v>99</v>
      </c>
      <c r="B38" s="72">
        <f>B8</f>
        <v>1479.8</v>
      </c>
      <c r="C38" s="33">
        <v>1.1000000000000001E-3</v>
      </c>
      <c r="D38" s="21">
        <f>B38*C38</f>
        <v>1.62778</v>
      </c>
      <c r="E38" s="72">
        <f t="shared" si="6"/>
        <v>1479.8</v>
      </c>
      <c r="F38" s="33">
        <v>1.1000000000000001E-3</v>
      </c>
      <c r="G38" s="21">
        <f>E38*F38</f>
        <v>1.62778</v>
      </c>
      <c r="H38" s="21">
        <f>G38-D38</f>
        <v>0</v>
      </c>
      <c r="I38" s="22">
        <f t="shared" si="2"/>
        <v>0</v>
      </c>
      <c r="J38" s="22">
        <f t="shared" si="9"/>
        <v>6.7129785396866978E-3</v>
      </c>
      <c r="K38" s="107">
        <f t="shared" si="4"/>
        <v>6.8139138385898811E-3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1.0310021224745815E-3</v>
      </c>
      <c r="K39" s="107">
        <f t="shared" si="4"/>
        <v>1.0465041096754293E-3</v>
      </c>
    </row>
    <row r="40" spans="1:11" s="1" customFormat="1" x14ac:dyDescent="0.2">
      <c r="A40" s="109" t="s">
        <v>45</v>
      </c>
      <c r="B40" s="73"/>
      <c r="C40" s="34"/>
      <c r="D40" s="34">
        <f>SUM(D36:D39)</f>
        <v>10.31264</v>
      </c>
      <c r="E40" s="72"/>
      <c r="F40" s="34"/>
      <c r="G40" s="34">
        <f>SUM(G36:G39)</f>
        <v>10.31264</v>
      </c>
      <c r="H40" s="34">
        <f t="shared" si="1"/>
        <v>0</v>
      </c>
      <c r="I40" s="35">
        <f t="shared" si="2"/>
        <v>0</v>
      </c>
      <c r="J40" s="35">
        <f t="shared" si="9"/>
        <v>4.2529414913265076E-2</v>
      </c>
      <c r="K40" s="110">
        <f t="shared" si="4"/>
        <v>4.3168880566412875E-2</v>
      </c>
    </row>
    <row r="41" spans="1:11" s="1" customFormat="1" ht="13.5" thickBot="1" x14ac:dyDescent="0.25">
      <c r="A41" s="111" t="s">
        <v>46</v>
      </c>
      <c r="B41" s="112">
        <f>B4</f>
        <v>1400</v>
      </c>
      <c r="C41" s="113">
        <v>0</v>
      </c>
      <c r="D41" s="114">
        <f>B41*C41</f>
        <v>0</v>
      </c>
      <c r="E41" s="115">
        <f t="shared" si="6"/>
        <v>1400</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230.09573999999998</v>
      </c>
      <c r="E42" s="37"/>
      <c r="F42" s="38"/>
      <c r="G42" s="38">
        <f>SUM(G14,G25,G26,G27,G33,G40,G41)</f>
        <v>230.93573999999995</v>
      </c>
      <c r="H42" s="38">
        <f t="shared" si="1"/>
        <v>0.83999999999997499</v>
      </c>
      <c r="I42" s="39">
        <f>IF(ISERROR(H42/D42),0,(H42/D42))</f>
        <v>3.6506542885147509E-3</v>
      </c>
      <c r="J42" s="39">
        <f t="shared" si="9"/>
        <v>0.95238095238095233</v>
      </c>
      <c r="K42" s="40"/>
    </row>
    <row r="43" spans="1:11" x14ac:dyDescent="0.2">
      <c r="A43" s="143" t="s">
        <v>108</v>
      </c>
      <c r="B43" s="42"/>
      <c r="C43" s="25">
        <v>0.13</v>
      </c>
      <c r="D43" s="25">
        <f>D42*C43</f>
        <v>29.912446199999998</v>
      </c>
      <c r="E43" s="25"/>
      <c r="F43" s="25">
        <f>C43</f>
        <v>0.13</v>
      </c>
      <c r="G43" s="25">
        <f>G42*F43</f>
        <v>30.021646199999996</v>
      </c>
      <c r="H43" s="25">
        <f t="shared" si="1"/>
        <v>0.10919999999999774</v>
      </c>
      <c r="I43" s="43">
        <f t="shared" si="2"/>
        <v>3.6506542885147838E-3</v>
      </c>
      <c r="J43" s="43">
        <f t="shared" si="9"/>
        <v>0.1238095238095238</v>
      </c>
      <c r="K43" s="44"/>
    </row>
    <row r="44" spans="1:11" s="1" customFormat="1" x14ac:dyDescent="0.2">
      <c r="A44" s="45" t="s">
        <v>109</v>
      </c>
      <c r="B44" s="23"/>
      <c r="C44" s="24"/>
      <c r="D44" s="24">
        <f>SUM(D42:D43)</f>
        <v>260.00818619999995</v>
      </c>
      <c r="E44" s="24"/>
      <c r="F44" s="24"/>
      <c r="G44" s="24">
        <f>SUM(G42:G43)</f>
        <v>260.95738619999997</v>
      </c>
      <c r="H44" s="24">
        <f t="shared" si="1"/>
        <v>0.94920000000001892</v>
      </c>
      <c r="I44" s="26">
        <f t="shared" si="2"/>
        <v>3.6506542885149326E-3</v>
      </c>
      <c r="J44" s="26">
        <f t="shared" si="9"/>
        <v>1.0761904761904761</v>
      </c>
      <c r="K44" s="46"/>
    </row>
    <row r="45" spans="1:11" x14ac:dyDescent="0.2">
      <c r="A45" s="41" t="s">
        <v>110</v>
      </c>
      <c r="B45" s="42"/>
      <c r="C45" s="25">
        <v>-0.08</v>
      </c>
      <c r="D45" s="25">
        <f>D42*C45</f>
        <v>-18.407659199999998</v>
      </c>
      <c r="E45" s="25"/>
      <c r="F45" s="25">
        <f>C45</f>
        <v>-0.08</v>
      </c>
      <c r="G45" s="25">
        <f>G42*F45</f>
        <v>-18.474859199999997</v>
      </c>
      <c r="H45" s="25">
        <f t="shared" si="1"/>
        <v>-6.7199999999999704E-2</v>
      </c>
      <c r="I45" s="43">
        <f t="shared" si="2"/>
        <v>3.6506542885148437E-3</v>
      </c>
      <c r="J45" s="43">
        <f t="shared" si="9"/>
        <v>-7.6190476190476183E-2</v>
      </c>
      <c r="K45" s="44"/>
    </row>
    <row r="46" spans="1:11" s="1" customFormat="1" ht="13.5" thickBot="1" x14ac:dyDescent="0.25">
      <c r="A46" s="47" t="s">
        <v>111</v>
      </c>
      <c r="B46" s="48"/>
      <c r="C46" s="49"/>
      <c r="D46" s="49">
        <f>SUM(D44:D45)</f>
        <v>241.60052699999994</v>
      </c>
      <c r="E46" s="49"/>
      <c r="F46" s="49"/>
      <c r="G46" s="49">
        <f>SUM(G44:G45)</f>
        <v>242.48252699999998</v>
      </c>
      <c r="H46" s="49">
        <f t="shared" si="1"/>
        <v>0.88200000000003342</v>
      </c>
      <c r="I46" s="50">
        <f t="shared" si="2"/>
        <v>3.6506542885149985E-3</v>
      </c>
      <c r="J46" s="50">
        <f t="shared" si="9"/>
        <v>1</v>
      </c>
      <c r="K46" s="51"/>
    </row>
    <row r="47" spans="1:11" x14ac:dyDescent="0.2">
      <c r="A47" s="52" t="s">
        <v>112</v>
      </c>
      <c r="B47" s="53"/>
      <c r="C47" s="54"/>
      <c r="D47" s="54">
        <f>SUM(D18,D25,D26,D28,D33,D40,D41)</f>
        <v>226.67486199999996</v>
      </c>
      <c r="E47" s="54"/>
      <c r="F47" s="54"/>
      <c r="G47" s="54">
        <f>SUM(G18,G25,G26,G28,G33,G40,G41)</f>
        <v>227.51486199999994</v>
      </c>
      <c r="H47" s="54">
        <f>G47-D47</f>
        <v>0.83999999999997499</v>
      </c>
      <c r="I47" s="55">
        <f>IF(ISERROR(H47/D47),0,(H47/D47))</f>
        <v>3.7057483683390316E-3</v>
      </c>
      <c r="J47" s="55"/>
      <c r="K47" s="56">
        <f>G47/$G$51</f>
        <v>0.95238095238095244</v>
      </c>
    </row>
    <row r="48" spans="1:11" x14ac:dyDescent="0.2">
      <c r="A48" s="57" t="s">
        <v>108</v>
      </c>
      <c r="B48" s="58"/>
      <c r="C48" s="30">
        <v>0.13</v>
      </c>
      <c r="D48" s="30">
        <f>D47*C48</f>
        <v>29.467732059999996</v>
      </c>
      <c r="E48" s="30"/>
      <c r="F48" s="30">
        <f>C48</f>
        <v>0.13</v>
      </c>
      <c r="G48" s="30">
        <f>G47*F48</f>
        <v>29.576932059999994</v>
      </c>
      <c r="H48" s="30">
        <f>G48-D48</f>
        <v>0.10919999999999774</v>
      </c>
      <c r="I48" s="31">
        <f>IF(ISERROR(H48/D48),0,(H48/D48))</f>
        <v>3.705748368339065E-3</v>
      </c>
      <c r="J48" s="31"/>
      <c r="K48" s="59">
        <f>G48/$G$51</f>
        <v>0.12380952380952381</v>
      </c>
    </row>
    <row r="49" spans="1:11" x14ac:dyDescent="0.2">
      <c r="A49" s="60" t="s">
        <v>113</v>
      </c>
      <c r="B49" s="28"/>
      <c r="C49" s="29"/>
      <c r="D49" s="29">
        <f>SUM(D47:D48)</f>
        <v>256.14259405999996</v>
      </c>
      <c r="E49" s="29"/>
      <c r="F49" s="29"/>
      <c r="G49" s="29">
        <f>SUM(G47:G48)</f>
        <v>257.09179405999993</v>
      </c>
      <c r="H49" s="29">
        <f>G49-D49</f>
        <v>0.94919999999996207</v>
      </c>
      <c r="I49" s="32">
        <f>IF(ISERROR(H49/D49),0,(H49/D49))</f>
        <v>3.7057483683389934E-3</v>
      </c>
      <c r="J49" s="32"/>
      <c r="K49" s="61">
        <f>G49/$G$51</f>
        <v>1.0761904761904761</v>
      </c>
    </row>
    <row r="50" spans="1:11" x14ac:dyDescent="0.2">
      <c r="A50" s="57" t="s">
        <v>110</v>
      </c>
      <c r="B50" s="58"/>
      <c r="C50" s="30">
        <v>-0.08</v>
      </c>
      <c r="D50" s="30">
        <f>D47*C50</f>
        <v>-18.133988959999996</v>
      </c>
      <c r="E50" s="30"/>
      <c r="F50" s="30">
        <f>C50</f>
        <v>-0.08</v>
      </c>
      <c r="G50" s="30">
        <f>G47*F50</f>
        <v>-18.201188959999996</v>
      </c>
      <c r="H50" s="30">
        <f>G50-D50</f>
        <v>-6.7199999999999704E-2</v>
      </c>
      <c r="I50" s="31">
        <f>IF(ISERROR(H50/D50),0,(H50/D50))</f>
        <v>3.7057483683391257E-3</v>
      </c>
      <c r="J50" s="31"/>
      <c r="K50" s="59">
        <f>G50/$G$51</f>
        <v>-7.6190476190476197E-2</v>
      </c>
    </row>
    <row r="51" spans="1:11" ht="13.5" thickBot="1" x14ac:dyDescent="0.25">
      <c r="A51" s="62" t="s">
        <v>114</v>
      </c>
      <c r="B51" s="63"/>
      <c r="C51" s="64"/>
      <c r="D51" s="64">
        <f>SUM(D49:D50)</f>
        <v>238.00860509999995</v>
      </c>
      <c r="E51" s="64"/>
      <c r="F51" s="64"/>
      <c r="G51" s="64">
        <f>SUM(G49:G50)</f>
        <v>238.89060509999993</v>
      </c>
      <c r="H51" s="64">
        <f>G51-D51</f>
        <v>0.88199999999997658</v>
      </c>
      <c r="I51" s="65">
        <f>IF(ISERROR(H51/D51),0,(H51/D51))</f>
        <v>3.7057483683390433E-3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1" tint="0.499984740745262"/>
    <pageSetUpPr fitToPage="1"/>
  </sheetPr>
  <dimension ref="A1:K68"/>
  <sheetViews>
    <sheetView tabSelected="1" topLeftCell="A16"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119</v>
      </c>
    </row>
    <row r="4" spans="1:11" x14ac:dyDescent="0.2">
      <c r="A4" s="14" t="s">
        <v>62</v>
      </c>
      <c r="B4" s="14">
        <v>400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600</v>
      </c>
    </row>
    <row r="8" spans="1:11" x14ac:dyDescent="0.2">
      <c r="A8" s="14" t="s">
        <v>82</v>
      </c>
      <c r="B8" s="149">
        <f>B4*B6</f>
        <v>426.68</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400</v>
      </c>
      <c r="C12" s="102">
        <v>0.10299999999999999</v>
      </c>
      <c r="D12" s="103">
        <f>B12*C12</f>
        <v>41.199999999999996</v>
      </c>
      <c r="E12" s="101">
        <f>B12</f>
        <v>400</v>
      </c>
      <c r="F12" s="102">
        <f>C12</f>
        <v>0.10299999999999999</v>
      </c>
      <c r="G12" s="103">
        <f>E12*F12</f>
        <v>41.199999999999996</v>
      </c>
      <c r="H12" s="103">
        <f>G12-D12</f>
        <v>0</v>
      </c>
      <c r="I12" s="104">
        <f>IF(ISERROR(H12/D12),0,(H12/D12))</f>
        <v>0</v>
      </c>
      <c r="J12" s="104">
        <f>G12/$G$46</f>
        <v>0.41456441004024036</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41.199999999999996</v>
      </c>
      <c r="E14" s="75"/>
      <c r="F14" s="24"/>
      <c r="G14" s="24">
        <f>SUM(G12:G13)</f>
        <v>41.199999999999996</v>
      </c>
      <c r="H14" s="24">
        <f t="shared" si="1"/>
        <v>0</v>
      </c>
      <c r="I14" s="26">
        <f t="shared" si="2"/>
        <v>0</v>
      </c>
      <c r="J14" s="26">
        <f>G14/$G$46</f>
        <v>0.41456441004024036</v>
      </c>
      <c r="K14" s="107"/>
    </row>
    <row r="15" spans="1:11" s="1" customFormat="1" x14ac:dyDescent="0.2">
      <c r="A15" s="108" t="s">
        <v>34</v>
      </c>
      <c r="B15" s="74">
        <f>B4*0.65</f>
        <v>260</v>
      </c>
      <c r="C15" s="27">
        <v>8.6999999999999994E-2</v>
      </c>
      <c r="D15" s="21">
        <f>B15*C15</f>
        <v>22.619999999999997</v>
      </c>
      <c r="E15" s="72">
        <f t="shared" ref="E15:F17" si="3">B15</f>
        <v>260</v>
      </c>
      <c r="F15" s="27">
        <f t="shared" si="3"/>
        <v>8.6999999999999994E-2</v>
      </c>
      <c r="G15" s="21">
        <f>E15*F15</f>
        <v>22.619999999999997</v>
      </c>
      <c r="H15" s="21">
        <f t="shared" si="1"/>
        <v>0</v>
      </c>
      <c r="I15" s="22">
        <f t="shared" si="2"/>
        <v>0</v>
      </c>
      <c r="J15" s="22"/>
      <c r="K15" s="107">
        <f t="shared" ref="K15:K41" si="4">G15/$G$51</f>
        <v>0.21931300566303816</v>
      </c>
    </row>
    <row r="16" spans="1:11" s="1" customFormat="1" x14ac:dyDescent="0.2">
      <c r="A16" s="108" t="s">
        <v>35</v>
      </c>
      <c r="B16" s="74">
        <f>B4*0.17</f>
        <v>68</v>
      </c>
      <c r="C16" s="27">
        <v>0.13200000000000001</v>
      </c>
      <c r="D16" s="21">
        <f>B16*C16</f>
        <v>8.9760000000000009</v>
      </c>
      <c r="E16" s="72">
        <f t="shared" si="3"/>
        <v>68</v>
      </c>
      <c r="F16" s="27">
        <f t="shared" si="3"/>
        <v>0.13200000000000001</v>
      </c>
      <c r="G16" s="21">
        <f>E16*F16</f>
        <v>8.9760000000000009</v>
      </c>
      <c r="H16" s="21">
        <f t="shared" si="1"/>
        <v>0</v>
      </c>
      <c r="I16" s="22">
        <f t="shared" si="2"/>
        <v>0</v>
      </c>
      <c r="J16" s="22"/>
      <c r="K16" s="107">
        <f t="shared" si="4"/>
        <v>8.7027123732600825E-2</v>
      </c>
    </row>
    <row r="17" spans="1:11" s="1" customFormat="1" x14ac:dyDescent="0.2">
      <c r="A17" s="108" t="s">
        <v>36</v>
      </c>
      <c r="B17" s="74">
        <f>B4*0.18</f>
        <v>72</v>
      </c>
      <c r="C17" s="27">
        <v>0.18</v>
      </c>
      <c r="D17" s="21">
        <f>B17*C17</f>
        <v>12.959999999999999</v>
      </c>
      <c r="E17" s="72">
        <f t="shared" si="3"/>
        <v>72</v>
      </c>
      <c r="F17" s="27">
        <f t="shared" si="3"/>
        <v>0.18</v>
      </c>
      <c r="G17" s="21">
        <f>E17*F17</f>
        <v>12.959999999999999</v>
      </c>
      <c r="H17" s="21">
        <f t="shared" si="1"/>
        <v>0</v>
      </c>
      <c r="I17" s="22">
        <f t="shared" si="2"/>
        <v>0</v>
      </c>
      <c r="J17" s="22"/>
      <c r="K17" s="107">
        <f t="shared" si="4"/>
        <v>0.12565413587060012</v>
      </c>
    </row>
    <row r="18" spans="1:11" s="1" customFormat="1" x14ac:dyDescent="0.2">
      <c r="A18" s="60" t="s">
        <v>37</v>
      </c>
      <c r="B18" s="28"/>
      <c r="C18" s="29"/>
      <c r="D18" s="29">
        <f>SUM(D15:D17)</f>
        <v>44.555999999999997</v>
      </c>
      <c r="E18" s="76"/>
      <c r="F18" s="29"/>
      <c r="G18" s="29">
        <f>SUM(G15:G17)</f>
        <v>44.555999999999997</v>
      </c>
      <c r="H18" s="30">
        <f t="shared" si="1"/>
        <v>0</v>
      </c>
      <c r="I18" s="31">
        <f t="shared" si="2"/>
        <v>0</v>
      </c>
      <c r="J18" s="32">
        <f t="shared" ref="J18:J24" si="5">G18/$G$46</f>
        <v>0.4483332974211881</v>
      </c>
      <c r="K18" s="61">
        <f t="shared" si="4"/>
        <v>0.43199426526623907</v>
      </c>
    </row>
    <row r="19" spans="1:11" x14ac:dyDescent="0.2">
      <c r="A19" s="106" t="s">
        <v>38</v>
      </c>
      <c r="B19" s="72">
        <v>1</v>
      </c>
      <c r="C19" s="77">
        <f>VLOOKUP($B$3,'Data for Bill Impacts'!$A$3:$Y$25,7,0)</f>
        <v>40.08</v>
      </c>
      <c r="D19" s="21">
        <f>B19*C19</f>
        <v>40.08</v>
      </c>
      <c r="E19" s="72">
        <f t="shared" ref="E19:E41" si="6">B19</f>
        <v>1</v>
      </c>
      <c r="F19" s="77">
        <f>VLOOKUP($B$3,'Data for Bill Impacts'!$A$3:$Y$25,17,0)</f>
        <v>41.17</v>
      </c>
      <c r="G19" s="21">
        <f>E19*F19</f>
        <v>41.17</v>
      </c>
      <c r="H19" s="21">
        <f t="shared" si="1"/>
        <v>1.0900000000000034</v>
      </c>
      <c r="I19" s="22">
        <f t="shared" si="2"/>
        <v>2.7195608782435217E-2</v>
      </c>
      <c r="J19" s="22">
        <f t="shared" si="5"/>
        <v>0.41426254275137619</v>
      </c>
      <c r="K19" s="107">
        <f t="shared" si="4"/>
        <v>0.39916518316300981</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400</v>
      </c>
      <c r="C23" s="77">
        <f>VLOOKUP($B$3,'Data for Bill Impacts'!$A$3:$Y$25,10,0)</f>
        <v>0</v>
      </c>
      <c r="D23" s="21">
        <f>B23*C23</f>
        <v>0</v>
      </c>
      <c r="E23" s="72">
        <f t="shared" si="6"/>
        <v>400</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400</v>
      </c>
      <c r="C24" s="125">
        <f>VLOOKUP($B$3,'Data for Bill Impacts'!$A$3:$Y$25,14,0)</f>
        <v>0</v>
      </c>
      <c r="D24" s="21">
        <f>B24*C24</f>
        <v>0</v>
      </c>
      <c r="E24" s="72">
        <f t="shared" si="6"/>
        <v>400</v>
      </c>
      <c r="F24" s="125">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40.08</v>
      </c>
      <c r="E25" s="72"/>
      <c r="F25" s="34"/>
      <c r="G25" s="34">
        <f>SUM(G19:G24)</f>
        <v>41.17</v>
      </c>
      <c r="H25" s="34">
        <f t="shared" si="1"/>
        <v>1.0900000000000034</v>
      </c>
      <c r="I25" s="35">
        <f t="shared" si="2"/>
        <v>2.7195608782435217E-2</v>
      </c>
      <c r="J25" s="35">
        <f>G25/$G$46</f>
        <v>0.41426254275137619</v>
      </c>
      <c r="K25" s="110">
        <f t="shared" si="4"/>
        <v>0.39916518316300981</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7.9491719400919883E-3</v>
      </c>
      <c r="K26" s="107">
        <f t="shared" si="4"/>
        <v>7.6594727884084952E-3</v>
      </c>
    </row>
    <row r="27" spans="1:11" s="1" customFormat="1" x14ac:dyDescent="0.2">
      <c r="A27" s="118" t="s">
        <v>75</v>
      </c>
      <c r="B27" s="119">
        <f>B8-B4</f>
        <v>26.680000000000007</v>
      </c>
      <c r="C27" s="120">
        <f>IF(B4&gt;B7,C13,C12)</f>
        <v>0.10299999999999999</v>
      </c>
      <c r="D27" s="21">
        <f>B27*C27</f>
        <v>2.7480400000000005</v>
      </c>
      <c r="E27" s="72">
        <f>B27</f>
        <v>26.680000000000007</v>
      </c>
      <c r="F27" s="120">
        <f>C27</f>
        <v>0.10299999999999999</v>
      </c>
      <c r="G27" s="21">
        <f>E27*F27</f>
        <v>2.7480400000000005</v>
      </c>
      <c r="H27" s="21">
        <f t="shared" si="1"/>
        <v>0</v>
      </c>
      <c r="I27" s="22">
        <f>IF(ISERROR(H27/D27),0,(H27/D27))</f>
        <v>0</v>
      </c>
      <c r="J27" s="22">
        <f t="shared" ref="J27:J46" si="9">G27/$G$46</f>
        <v>2.7651446149684039E-2</v>
      </c>
      <c r="K27" s="107">
        <f t="shared" si="4"/>
        <v>2.6643718482858333E-2</v>
      </c>
    </row>
    <row r="28" spans="1:11" s="1" customFormat="1" x14ac:dyDescent="0.2">
      <c r="A28" s="118" t="s">
        <v>74</v>
      </c>
      <c r="B28" s="119">
        <f>B8-B4</f>
        <v>26.680000000000007</v>
      </c>
      <c r="C28" s="120">
        <f>0.65*C15+0.17*C16+0.18*C17</f>
        <v>0.11139</v>
      </c>
      <c r="D28" s="21">
        <f>B28*C28</f>
        <v>2.9718852000000009</v>
      </c>
      <c r="E28" s="72">
        <f>B28</f>
        <v>26.680000000000007</v>
      </c>
      <c r="F28" s="120">
        <f>C28</f>
        <v>0.11139</v>
      </c>
      <c r="G28" s="21">
        <f>E28*F28</f>
        <v>2.9718852000000009</v>
      </c>
      <c r="H28" s="21">
        <f t="shared" si="1"/>
        <v>0</v>
      </c>
      <c r="I28" s="22">
        <f>IF(ISERROR(H28/D28),0,(H28/D28))</f>
        <v>0</v>
      </c>
      <c r="J28" s="22">
        <f t="shared" si="9"/>
        <v>2.9903830937993259E-2</v>
      </c>
      <c r="K28" s="107">
        <f t="shared" si="4"/>
        <v>2.8814017493258157E-2</v>
      </c>
    </row>
    <row r="29" spans="1:11" s="1" customFormat="1" x14ac:dyDescent="0.2">
      <c r="A29" s="109" t="s">
        <v>78</v>
      </c>
      <c r="B29" s="73"/>
      <c r="C29" s="34"/>
      <c r="D29" s="34">
        <f>SUM(D25,D26:D27)</f>
        <v>43.618040000000001</v>
      </c>
      <c r="E29" s="72"/>
      <c r="F29" s="34"/>
      <c r="G29" s="34">
        <f>SUM(G25,G26:G27)</f>
        <v>44.708040000000004</v>
      </c>
      <c r="H29" s="34">
        <f t="shared" si="1"/>
        <v>1.0900000000000034</v>
      </c>
      <c r="I29" s="35">
        <f>IF(ISERROR(H29/D29),0,(H29/D29))</f>
        <v>2.4989660241496486E-2</v>
      </c>
      <c r="J29" s="35">
        <f t="shared" si="9"/>
        <v>0.44986316084115224</v>
      </c>
      <c r="K29" s="110">
        <f t="shared" si="4"/>
        <v>0.43346837443427666</v>
      </c>
    </row>
    <row r="30" spans="1:11" s="1" customFormat="1" x14ac:dyDescent="0.2">
      <c r="A30" s="109" t="s">
        <v>77</v>
      </c>
      <c r="B30" s="73"/>
      <c r="C30" s="34"/>
      <c r="D30" s="34">
        <f>SUM(D25,D26,D28)</f>
        <v>43.8418852</v>
      </c>
      <c r="E30" s="72"/>
      <c r="F30" s="34"/>
      <c r="G30" s="34">
        <f>SUM(G25,G26,G28)</f>
        <v>44.931885200000004</v>
      </c>
      <c r="H30" s="34">
        <f t="shared" si="1"/>
        <v>1.0900000000000034</v>
      </c>
      <c r="I30" s="35">
        <f>IF(ISERROR(H30/D30),0,(H30/D30))</f>
        <v>2.4862069571771138E-2</v>
      </c>
      <c r="J30" s="35">
        <f t="shared" si="9"/>
        <v>0.45211554562946143</v>
      </c>
      <c r="K30" s="110">
        <f t="shared" si="4"/>
        <v>0.43563867344467649</v>
      </c>
    </row>
    <row r="31" spans="1:11" x14ac:dyDescent="0.2">
      <c r="A31" s="106" t="s">
        <v>40</v>
      </c>
      <c r="B31" s="72">
        <f>B8</f>
        <v>426.68</v>
      </c>
      <c r="C31" s="125">
        <f>VLOOKUP($B$3,'Data for Bill Impacts'!$A$3:$Y$25,15,0)</f>
        <v>7.1000000000000004E-3</v>
      </c>
      <c r="D31" s="21">
        <f>B31*C31</f>
        <v>3.0294280000000002</v>
      </c>
      <c r="E31" s="72">
        <f t="shared" si="6"/>
        <v>426.68</v>
      </c>
      <c r="F31" s="77">
        <f>VLOOKUP($B$3,'Data for Bill Impacts'!$A$3:$Y$25,24,0)</f>
        <v>7.1000000000000004E-3</v>
      </c>
      <c r="G31" s="21">
        <f>E31*F31</f>
        <v>3.0294280000000002</v>
      </c>
      <c r="H31" s="21">
        <f t="shared" si="1"/>
        <v>0</v>
      </c>
      <c r="I31" s="22">
        <f t="shared" si="2"/>
        <v>0</v>
      </c>
      <c r="J31" s="22">
        <f t="shared" si="9"/>
        <v>3.0482840572315182E-2</v>
      </c>
      <c r="K31" s="107">
        <f t="shared" si="4"/>
        <v>2.9371925734737684E-2</v>
      </c>
    </row>
    <row r="32" spans="1:11" x14ac:dyDescent="0.2">
      <c r="A32" s="106" t="s">
        <v>41</v>
      </c>
      <c r="B32" s="72">
        <f>B8</f>
        <v>426.68</v>
      </c>
      <c r="C32" s="125">
        <f>VLOOKUP($B$3,'Data for Bill Impacts'!$A$3:$Y$25,16,0)</f>
        <v>6.0000000000000001E-3</v>
      </c>
      <c r="D32" s="21">
        <f>B32*C32</f>
        <v>2.5600800000000001</v>
      </c>
      <c r="E32" s="72">
        <f t="shared" si="6"/>
        <v>426.68</v>
      </c>
      <c r="F32" s="77">
        <f>VLOOKUP($B$3,'Data for Bill Impacts'!$A$3:$Y$25,25,0)</f>
        <v>6.0000000000000001E-3</v>
      </c>
      <c r="G32" s="21">
        <f>E32*F32</f>
        <v>2.5600800000000001</v>
      </c>
      <c r="H32" s="21">
        <f t="shared" si="1"/>
        <v>0</v>
      </c>
      <c r="I32" s="22">
        <f t="shared" si="2"/>
        <v>0</v>
      </c>
      <c r="J32" s="22">
        <f t="shared" si="9"/>
        <v>2.576014696251987E-2</v>
      </c>
      <c r="K32" s="107">
        <f t="shared" si="4"/>
        <v>2.4821345691327622E-2</v>
      </c>
    </row>
    <row r="33" spans="1:11" s="1" customFormat="1" x14ac:dyDescent="0.2">
      <c r="A33" s="109" t="s">
        <v>76</v>
      </c>
      <c r="B33" s="73"/>
      <c r="C33" s="34"/>
      <c r="D33" s="34">
        <f>SUM(D31:D32)</f>
        <v>5.5895080000000004</v>
      </c>
      <c r="E33" s="72"/>
      <c r="F33" s="34"/>
      <c r="G33" s="34">
        <f>SUM(G31:G32)</f>
        <v>5.5895080000000004</v>
      </c>
      <c r="H33" s="34">
        <f t="shared" si="1"/>
        <v>0</v>
      </c>
      <c r="I33" s="35">
        <f t="shared" si="2"/>
        <v>0</v>
      </c>
      <c r="J33" s="35">
        <f t="shared" si="9"/>
        <v>5.6242987534835052E-2</v>
      </c>
      <c r="K33" s="110">
        <f t="shared" si="4"/>
        <v>5.4193271426065309E-2</v>
      </c>
    </row>
    <row r="34" spans="1:11" s="1" customFormat="1" x14ac:dyDescent="0.2">
      <c r="A34" s="109" t="s">
        <v>93</v>
      </c>
      <c r="B34" s="73"/>
      <c r="C34" s="34"/>
      <c r="D34" s="34">
        <f>D29+D33</f>
        <v>49.207548000000003</v>
      </c>
      <c r="E34" s="72"/>
      <c r="F34" s="34"/>
      <c r="G34" s="34">
        <f>G29+G33</f>
        <v>50.297548000000006</v>
      </c>
      <c r="H34" s="34">
        <f t="shared" si="1"/>
        <v>1.0900000000000034</v>
      </c>
      <c r="I34" s="35">
        <f t="shared" si="2"/>
        <v>2.2151073245917544E-2</v>
      </c>
      <c r="J34" s="35">
        <f t="shared" si="9"/>
        <v>0.50610614837598733</v>
      </c>
      <c r="K34" s="110">
        <f t="shared" si="4"/>
        <v>0.487661645860342</v>
      </c>
    </row>
    <row r="35" spans="1:11" s="1" customFormat="1" x14ac:dyDescent="0.2">
      <c r="A35" s="109" t="s">
        <v>94</v>
      </c>
      <c r="B35" s="73"/>
      <c r="C35" s="34"/>
      <c r="D35" s="34">
        <f>D30+D33</f>
        <v>49.431393200000002</v>
      </c>
      <c r="E35" s="72"/>
      <c r="F35" s="34"/>
      <c r="G35" s="34">
        <f>G30+G33</f>
        <v>50.521393200000006</v>
      </c>
      <c r="H35" s="34">
        <f t="shared" si="1"/>
        <v>1.0900000000000034</v>
      </c>
      <c r="I35" s="35">
        <f t="shared" si="2"/>
        <v>2.2050764290414606E-2</v>
      </c>
      <c r="J35" s="35">
        <f t="shared" si="9"/>
        <v>0.50835853316429647</v>
      </c>
      <c r="K35" s="110">
        <f t="shared" si="4"/>
        <v>0.48983194487074178</v>
      </c>
    </row>
    <row r="36" spans="1:11" x14ac:dyDescent="0.2">
      <c r="A36" s="106" t="s">
        <v>42</v>
      </c>
      <c r="B36" s="72">
        <f>B8</f>
        <v>426.68</v>
      </c>
      <c r="C36" s="33">
        <v>3.5999999999999999E-3</v>
      </c>
      <c r="D36" s="21">
        <f>B36*C36</f>
        <v>1.5360480000000001</v>
      </c>
      <c r="E36" s="72">
        <f t="shared" si="6"/>
        <v>426.68</v>
      </c>
      <c r="F36" s="33">
        <v>3.5999999999999999E-3</v>
      </c>
      <c r="G36" s="21">
        <f>E36*F36</f>
        <v>1.5360480000000001</v>
      </c>
      <c r="H36" s="21">
        <f t="shared" si="1"/>
        <v>0</v>
      </c>
      <c r="I36" s="22">
        <f t="shared" si="2"/>
        <v>0</v>
      </c>
      <c r="J36" s="22">
        <f t="shared" si="9"/>
        <v>1.5456088177511923E-2</v>
      </c>
      <c r="K36" s="107">
        <f t="shared" si="4"/>
        <v>1.4892807414796573E-2</v>
      </c>
    </row>
    <row r="37" spans="1:11" x14ac:dyDescent="0.2">
      <c r="A37" s="106" t="s">
        <v>43</v>
      </c>
      <c r="B37" s="72">
        <f>B8</f>
        <v>426.68</v>
      </c>
      <c r="C37" s="33">
        <v>2.0999999999999999E-3</v>
      </c>
      <c r="D37" s="21">
        <f>B37*C37</f>
        <v>0.89602799999999994</v>
      </c>
      <c r="E37" s="72">
        <f t="shared" si="6"/>
        <v>426.68</v>
      </c>
      <c r="F37" s="33">
        <v>2.0999999999999999E-3</v>
      </c>
      <c r="G37" s="21">
        <f>E37*F37</f>
        <v>0.89602799999999994</v>
      </c>
      <c r="H37" s="21">
        <f>G37-D37</f>
        <v>0</v>
      </c>
      <c r="I37" s="22">
        <f t="shared" si="2"/>
        <v>0</v>
      </c>
      <c r="J37" s="22">
        <f t="shared" si="9"/>
        <v>9.0160514368819548E-3</v>
      </c>
      <c r="K37" s="107">
        <f t="shared" si="4"/>
        <v>8.6874709919646659E-3</v>
      </c>
    </row>
    <row r="38" spans="1:11" x14ac:dyDescent="0.2">
      <c r="A38" s="106" t="s">
        <v>99</v>
      </c>
      <c r="B38" s="72">
        <f>B8</f>
        <v>426.68</v>
      </c>
      <c r="C38" s="33">
        <v>1.1000000000000001E-3</v>
      </c>
      <c r="D38" s="21">
        <f>B38*C38</f>
        <v>0.46934800000000004</v>
      </c>
      <c r="E38" s="72">
        <f t="shared" si="6"/>
        <v>426.68</v>
      </c>
      <c r="F38" s="33">
        <v>1.1000000000000001E-3</v>
      </c>
      <c r="G38" s="21">
        <f>E38*F38</f>
        <v>0.46934800000000004</v>
      </c>
      <c r="H38" s="21">
        <f>G38-D38</f>
        <v>0</v>
      </c>
      <c r="I38" s="22">
        <f t="shared" si="2"/>
        <v>0</v>
      </c>
      <c r="J38" s="22">
        <f t="shared" si="9"/>
        <v>4.7226936097953098E-3</v>
      </c>
      <c r="K38" s="107">
        <f t="shared" si="4"/>
        <v>4.550580043410064E-3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2.5155607405354394E-3</v>
      </c>
      <c r="K39" s="107">
        <f t="shared" si="4"/>
        <v>2.4238837938001566E-3</v>
      </c>
    </row>
    <row r="40" spans="1:11" s="1" customFormat="1" x14ac:dyDescent="0.2">
      <c r="A40" s="109" t="s">
        <v>45</v>
      </c>
      <c r="B40" s="73"/>
      <c r="C40" s="34"/>
      <c r="D40" s="34">
        <f>SUM(D36:D39)</f>
        <v>3.151424</v>
      </c>
      <c r="E40" s="72"/>
      <c r="F40" s="34"/>
      <c r="G40" s="34">
        <f>SUM(G36:G39)</f>
        <v>3.151424</v>
      </c>
      <c r="H40" s="34">
        <f t="shared" si="1"/>
        <v>0</v>
      </c>
      <c r="I40" s="35">
        <f t="shared" si="2"/>
        <v>0</v>
      </c>
      <c r="J40" s="35">
        <f t="shared" si="9"/>
        <v>3.1710393964724623E-2</v>
      </c>
      <c r="K40" s="110">
        <f t="shared" si="4"/>
        <v>3.055474224397146E-2</v>
      </c>
    </row>
    <row r="41" spans="1:11" s="1" customFormat="1" ht="13.5" thickBot="1" x14ac:dyDescent="0.25">
      <c r="A41" s="111" t="s">
        <v>46</v>
      </c>
      <c r="B41" s="112">
        <f>B4</f>
        <v>400</v>
      </c>
      <c r="C41" s="113">
        <v>0</v>
      </c>
      <c r="D41" s="114">
        <f>B41*C41</f>
        <v>0</v>
      </c>
      <c r="E41" s="115">
        <f t="shared" si="6"/>
        <v>400</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93.558972000000011</v>
      </c>
      <c r="E42" s="37"/>
      <c r="F42" s="38"/>
      <c r="G42" s="38">
        <f>SUM(G14,G25,G26,G27,G33,G40,G41)</f>
        <v>94.648972000000015</v>
      </c>
      <c r="H42" s="38">
        <f t="shared" si="1"/>
        <v>1.0900000000000034</v>
      </c>
      <c r="I42" s="39">
        <f>IF(ISERROR(H42/D42),0,(H42/D42))</f>
        <v>1.1650405906554888E-2</v>
      </c>
      <c r="J42" s="39">
        <f t="shared" si="9"/>
        <v>0.95238095238095244</v>
      </c>
      <c r="K42" s="40"/>
    </row>
    <row r="43" spans="1:11" x14ac:dyDescent="0.2">
      <c r="A43" s="143" t="s">
        <v>108</v>
      </c>
      <c r="B43" s="42"/>
      <c r="C43" s="25">
        <v>0.13</v>
      </c>
      <c r="D43" s="25">
        <f>D42*C43</f>
        <v>12.162666360000001</v>
      </c>
      <c r="E43" s="25"/>
      <c r="F43" s="25">
        <f>C43</f>
        <v>0.13</v>
      </c>
      <c r="G43" s="25">
        <f>G42*F43</f>
        <v>12.304366360000003</v>
      </c>
      <c r="H43" s="25">
        <f t="shared" si="1"/>
        <v>0.14170000000000194</v>
      </c>
      <c r="I43" s="43">
        <f t="shared" si="2"/>
        <v>1.1650405906555011E-2</v>
      </c>
      <c r="J43" s="43">
        <f t="shared" si="9"/>
        <v>0.12380952380952383</v>
      </c>
      <c r="K43" s="44"/>
    </row>
    <row r="44" spans="1:11" s="1" customFormat="1" x14ac:dyDescent="0.2">
      <c r="A44" s="45" t="s">
        <v>109</v>
      </c>
      <c r="B44" s="23"/>
      <c r="C44" s="24"/>
      <c r="D44" s="24">
        <f>SUM(D42:D43)</f>
        <v>105.72163836000001</v>
      </c>
      <c r="E44" s="24"/>
      <c r="F44" s="24"/>
      <c r="G44" s="24">
        <f>SUM(G42:G43)</f>
        <v>106.95333836000002</v>
      </c>
      <c r="H44" s="24">
        <f t="shared" si="1"/>
        <v>1.2317000000000036</v>
      </c>
      <c r="I44" s="26">
        <f t="shared" si="2"/>
        <v>1.1650405906554884E-2</v>
      </c>
      <c r="J44" s="26">
        <f t="shared" si="9"/>
        <v>1.0761904761904761</v>
      </c>
      <c r="K44" s="46"/>
    </row>
    <row r="45" spans="1:11" x14ac:dyDescent="0.2">
      <c r="A45" s="41" t="s">
        <v>110</v>
      </c>
      <c r="B45" s="42"/>
      <c r="C45" s="25">
        <v>-0.08</v>
      </c>
      <c r="D45" s="25">
        <f>D42*C45</f>
        <v>-7.4847177600000014</v>
      </c>
      <c r="E45" s="25"/>
      <c r="F45" s="25">
        <f>C45</f>
        <v>-0.08</v>
      </c>
      <c r="G45" s="25">
        <f>G42*F45</f>
        <v>-7.5719177600000016</v>
      </c>
      <c r="H45" s="25">
        <f t="shared" si="1"/>
        <v>-8.7200000000000166E-2</v>
      </c>
      <c r="I45" s="43">
        <f t="shared" si="2"/>
        <v>1.1650405906554872E-2</v>
      </c>
      <c r="J45" s="43">
        <f t="shared" si="9"/>
        <v>-7.6190476190476197E-2</v>
      </c>
      <c r="K45" s="44"/>
    </row>
    <row r="46" spans="1:11" s="1" customFormat="1" ht="13.5" thickBot="1" x14ac:dyDescent="0.25">
      <c r="A46" s="47" t="s">
        <v>111</v>
      </c>
      <c r="B46" s="48"/>
      <c r="C46" s="49"/>
      <c r="D46" s="49">
        <f>SUM(D44:D45)</f>
        <v>98.236920600000019</v>
      </c>
      <c r="E46" s="49"/>
      <c r="F46" s="49"/>
      <c r="G46" s="49">
        <f>SUM(G44:G45)</f>
        <v>99.381420600000013</v>
      </c>
      <c r="H46" s="49">
        <f t="shared" si="1"/>
        <v>1.1444999999999936</v>
      </c>
      <c r="I46" s="50">
        <f t="shared" si="2"/>
        <v>1.1650405906554785E-2</v>
      </c>
      <c r="J46" s="50">
        <f t="shared" si="9"/>
        <v>1</v>
      </c>
      <c r="K46" s="51"/>
    </row>
    <row r="47" spans="1:11" x14ac:dyDescent="0.2">
      <c r="A47" s="52" t="s">
        <v>112</v>
      </c>
      <c r="B47" s="53"/>
      <c r="C47" s="54"/>
      <c r="D47" s="54">
        <f>SUM(D18,D25,D26,D28,D33,D40,D41)</f>
        <v>97.138817200000005</v>
      </c>
      <c r="E47" s="54"/>
      <c r="F47" s="54"/>
      <c r="G47" s="54">
        <f>SUM(G18,G25,G26,G28,G33,G40,G41)</f>
        <v>98.228817200000009</v>
      </c>
      <c r="H47" s="54">
        <f>G47-D47</f>
        <v>1.0900000000000034</v>
      </c>
      <c r="I47" s="55">
        <f>IF(ISERROR(H47/D47),0,(H47/D47))</f>
        <v>1.1221054892564652E-2</v>
      </c>
      <c r="J47" s="55"/>
      <c r="K47" s="56">
        <f>G47/$G$51</f>
        <v>0.95238095238095244</v>
      </c>
    </row>
    <row r="48" spans="1:11" x14ac:dyDescent="0.2">
      <c r="A48" s="144" t="s">
        <v>108</v>
      </c>
      <c r="B48" s="58"/>
      <c r="C48" s="30">
        <v>0.13</v>
      </c>
      <c r="D48" s="30">
        <f>D47*C48</f>
        <v>12.628046236000001</v>
      </c>
      <c r="E48" s="30"/>
      <c r="F48" s="30">
        <f>C48</f>
        <v>0.13</v>
      </c>
      <c r="G48" s="30">
        <f>G47*F48</f>
        <v>12.769746236000001</v>
      </c>
      <c r="H48" s="30">
        <f>G48-D48</f>
        <v>0.14170000000000016</v>
      </c>
      <c r="I48" s="31">
        <f>IF(ISERROR(H48/D48),0,(H48/D48))</f>
        <v>1.1221054892564629E-2</v>
      </c>
      <c r="J48" s="31"/>
      <c r="K48" s="59">
        <f>G48/$G$51</f>
        <v>0.12380952380952381</v>
      </c>
    </row>
    <row r="49" spans="1:11" x14ac:dyDescent="0.2">
      <c r="A49" s="60" t="s">
        <v>113</v>
      </c>
      <c r="B49" s="28"/>
      <c r="C49" s="29"/>
      <c r="D49" s="29">
        <f>SUM(D47:D48)</f>
        <v>109.76686343600001</v>
      </c>
      <c r="E49" s="29"/>
      <c r="F49" s="29"/>
      <c r="G49" s="29">
        <f>SUM(G47:G48)</f>
        <v>110.99856343600001</v>
      </c>
      <c r="H49" s="29">
        <f>G49-D49</f>
        <v>1.2317000000000036</v>
      </c>
      <c r="I49" s="32">
        <f>IF(ISERROR(H49/D49),0,(H49/D49))</f>
        <v>1.1221054892564648E-2</v>
      </c>
      <c r="J49" s="32"/>
      <c r="K49" s="61">
        <f>G49/$G$51</f>
        <v>1.0761904761904761</v>
      </c>
    </row>
    <row r="50" spans="1:11" x14ac:dyDescent="0.2">
      <c r="A50" s="57" t="s">
        <v>110</v>
      </c>
      <c r="B50" s="58"/>
      <c r="C50" s="30">
        <v>-0.08</v>
      </c>
      <c r="D50" s="30">
        <f>D47*C50</f>
        <v>-7.7711053760000004</v>
      </c>
      <c r="E50" s="30"/>
      <c r="F50" s="30">
        <f>C50</f>
        <v>-0.08</v>
      </c>
      <c r="G50" s="30">
        <f>G47*F50</f>
        <v>-7.8583053760000006</v>
      </c>
      <c r="H50" s="30">
        <f>G50-D50</f>
        <v>-8.7200000000000166E-2</v>
      </c>
      <c r="I50" s="31">
        <f>IF(ISERROR(H50/D50),0,(H50/D50))</f>
        <v>1.1221054892564638E-2</v>
      </c>
      <c r="J50" s="31"/>
      <c r="K50" s="59">
        <f>G50/$G$51</f>
        <v>-7.6190476190476183E-2</v>
      </c>
    </row>
    <row r="51" spans="1:11" ht="13.5" thickBot="1" x14ac:dyDescent="0.25">
      <c r="A51" s="62" t="s">
        <v>114</v>
      </c>
      <c r="B51" s="63"/>
      <c r="C51" s="64"/>
      <c r="D51" s="64">
        <f>SUM(D49:D50)</f>
        <v>101.99575806000001</v>
      </c>
      <c r="E51" s="64"/>
      <c r="F51" s="64"/>
      <c r="G51" s="64">
        <f>SUM(G49:G50)</f>
        <v>103.14025806000001</v>
      </c>
      <c r="H51" s="64">
        <f>G51-D51</f>
        <v>1.1444999999999936</v>
      </c>
      <c r="I51" s="65">
        <f>IF(ISERROR(H51/D51),0,(H51/D51))</f>
        <v>1.1221054892564553E-2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119</v>
      </c>
    </row>
    <row r="4" spans="1:11" x14ac:dyDescent="0.2">
      <c r="A4" s="14" t="s">
        <v>62</v>
      </c>
      <c r="B4" s="14">
        <v>750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600</v>
      </c>
    </row>
    <row r="8" spans="1:11" x14ac:dyDescent="0.2">
      <c r="A8" s="14" t="s">
        <v>82</v>
      </c>
      <c r="B8" s="149">
        <f>B4*B6</f>
        <v>800.02499999999998</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0.4083515190377926</v>
      </c>
      <c r="K12" s="105"/>
    </row>
    <row r="13" spans="1:11" x14ac:dyDescent="0.2">
      <c r="A13" s="106" t="s">
        <v>32</v>
      </c>
      <c r="B13" s="72">
        <f>IF(B4&gt;B7,(B4)-B7,0)</f>
        <v>150</v>
      </c>
      <c r="C13" s="20">
        <v>0.121</v>
      </c>
      <c r="D13" s="21">
        <f>B13*C13</f>
        <v>18.149999999999999</v>
      </c>
      <c r="E13" s="72">
        <f t="shared" ref="E13" si="0">B13</f>
        <v>150</v>
      </c>
      <c r="F13" s="20">
        <f>C13</f>
        <v>0.121</v>
      </c>
      <c r="G13" s="21">
        <f>E13*F13</f>
        <v>18.149999999999999</v>
      </c>
      <c r="H13" s="21">
        <f t="shared" ref="H13:H46" si="1">G13-D13</f>
        <v>0</v>
      </c>
      <c r="I13" s="22">
        <f t="shared" ref="I13:I46" si="2">IF(ISERROR(H13/D13),0,(H13/D13))</f>
        <v>0</v>
      </c>
      <c r="J13" s="22">
        <f>G13/$G$46</f>
        <v>0.11992848010575946</v>
      </c>
      <c r="K13" s="107"/>
    </row>
    <row r="14" spans="1:11" s="1" customFormat="1" x14ac:dyDescent="0.2">
      <c r="A14" s="45" t="s">
        <v>33</v>
      </c>
      <c r="B14" s="23"/>
      <c r="C14" s="24"/>
      <c r="D14" s="24">
        <f>SUM(D12:D13)</f>
        <v>79.949999999999989</v>
      </c>
      <c r="E14" s="75"/>
      <c r="F14" s="24"/>
      <c r="G14" s="24">
        <f>SUM(G12:G13)</f>
        <v>79.949999999999989</v>
      </c>
      <c r="H14" s="24">
        <f t="shared" si="1"/>
        <v>0</v>
      </c>
      <c r="I14" s="26">
        <f t="shared" si="2"/>
        <v>0</v>
      </c>
      <c r="J14" s="26">
        <f>G14/$G$46</f>
        <v>0.52827999914355195</v>
      </c>
      <c r="K14" s="107"/>
    </row>
    <row r="15" spans="1:11" s="1" customFormat="1" x14ac:dyDescent="0.2">
      <c r="A15" s="108" t="s">
        <v>34</v>
      </c>
      <c r="B15" s="74">
        <f>B4*0.65</f>
        <v>487.5</v>
      </c>
      <c r="C15" s="27">
        <v>8.6999999999999994E-2</v>
      </c>
      <c r="D15" s="21">
        <f>B15*C15</f>
        <v>42.412499999999994</v>
      </c>
      <c r="E15" s="72">
        <f t="shared" ref="E15:F17" si="3">B15</f>
        <v>487.5</v>
      </c>
      <c r="F15" s="27">
        <f t="shared" si="3"/>
        <v>8.6999999999999994E-2</v>
      </c>
      <c r="G15" s="21">
        <f>E15*F15</f>
        <v>42.412499999999994</v>
      </c>
      <c r="H15" s="21">
        <f t="shared" si="1"/>
        <v>0</v>
      </c>
      <c r="I15" s="22">
        <f t="shared" si="2"/>
        <v>0</v>
      </c>
      <c r="J15" s="22"/>
      <c r="K15" s="107">
        <f t="shared" ref="K15:K41" si="4">G15/$G$51</f>
        <v>0.27432360837392561</v>
      </c>
    </row>
    <row r="16" spans="1:11" s="1" customFormat="1" x14ac:dyDescent="0.2">
      <c r="A16" s="108" t="s">
        <v>35</v>
      </c>
      <c r="B16" s="74">
        <f>B4*0.17</f>
        <v>127.50000000000001</v>
      </c>
      <c r="C16" s="27">
        <v>0.13200000000000001</v>
      </c>
      <c r="D16" s="21">
        <f>B16*C16</f>
        <v>16.830000000000002</v>
      </c>
      <c r="E16" s="72">
        <f t="shared" si="3"/>
        <v>127.50000000000001</v>
      </c>
      <c r="F16" s="27">
        <f t="shared" si="3"/>
        <v>0.13200000000000001</v>
      </c>
      <c r="G16" s="21">
        <f>E16*F16</f>
        <v>16.830000000000002</v>
      </c>
      <c r="H16" s="21">
        <f t="shared" si="1"/>
        <v>0</v>
      </c>
      <c r="I16" s="22">
        <f t="shared" si="2"/>
        <v>0</v>
      </c>
      <c r="J16" s="22"/>
      <c r="K16" s="107">
        <f t="shared" si="4"/>
        <v>0.10885626475527661</v>
      </c>
    </row>
    <row r="17" spans="1:11" s="1" customFormat="1" x14ac:dyDescent="0.2">
      <c r="A17" s="108" t="s">
        <v>36</v>
      </c>
      <c r="B17" s="74">
        <f>B4*0.18</f>
        <v>135</v>
      </c>
      <c r="C17" s="27">
        <v>0.18</v>
      </c>
      <c r="D17" s="21">
        <f>B17*C17</f>
        <v>24.3</v>
      </c>
      <c r="E17" s="72">
        <f t="shared" si="3"/>
        <v>135</v>
      </c>
      <c r="F17" s="27">
        <f t="shared" si="3"/>
        <v>0.18</v>
      </c>
      <c r="G17" s="21">
        <f>E17*F17</f>
        <v>24.3</v>
      </c>
      <c r="H17" s="21">
        <f t="shared" si="1"/>
        <v>0</v>
      </c>
      <c r="I17" s="22">
        <f t="shared" si="2"/>
        <v>0</v>
      </c>
      <c r="J17" s="22"/>
      <c r="K17" s="107">
        <f t="shared" si="4"/>
        <v>0.15717214697285925</v>
      </c>
    </row>
    <row r="18" spans="1:11" s="1" customFormat="1" x14ac:dyDescent="0.2">
      <c r="A18" s="60" t="s">
        <v>37</v>
      </c>
      <c r="B18" s="28"/>
      <c r="C18" s="29"/>
      <c r="D18" s="29">
        <f>SUM(D15:D17)</f>
        <v>83.54249999999999</v>
      </c>
      <c r="E18" s="76"/>
      <c r="F18" s="29"/>
      <c r="G18" s="29">
        <f>SUM(G15:G17)</f>
        <v>83.54249999999999</v>
      </c>
      <c r="H18" s="30">
        <f t="shared" si="1"/>
        <v>0</v>
      </c>
      <c r="I18" s="31">
        <f t="shared" si="2"/>
        <v>0</v>
      </c>
      <c r="J18" s="32">
        <f t="shared" ref="J18:J24" si="5">G18/$G$46</f>
        <v>0.5520179090487829</v>
      </c>
      <c r="K18" s="61">
        <f t="shared" si="4"/>
        <v>0.5403520201020614</v>
      </c>
    </row>
    <row r="19" spans="1:11" x14ac:dyDescent="0.2">
      <c r="A19" s="106" t="s">
        <v>38</v>
      </c>
      <c r="B19" s="72">
        <v>1</v>
      </c>
      <c r="C19" s="77">
        <f>VLOOKUP($B$3,'Data for Bill Impacts'!$A$3:$Y$25,7,0)</f>
        <v>40.08</v>
      </c>
      <c r="D19" s="21">
        <f>B19*C19</f>
        <v>40.08</v>
      </c>
      <c r="E19" s="72">
        <f t="shared" ref="E19:E41" si="6">B19</f>
        <v>1</v>
      </c>
      <c r="F19" s="77">
        <f>VLOOKUP($B$3,'Data for Bill Impacts'!$A$3:$Y$25,17,0)</f>
        <v>41.17</v>
      </c>
      <c r="G19" s="21">
        <f>E19*F19</f>
        <v>41.17</v>
      </c>
      <c r="H19" s="21">
        <f t="shared" si="1"/>
        <v>1.0900000000000034</v>
      </c>
      <c r="I19" s="22">
        <f t="shared" si="2"/>
        <v>2.7195608782435217E-2</v>
      </c>
      <c r="J19" s="22">
        <f t="shared" si="5"/>
        <v>0.27203611713245829</v>
      </c>
      <c r="K19" s="107">
        <f t="shared" si="4"/>
        <v>0.26628713131163029</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750</v>
      </c>
      <c r="C23" s="77">
        <f>VLOOKUP($B$3,'Data for Bill Impacts'!$A$3:$Y$25,10,0)</f>
        <v>0</v>
      </c>
      <c r="D23" s="21">
        <f>B23*C23</f>
        <v>0</v>
      </c>
      <c r="E23" s="72">
        <f t="shared" si="6"/>
        <v>750</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750</v>
      </c>
      <c r="C24" s="125">
        <f>VLOOKUP($B$3,'Data for Bill Impacts'!$A$3:$Y$25,14,0)</f>
        <v>0</v>
      </c>
      <c r="D24" s="21">
        <f>B24*C24</f>
        <v>0</v>
      </c>
      <c r="E24" s="72">
        <f t="shared" si="6"/>
        <v>750</v>
      </c>
      <c r="F24" s="125">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40.08</v>
      </c>
      <c r="E25" s="72"/>
      <c r="F25" s="34"/>
      <c r="G25" s="34">
        <f>SUM(G19:G24)</f>
        <v>41.17</v>
      </c>
      <c r="H25" s="34">
        <f t="shared" si="1"/>
        <v>1.0900000000000034</v>
      </c>
      <c r="I25" s="35">
        <f t="shared" si="2"/>
        <v>2.7195608782435217E-2</v>
      </c>
      <c r="J25" s="35">
        <f>G25/$G$46</f>
        <v>0.27203611713245829</v>
      </c>
      <c r="K25" s="110">
        <f t="shared" si="4"/>
        <v>0.26628713131163029</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5.2200275087355367E-3</v>
      </c>
      <c r="K26" s="107">
        <f t="shared" si="4"/>
        <v>5.1097117740147666E-3</v>
      </c>
    </row>
    <row r="27" spans="1:11" s="1" customFormat="1" x14ac:dyDescent="0.2">
      <c r="A27" s="118" t="s">
        <v>75</v>
      </c>
      <c r="B27" s="119">
        <f>B8-B4</f>
        <v>50.024999999999977</v>
      </c>
      <c r="C27" s="120">
        <f>IF(B4&gt;B7,C13,C12)</f>
        <v>0.121</v>
      </c>
      <c r="D27" s="21">
        <f>B27*C27</f>
        <v>6.0530249999999972</v>
      </c>
      <c r="E27" s="72">
        <f>B27</f>
        <v>50.024999999999977</v>
      </c>
      <c r="F27" s="120">
        <f>C27</f>
        <v>0.121</v>
      </c>
      <c r="G27" s="21">
        <f>E27*F27</f>
        <v>6.0530249999999972</v>
      </c>
      <c r="H27" s="21">
        <f t="shared" si="1"/>
        <v>0</v>
      </c>
      <c r="I27" s="22">
        <f>IF(ISERROR(H27/D27),0,(H27/D27))</f>
        <v>0</v>
      </c>
      <c r="J27" s="22">
        <f t="shared" ref="J27:J46" si="9">G27/$G$46</f>
        <v>3.9996148115270767E-2</v>
      </c>
      <c r="K27" s="107">
        <f t="shared" si="4"/>
        <v>3.9150902672032549E-2</v>
      </c>
    </row>
    <row r="28" spans="1:11" s="1" customFormat="1" x14ac:dyDescent="0.2">
      <c r="A28" s="118" t="s">
        <v>74</v>
      </c>
      <c r="B28" s="119">
        <f>B8-B4</f>
        <v>50.024999999999977</v>
      </c>
      <c r="C28" s="120">
        <f>0.65*C15+0.17*C16+0.18*C17</f>
        <v>0.11139</v>
      </c>
      <c r="D28" s="21">
        <f>B28*C28</f>
        <v>5.5722847499999979</v>
      </c>
      <c r="E28" s="72">
        <f>B28</f>
        <v>50.024999999999977</v>
      </c>
      <c r="F28" s="120">
        <f>C28</f>
        <v>0.11139</v>
      </c>
      <c r="G28" s="21">
        <f>E28*F28</f>
        <v>5.5722847499999979</v>
      </c>
      <c r="H28" s="21">
        <f t="shared" si="1"/>
        <v>0</v>
      </c>
      <c r="I28" s="22">
        <f>IF(ISERROR(H28/D28),0,(H28/D28))</f>
        <v>0</v>
      </c>
      <c r="J28" s="22">
        <f t="shared" si="9"/>
        <v>3.6819594533553809E-2</v>
      </c>
      <c r="K28" s="107">
        <f t="shared" si="4"/>
        <v>3.6041479740807486E-2</v>
      </c>
    </row>
    <row r="29" spans="1:11" s="1" customFormat="1" x14ac:dyDescent="0.2">
      <c r="A29" s="109" t="s">
        <v>78</v>
      </c>
      <c r="B29" s="73"/>
      <c r="C29" s="34"/>
      <c r="D29" s="34">
        <f>SUM(D25,D26:D27)</f>
        <v>46.923024999999996</v>
      </c>
      <c r="E29" s="72"/>
      <c r="F29" s="34"/>
      <c r="G29" s="34">
        <f>SUM(G25,G26:G27)</f>
        <v>48.013024999999999</v>
      </c>
      <c r="H29" s="34">
        <f t="shared" si="1"/>
        <v>1.0900000000000034</v>
      </c>
      <c r="I29" s="35">
        <f>IF(ISERROR(H29/D29),0,(H29/D29))</f>
        <v>2.322953390153349E-2</v>
      </c>
      <c r="J29" s="35">
        <f t="shared" si="9"/>
        <v>0.3172522927564646</v>
      </c>
      <c r="K29" s="110">
        <f t="shared" si="4"/>
        <v>0.31054774575767763</v>
      </c>
    </row>
    <row r="30" spans="1:11" s="1" customFormat="1" x14ac:dyDescent="0.2">
      <c r="A30" s="109" t="s">
        <v>77</v>
      </c>
      <c r="B30" s="73"/>
      <c r="C30" s="34"/>
      <c r="D30" s="34">
        <f>SUM(D25,D26,D28)</f>
        <v>46.442284749999999</v>
      </c>
      <c r="E30" s="72"/>
      <c r="F30" s="34"/>
      <c r="G30" s="34">
        <f>SUM(G25,G26,G28)</f>
        <v>47.532284750000002</v>
      </c>
      <c r="H30" s="34">
        <f t="shared" si="1"/>
        <v>1.0900000000000034</v>
      </c>
      <c r="I30" s="35">
        <f>IF(ISERROR(H30/D30),0,(H30/D30))</f>
        <v>2.3469990890144642E-2</v>
      </c>
      <c r="J30" s="35">
        <f t="shared" si="9"/>
        <v>0.31407573917474763</v>
      </c>
      <c r="K30" s="110">
        <f t="shared" si="4"/>
        <v>0.30743832282645256</v>
      </c>
    </row>
    <row r="31" spans="1:11" x14ac:dyDescent="0.2">
      <c r="A31" s="106" t="s">
        <v>40</v>
      </c>
      <c r="B31" s="72">
        <f>B8</f>
        <v>800.02499999999998</v>
      </c>
      <c r="C31" s="125">
        <f>VLOOKUP($B$3,'Data for Bill Impacts'!$A$3:$Y$25,15,0)</f>
        <v>7.1000000000000004E-3</v>
      </c>
      <c r="D31" s="21">
        <f>B31*C31</f>
        <v>5.6801775000000001</v>
      </c>
      <c r="E31" s="72">
        <f t="shared" si="6"/>
        <v>800.02499999999998</v>
      </c>
      <c r="F31" s="77">
        <f>VLOOKUP($B$3,'Data for Bill Impacts'!$A$3:$Y$25,24,0)</f>
        <v>7.1000000000000004E-3</v>
      </c>
      <c r="G31" s="21">
        <f>E31*F31</f>
        <v>5.6801775000000001</v>
      </c>
      <c r="H31" s="21">
        <f t="shared" si="1"/>
        <v>0</v>
      </c>
      <c r="I31" s="22">
        <f t="shared" si="2"/>
        <v>0</v>
      </c>
      <c r="J31" s="22">
        <f t="shared" si="9"/>
        <v>3.7532509879114745E-2</v>
      </c>
      <c r="K31" s="107">
        <f t="shared" si="4"/>
        <v>3.6739328924359188E-2</v>
      </c>
    </row>
    <row r="32" spans="1:11" x14ac:dyDescent="0.2">
      <c r="A32" s="106" t="s">
        <v>41</v>
      </c>
      <c r="B32" s="72">
        <f>B8</f>
        <v>800.02499999999998</v>
      </c>
      <c r="C32" s="125">
        <f>VLOOKUP($B$3,'Data for Bill Impacts'!$A$3:$Y$25,16,0)</f>
        <v>6.0000000000000001E-3</v>
      </c>
      <c r="D32" s="21">
        <f>B32*C32</f>
        <v>4.8001500000000004</v>
      </c>
      <c r="E32" s="72">
        <f t="shared" si="6"/>
        <v>800.02499999999998</v>
      </c>
      <c r="F32" s="77">
        <f>VLOOKUP($B$3,'Data for Bill Impacts'!$A$3:$Y$25,25,0)</f>
        <v>6.0000000000000001E-3</v>
      </c>
      <c r="G32" s="21">
        <f>E32*F32</f>
        <v>4.8001500000000004</v>
      </c>
      <c r="H32" s="21">
        <f t="shared" si="1"/>
        <v>0</v>
      </c>
      <c r="I32" s="22">
        <f t="shared" si="2"/>
        <v>0</v>
      </c>
      <c r="J32" s="22">
        <f t="shared" si="9"/>
        <v>3.1717613982350491E-2</v>
      </c>
      <c r="K32" s="107">
        <f t="shared" si="4"/>
        <v>3.1047320217768331E-2</v>
      </c>
    </row>
    <row r="33" spans="1:11" s="1" customFormat="1" x14ac:dyDescent="0.2">
      <c r="A33" s="109" t="s">
        <v>76</v>
      </c>
      <c r="B33" s="73"/>
      <c r="C33" s="34"/>
      <c r="D33" s="34">
        <f>SUM(D31:D32)</f>
        <v>10.480327500000001</v>
      </c>
      <c r="E33" s="72"/>
      <c r="F33" s="34"/>
      <c r="G33" s="34">
        <f>SUM(G31:G32)</f>
        <v>10.480327500000001</v>
      </c>
      <c r="H33" s="34">
        <f t="shared" si="1"/>
        <v>0</v>
      </c>
      <c r="I33" s="35">
        <f t="shared" si="2"/>
        <v>0</v>
      </c>
      <c r="J33" s="35">
        <f t="shared" si="9"/>
        <v>6.9250123861465243E-2</v>
      </c>
      <c r="K33" s="110">
        <f t="shared" si="4"/>
        <v>6.7786649142127522E-2</v>
      </c>
    </row>
    <row r="34" spans="1:11" s="1" customFormat="1" x14ac:dyDescent="0.2">
      <c r="A34" s="109" t="s">
        <v>93</v>
      </c>
      <c r="B34" s="73"/>
      <c r="C34" s="34"/>
      <c r="D34" s="34">
        <f>D29+D33</f>
        <v>57.403352499999997</v>
      </c>
      <c r="E34" s="72"/>
      <c r="F34" s="34"/>
      <c r="G34" s="34">
        <f>G29+G33</f>
        <v>58.4933525</v>
      </c>
      <c r="H34" s="34">
        <f t="shared" si="1"/>
        <v>1.0900000000000034</v>
      </c>
      <c r="I34" s="35">
        <f t="shared" si="2"/>
        <v>1.8988438001073256E-2</v>
      </c>
      <c r="J34" s="35">
        <f t="shared" si="9"/>
        <v>0.38650241661792983</v>
      </c>
      <c r="K34" s="110">
        <f t="shared" si="4"/>
        <v>0.37833439489980514</v>
      </c>
    </row>
    <row r="35" spans="1:11" s="1" customFormat="1" x14ac:dyDescent="0.2">
      <c r="A35" s="109" t="s">
        <v>94</v>
      </c>
      <c r="B35" s="73"/>
      <c r="C35" s="34"/>
      <c r="D35" s="34">
        <f>D30+D33</f>
        <v>56.92261225</v>
      </c>
      <c r="E35" s="72"/>
      <c r="F35" s="34"/>
      <c r="G35" s="34">
        <f>G30+G33</f>
        <v>58.012612250000004</v>
      </c>
      <c r="H35" s="34">
        <f t="shared" si="1"/>
        <v>1.0900000000000034</v>
      </c>
      <c r="I35" s="35">
        <f t="shared" si="2"/>
        <v>1.9148804963707605E-2</v>
      </c>
      <c r="J35" s="35">
        <f t="shared" si="9"/>
        <v>0.38332586303621291</v>
      </c>
      <c r="K35" s="110">
        <f t="shared" si="4"/>
        <v>0.37522497196858007</v>
      </c>
    </row>
    <row r="36" spans="1:11" x14ac:dyDescent="0.2">
      <c r="A36" s="106" t="s">
        <v>42</v>
      </c>
      <c r="B36" s="72">
        <f>B8</f>
        <v>800.02499999999998</v>
      </c>
      <c r="C36" s="33">
        <v>3.5999999999999999E-3</v>
      </c>
      <c r="D36" s="21">
        <f>B36*C36</f>
        <v>2.88009</v>
      </c>
      <c r="E36" s="72">
        <f t="shared" si="6"/>
        <v>800.02499999999998</v>
      </c>
      <c r="F36" s="33">
        <v>3.5999999999999999E-3</v>
      </c>
      <c r="G36" s="21">
        <f>E36*F36</f>
        <v>2.88009</v>
      </c>
      <c r="H36" s="21">
        <f t="shared" si="1"/>
        <v>0</v>
      </c>
      <c r="I36" s="22">
        <f t="shared" si="2"/>
        <v>0</v>
      </c>
      <c r="J36" s="22">
        <f t="shared" si="9"/>
        <v>1.9030568389410293E-2</v>
      </c>
      <c r="K36" s="107">
        <f t="shared" si="4"/>
        <v>1.8628392130660996E-2</v>
      </c>
    </row>
    <row r="37" spans="1:11" x14ac:dyDescent="0.2">
      <c r="A37" s="106" t="s">
        <v>43</v>
      </c>
      <c r="B37" s="72">
        <f>B8</f>
        <v>800.02499999999998</v>
      </c>
      <c r="C37" s="33">
        <v>2.0999999999999999E-3</v>
      </c>
      <c r="D37" s="21">
        <f>B37*C37</f>
        <v>1.6800524999999999</v>
      </c>
      <c r="E37" s="72">
        <f t="shared" si="6"/>
        <v>800.02499999999998</v>
      </c>
      <c r="F37" s="33">
        <v>2.0999999999999999E-3</v>
      </c>
      <c r="G37" s="21">
        <f>E37*F37</f>
        <v>1.6800524999999999</v>
      </c>
      <c r="H37" s="21">
        <f>G37-D37</f>
        <v>0</v>
      </c>
      <c r="I37" s="22">
        <f t="shared" si="2"/>
        <v>0</v>
      </c>
      <c r="J37" s="22">
        <f t="shared" si="9"/>
        <v>1.1101164893822671E-2</v>
      </c>
      <c r="K37" s="107">
        <f t="shared" si="4"/>
        <v>1.0866562076218915E-2</v>
      </c>
    </row>
    <row r="38" spans="1:11" x14ac:dyDescent="0.2">
      <c r="A38" s="106" t="s">
        <v>99</v>
      </c>
      <c r="B38" s="72">
        <f>B8</f>
        <v>800.02499999999998</v>
      </c>
      <c r="C38" s="33">
        <v>1.1000000000000001E-3</v>
      </c>
      <c r="D38" s="21">
        <f>B38*C38</f>
        <v>0.88002750000000007</v>
      </c>
      <c r="E38" s="72">
        <f t="shared" si="6"/>
        <v>800.02499999999998</v>
      </c>
      <c r="F38" s="33">
        <v>1.1000000000000001E-3</v>
      </c>
      <c r="G38" s="21">
        <f>E38*F38</f>
        <v>0.88002750000000007</v>
      </c>
      <c r="H38" s="21">
        <f>G38-D38</f>
        <v>0</v>
      </c>
      <c r="I38" s="22">
        <f t="shared" si="2"/>
        <v>0</v>
      </c>
      <c r="J38" s="22">
        <f t="shared" si="9"/>
        <v>5.8148958967642562E-3</v>
      </c>
      <c r="K38" s="107">
        <f t="shared" si="4"/>
        <v>5.6920087065908606E-3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1.6519074394732709E-3</v>
      </c>
      <c r="K39" s="107">
        <f t="shared" si="4"/>
        <v>1.6169973968401159E-3</v>
      </c>
    </row>
    <row r="40" spans="1:11" s="1" customFormat="1" x14ac:dyDescent="0.2">
      <c r="A40" s="109" t="s">
        <v>45</v>
      </c>
      <c r="B40" s="73"/>
      <c r="C40" s="34"/>
      <c r="D40" s="34">
        <f>SUM(D36:D39)</f>
        <v>5.6901699999999993</v>
      </c>
      <c r="E40" s="72"/>
      <c r="F40" s="34"/>
      <c r="G40" s="34">
        <f>SUM(G36:G39)</f>
        <v>5.6901699999999993</v>
      </c>
      <c r="H40" s="34">
        <f t="shared" si="1"/>
        <v>0</v>
      </c>
      <c r="I40" s="35">
        <f t="shared" si="2"/>
        <v>0</v>
      </c>
      <c r="J40" s="35">
        <f t="shared" si="9"/>
        <v>3.7598536619470484E-2</v>
      </c>
      <c r="K40" s="110">
        <f t="shared" si="4"/>
        <v>3.6803960310310885E-2</v>
      </c>
    </row>
    <row r="41" spans="1:11" s="1" customFormat="1" ht="13.5" thickBot="1" x14ac:dyDescent="0.25">
      <c r="A41" s="111" t="s">
        <v>46</v>
      </c>
      <c r="B41" s="112">
        <f>B4</f>
        <v>750</v>
      </c>
      <c r="C41" s="113">
        <v>0</v>
      </c>
      <c r="D41" s="114">
        <f>B41*C41</f>
        <v>0</v>
      </c>
      <c r="E41" s="115">
        <f t="shared" si="6"/>
        <v>750</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143.04352249999997</v>
      </c>
      <c r="E42" s="37"/>
      <c r="F42" s="38"/>
      <c r="G42" s="38">
        <f>SUM(G14,G25,G26,G27,G33,G40,G41)</f>
        <v>144.1335225</v>
      </c>
      <c r="H42" s="38">
        <f t="shared" si="1"/>
        <v>1.0900000000000318</v>
      </c>
      <c r="I42" s="39">
        <f>IF(ISERROR(H42/D42),0,(H42/D42))</f>
        <v>7.6200584336143717E-3</v>
      </c>
      <c r="J42" s="39">
        <f t="shared" si="9"/>
        <v>0.95238095238095233</v>
      </c>
      <c r="K42" s="40"/>
    </row>
    <row r="43" spans="1:11" x14ac:dyDescent="0.2">
      <c r="A43" s="143" t="s">
        <v>108</v>
      </c>
      <c r="B43" s="42"/>
      <c r="C43" s="25">
        <v>0.13</v>
      </c>
      <c r="D43" s="25">
        <f>D42*C43</f>
        <v>18.595657924999998</v>
      </c>
      <c r="E43" s="25"/>
      <c r="F43" s="25">
        <f>C43</f>
        <v>0.13</v>
      </c>
      <c r="G43" s="25">
        <f>G42*F43</f>
        <v>18.737357925000001</v>
      </c>
      <c r="H43" s="25">
        <f t="shared" si="1"/>
        <v>0.14170000000000371</v>
      </c>
      <c r="I43" s="43">
        <f t="shared" si="2"/>
        <v>7.6200584336143474E-3</v>
      </c>
      <c r="J43" s="43">
        <f t="shared" si="9"/>
        <v>0.12380952380952381</v>
      </c>
      <c r="K43" s="44"/>
    </row>
    <row r="44" spans="1:11" s="1" customFormat="1" x14ac:dyDescent="0.2">
      <c r="A44" s="45" t="s">
        <v>109</v>
      </c>
      <c r="B44" s="23"/>
      <c r="C44" s="24"/>
      <c r="D44" s="24">
        <f>SUM(D42:D43)</f>
        <v>161.63918042499995</v>
      </c>
      <c r="E44" s="24"/>
      <c r="F44" s="24"/>
      <c r="G44" s="24">
        <f>SUM(G42:G43)</f>
        <v>162.870880425</v>
      </c>
      <c r="H44" s="24">
        <f t="shared" si="1"/>
        <v>1.2317000000000462</v>
      </c>
      <c r="I44" s="26">
        <f t="shared" si="2"/>
        <v>7.620058433614435E-3</v>
      </c>
      <c r="J44" s="26">
        <f t="shared" si="9"/>
        <v>1.0761904761904761</v>
      </c>
      <c r="K44" s="46"/>
    </row>
    <row r="45" spans="1:11" x14ac:dyDescent="0.2">
      <c r="A45" s="41" t="s">
        <v>110</v>
      </c>
      <c r="B45" s="42"/>
      <c r="C45" s="25">
        <v>-0.08</v>
      </c>
      <c r="D45" s="25">
        <f>D42*C45</f>
        <v>-11.443481799999997</v>
      </c>
      <c r="E45" s="25"/>
      <c r="F45" s="25">
        <f>C45</f>
        <v>-0.08</v>
      </c>
      <c r="G45" s="25">
        <f>G42*F45</f>
        <v>-11.5306818</v>
      </c>
      <c r="H45" s="25">
        <f t="shared" si="1"/>
        <v>-8.7200000000002831E-2</v>
      </c>
      <c r="I45" s="43">
        <f t="shared" si="2"/>
        <v>7.620058433614396E-3</v>
      </c>
      <c r="J45" s="43">
        <f t="shared" si="9"/>
        <v>-7.6190476190476197E-2</v>
      </c>
      <c r="K45" s="44"/>
    </row>
    <row r="46" spans="1:11" s="1" customFormat="1" ht="13.5" thickBot="1" x14ac:dyDescent="0.25">
      <c r="A46" s="47" t="s">
        <v>111</v>
      </c>
      <c r="B46" s="48"/>
      <c r="C46" s="49"/>
      <c r="D46" s="49">
        <f>SUM(D44:D45)</f>
        <v>150.19569862499995</v>
      </c>
      <c r="E46" s="49"/>
      <c r="F46" s="49"/>
      <c r="G46" s="49">
        <f>SUM(G44:G45)</f>
        <v>151.340198625</v>
      </c>
      <c r="H46" s="49">
        <f t="shared" si="1"/>
        <v>1.1445000000000505</v>
      </c>
      <c r="I46" s="50">
        <f t="shared" si="2"/>
        <v>7.6200584336144853E-3</v>
      </c>
      <c r="J46" s="50">
        <f t="shared" si="9"/>
        <v>1</v>
      </c>
      <c r="K46" s="51"/>
    </row>
    <row r="47" spans="1:11" x14ac:dyDescent="0.2">
      <c r="A47" s="52" t="s">
        <v>112</v>
      </c>
      <c r="B47" s="53"/>
      <c r="C47" s="54"/>
      <c r="D47" s="54">
        <f>SUM(D18,D25,D26,D28,D33,D40,D41)</f>
        <v>146.15528225</v>
      </c>
      <c r="E47" s="54"/>
      <c r="F47" s="54"/>
      <c r="G47" s="54">
        <f>SUM(G18,G25,G26,G28,G33,G40,G41)</f>
        <v>147.24528224999997</v>
      </c>
      <c r="H47" s="54">
        <f>G47-D47</f>
        <v>1.089999999999975</v>
      </c>
      <c r="I47" s="55">
        <f>IF(ISERROR(H47/D47),0,(H47/D47))</f>
        <v>7.4578214568770743E-3</v>
      </c>
      <c r="J47" s="55"/>
      <c r="K47" s="56">
        <f>G47/$G$51</f>
        <v>0.95238095238095233</v>
      </c>
    </row>
    <row r="48" spans="1:11" x14ac:dyDescent="0.2">
      <c r="A48" s="57" t="s">
        <v>108</v>
      </c>
      <c r="B48" s="58"/>
      <c r="C48" s="30">
        <v>0.13</v>
      </c>
      <c r="D48" s="30">
        <f>D47*C48</f>
        <v>19.000186692500002</v>
      </c>
      <c r="E48" s="30"/>
      <c r="F48" s="30">
        <f>C48</f>
        <v>0.13</v>
      </c>
      <c r="G48" s="30">
        <f>G47*F48</f>
        <v>19.141886692499998</v>
      </c>
      <c r="H48" s="30">
        <f>G48-D48</f>
        <v>0.14169999999999661</v>
      </c>
      <c r="I48" s="31">
        <f>IF(ISERROR(H48/D48),0,(H48/D48))</f>
        <v>7.4578214568770665E-3</v>
      </c>
      <c r="J48" s="31"/>
      <c r="K48" s="59">
        <f>G48/$G$51</f>
        <v>0.12380952380952381</v>
      </c>
    </row>
    <row r="49" spans="1:11" x14ac:dyDescent="0.2">
      <c r="A49" s="60" t="s">
        <v>113</v>
      </c>
      <c r="B49" s="28"/>
      <c r="C49" s="29"/>
      <c r="D49" s="29">
        <f>SUM(D47:D48)</f>
        <v>165.15546894249999</v>
      </c>
      <c r="E49" s="29"/>
      <c r="F49" s="29"/>
      <c r="G49" s="29">
        <f>SUM(G47:G48)</f>
        <v>166.38716894249998</v>
      </c>
      <c r="H49" s="29">
        <f>G49-D49</f>
        <v>1.2316999999999894</v>
      </c>
      <c r="I49" s="32">
        <f>IF(ISERROR(H49/D49),0,(H49/D49))</f>
        <v>7.4578214568771809E-3</v>
      </c>
      <c r="J49" s="32"/>
      <c r="K49" s="61">
        <f>G49/$G$51</f>
        <v>1.0761904761904761</v>
      </c>
    </row>
    <row r="50" spans="1:11" x14ac:dyDescent="0.2">
      <c r="A50" s="57" t="s">
        <v>110</v>
      </c>
      <c r="B50" s="58"/>
      <c r="C50" s="30">
        <v>-0.08</v>
      </c>
      <c r="D50" s="30">
        <f>D47*C50</f>
        <v>-11.692422580000001</v>
      </c>
      <c r="E50" s="30"/>
      <c r="F50" s="30">
        <f>C50</f>
        <v>-0.08</v>
      </c>
      <c r="G50" s="30">
        <f>G47*F50</f>
        <v>-11.779622579999998</v>
      </c>
      <c r="H50" s="30">
        <f>G50-D50</f>
        <v>-8.7199999999997502E-2</v>
      </c>
      <c r="I50" s="31">
        <f>IF(ISERROR(H50/D50),0,(H50/D50))</f>
        <v>7.4578214568770318E-3</v>
      </c>
      <c r="J50" s="31"/>
      <c r="K50" s="59">
        <f>G50/$G$51</f>
        <v>-7.6190476190476183E-2</v>
      </c>
    </row>
    <row r="51" spans="1:11" ht="13.5" thickBot="1" x14ac:dyDescent="0.25">
      <c r="A51" s="62" t="s">
        <v>114</v>
      </c>
      <c r="B51" s="63"/>
      <c r="C51" s="64"/>
      <c r="D51" s="64">
        <f>SUM(D49:D50)</f>
        <v>153.46304636249999</v>
      </c>
      <c r="E51" s="64"/>
      <c r="F51" s="64"/>
      <c r="G51" s="64">
        <f>SUM(G49:G50)</f>
        <v>154.60754636249999</v>
      </c>
      <c r="H51" s="64">
        <f>G51-D51</f>
        <v>1.1444999999999936</v>
      </c>
      <c r="I51" s="65">
        <f>IF(ISERROR(H51/D51),0,(H51/D51))</f>
        <v>7.4578214568772044E-3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1" tint="0.499984740745262"/>
    <pageSetUpPr fitToPage="1"/>
  </sheetPr>
  <dimension ref="A1:K68"/>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119</v>
      </c>
    </row>
    <row r="4" spans="1:11" x14ac:dyDescent="0.2">
      <c r="A4" s="14" t="s">
        <v>62</v>
      </c>
      <c r="B4" s="78">
        <f>VLOOKUP($B$3,'Data for Bill Impacts_HONI Avg '!$A$2:$F$21,3,FALSE)</f>
        <v>634</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600</v>
      </c>
    </row>
    <row r="8" spans="1:11" x14ac:dyDescent="0.2">
      <c r="A8" s="14" t="s">
        <v>82</v>
      </c>
      <c r="B8" s="149">
        <f>B4*B6</f>
        <v>676.28779999999995</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0.46454325298914262</v>
      </c>
      <c r="K12" s="105"/>
    </row>
    <row r="13" spans="1:11" x14ac:dyDescent="0.2">
      <c r="A13" s="106" t="s">
        <v>32</v>
      </c>
      <c r="B13" s="72">
        <f>IF(B4&gt;B7,(B4)-B7,0)</f>
        <v>34</v>
      </c>
      <c r="C13" s="20">
        <v>0.121</v>
      </c>
      <c r="D13" s="21">
        <f>B13*C13</f>
        <v>4.1139999999999999</v>
      </c>
      <c r="E13" s="72">
        <f t="shared" ref="E13" si="0">B13</f>
        <v>34</v>
      </c>
      <c r="F13" s="20">
        <f>C13</f>
        <v>0.121</v>
      </c>
      <c r="G13" s="21">
        <f>E13*F13</f>
        <v>4.1139999999999999</v>
      </c>
      <c r="H13" s="21">
        <f t="shared" ref="H13:H46" si="1">G13-D13</f>
        <v>0</v>
      </c>
      <c r="I13" s="22">
        <f t="shared" ref="I13:I46" si="2">IF(ISERROR(H13/D13),0,(H13/D13))</f>
        <v>0</v>
      </c>
      <c r="J13" s="22">
        <f>G13/$G$46</f>
        <v>3.0924448912578201E-2</v>
      </c>
      <c r="K13" s="107"/>
    </row>
    <row r="14" spans="1:11" s="1" customFormat="1" x14ac:dyDescent="0.2">
      <c r="A14" s="45" t="s">
        <v>33</v>
      </c>
      <c r="B14" s="23"/>
      <c r="C14" s="24"/>
      <c r="D14" s="24">
        <f>SUM(D12:D13)</f>
        <v>65.914000000000001</v>
      </c>
      <c r="E14" s="75"/>
      <c r="F14" s="24"/>
      <c r="G14" s="24">
        <f>SUM(G12:G13)</f>
        <v>65.914000000000001</v>
      </c>
      <c r="H14" s="24">
        <f t="shared" si="1"/>
        <v>0</v>
      </c>
      <c r="I14" s="26">
        <f t="shared" si="2"/>
        <v>0</v>
      </c>
      <c r="J14" s="26">
        <f>G14/$G$46</f>
        <v>0.49546770190172085</v>
      </c>
      <c r="K14" s="107"/>
    </row>
    <row r="15" spans="1:11" s="1" customFormat="1" x14ac:dyDescent="0.2">
      <c r="A15" s="108" t="s">
        <v>34</v>
      </c>
      <c r="B15" s="74">
        <f>B4*0.65</f>
        <v>412.1</v>
      </c>
      <c r="C15" s="27">
        <v>8.6999999999999994E-2</v>
      </c>
      <c r="D15" s="21">
        <f>B15*C15</f>
        <v>35.852699999999999</v>
      </c>
      <c r="E15" s="72">
        <f t="shared" ref="E15:F17" si="3">B15</f>
        <v>412.1</v>
      </c>
      <c r="F15" s="27">
        <f t="shared" si="3"/>
        <v>8.6999999999999994E-2</v>
      </c>
      <c r="G15" s="21">
        <f>E15*F15</f>
        <v>35.852699999999999</v>
      </c>
      <c r="H15" s="21">
        <f t="shared" si="1"/>
        <v>0</v>
      </c>
      <c r="I15" s="22">
        <f t="shared" si="2"/>
        <v>0</v>
      </c>
      <c r="J15" s="22"/>
      <c r="K15" s="107">
        <f t="shared" ref="K15:K41" si="4">G15/$G$51</f>
        <v>0.2606524741780199</v>
      </c>
    </row>
    <row r="16" spans="1:11" s="1" customFormat="1" x14ac:dyDescent="0.2">
      <c r="A16" s="108" t="s">
        <v>35</v>
      </c>
      <c r="B16" s="74">
        <f>B4*0.17</f>
        <v>107.78</v>
      </c>
      <c r="C16" s="27">
        <v>0.13200000000000001</v>
      </c>
      <c r="D16" s="21">
        <f>B16*C16</f>
        <v>14.22696</v>
      </c>
      <c r="E16" s="72">
        <f t="shared" si="3"/>
        <v>107.78</v>
      </c>
      <c r="F16" s="27">
        <f t="shared" si="3"/>
        <v>0.13200000000000001</v>
      </c>
      <c r="G16" s="21">
        <f>E16*F16</f>
        <v>14.22696</v>
      </c>
      <c r="H16" s="21">
        <f t="shared" si="1"/>
        <v>0</v>
      </c>
      <c r="I16" s="22">
        <f t="shared" si="2"/>
        <v>0</v>
      </c>
      <c r="J16" s="22"/>
      <c r="K16" s="107">
        <f t="shared" si="4"/>
        <v>0.10343132662342645</v>
      </c>
    </row>
    <row r="17" spans="1:11" s="1" customFormat="1" x14ac:dyDescent="0.2">
      <c r="A17" s="108" t="s">
        <v>36</v>
      </c>
      <c r="B17" s="74">
        <f>B4*0.18</f>
        <v>114.11999999999999</v>
      </c>
      <c r="C17" s="27">
        <v>0.18</v>
      </c>
      <c r="D17" s="21">
        <f>B17*C17</f>
        <v>20.541599999999999</v>
      </c>
      <c r="E17" s="72">
        <f t="shared" si="3"/>
        <v>114.11999999999999</v>
      </c>
      <c r="F17" s="27">
        <f t="shared" si="3"/>
        <v>0.18</v>
      </c>
      <c r="G17" s="21">
        <f>E17*F17</f>
        <v>20.541599999999999</v>
      </c>
      <c r="H17" s="21">
        <f t="shared" si="1"/>
        <v>0</v>
      </c>
      <c r="I17" s="22">
        <f t="shared" si="2"/>
        <v>0</v>
      </c>
      <c r="J17" s="22"/>
      <c r="K17" s="107">
        <f t="shared" si="4"/>
        <v>0.14933934860066922</v>
      </c>
    </row>
    <row r="18" spans="1:11" s="1" customFormat="1" x14ac:dyDescent="0.2">
      <c r="A18" s="60" t="s">
        <v>37</v>
      </c>
      <c r="B18" s="28"/>
      <c r="C18" s="29"/>
      <c r="D18" s="29">
        <f>SUM(D15:D17)</f>
        <v>70.621259999999992</v>
      </c>
      <c r="E18" s="76"/>
      <c r="F18" s="29"/>
      <c r="G18" s="29">
        <f>SUM(G15:G17)</f>
        <v>70.621259999999992</v>
      </c>
      <c r="H18" s="30">
        <f t="shared" si="1"/>
        <v>0</v>
      </c>
      <c r="I18" s="31">
        <f t="shared" si="2"/>
        <v>0</v>
      </c>
      <c r="J18" s="32">
        <f t="shared" ref="J18:J24" si="5">G18/$G$46</f>
        <v>0.53085161570537243</v>
      </c>
      <c r="K18" s="61">
        <f t="shared" si="4"/>
        <v>0.51342314940211553</v>
      </c>
    </row>
    <row r="19" spans="1:11" x14ac:dyDescent="0.2">
      <c r="A19" s="106" t="s">
        <v>38</v>
      </c>
      <c r="B19" s="72">
        <v>1</v>
      </c>
      <c r="C19" s="77">
        <f>VLOOKUP($B$3,'Data for Bill Impacts'!$A$3:$Y$25,7,0)</f>
        <v>40.08</v>
      </c>
      <c r="D19" s="21">
        <f>B19*C19</f>
        <v>40.08</v>
      </c>
      <c r="E19" s="72">
        <f t="shared" ref="E19:E41" si="6">B19</f>
        <v>1</v>
      </c>
      <c r="F19" s="77">
        <f>VLOOKUP($B$3,'Data for Bill Impacts'!$A$3:$Y$25,17,0)</f>
        <v>41.17</v>
      </c>
      <c r="G19" s="21">
        <f>E19*F19</f>
        <v>41.17</v>
      </c>
      <c r="H19" s="21">
        <f t="shared" si="1"/>
        <v>1.0900000000000034</v>
      </c>
      <c r="I19" s="22">
        <f t="shared" si="2"/>
        <v>2.7195608782435217E-2</v>
      </c>
      <c r="J19" s="22">
        <f t="shared" si="5"/>
        <v>0.3094699955592719</v>
      </c>
      <c r="K19" s="107">
        <f t="shared" si="4"/>
        <v>0.29930974130007165</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634</v>
      </c>
      <c r="C23" s="77">
        <f>VLOOKUP($B$3,'Data for Bill Impacts'!$A$3:$Y$25,10,0)</f>
        <v>0</v>
      </c>
      <c r="D23" s="21">
        <f>B23*C23</f>
        <v>0</v>
      </c>
      <c r="E23" s="72">
        <f t="shared" si="6"/>
        <v>634</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634</v>
      </c>
      <c r="C24" s="125">
        <f>VLOOKUP($B$3,'Data for Bill Impacts'!$A$3:$Y$25,14,0)</f>
        <v>0</v>
      </c>
      <c r="D24" s="21">
        <f>B24*C24</f>
        <v>0</v>
      </c>
      <c r="E24" s="72">
        <f t="shared" si="6"/>
        <v>634</v>
      </c>
      <c r="F24" s="125">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40.08</v>
      </c>
      <c r="E25" s="72"/>
      <c r="F25" s="34"/>
      <c r="G25" s="34">
        <f>SUM(G19:G24)</f>
        <v>41.17</v>
      </c>
      <c r="H25" s="34">
        <f t="shared" si="1"/>
        <v>1.0900000000000034</v>
      </c>
      <c r="I25" s="35">
        <f t="shared" si="2"/>
        <v>2.7195608782435217E-2</v>
      </c>
      <c r="J25" s="35">
        <f>G25/$G$46</f>
        <v>0.3094699955592719</v>
      </c>
      <c r="K25" s="110">
        <f t="shared" si="4"/>
        <v>0.29930974130007165</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5.9383360819000438E-3</v>
      </c>
      <c r="K26" s="107">
        <f t="shared" si="4"/>
        <v>5.7433737096686081E-3</v>
      </c>
    </row>
    <row r="27" spans="1:11" s="1" customFormat="1" x14ac:dyDescent="0.2">
      <c r="A27" s="118" t="s">
        <v>75</v>
      </c>
      <c r="B27" s="119">
        <f>B8-B4</f>
        <v>42.287799999999947</v>
      </c>
      <c r="C27" s="120">
        <f>IF(B4&gt;B7,C13,C12)</f>
        <v>0.121</v>
      </c>
      <c r="D27" s="21">
        <f>B27*C27</f>
        <v>5.1168237999999935</v>
      </c>
      <c r="E27" s="72">
        <f>B27</f>
        <v>42.287799999999947</v>
      </c>
      <c r="F27" s="120">
        <f>C27</f>
        <v>0.121</v>
      </c>
      <c r="G27" s="21">
        <f>E27*F27</f>
        <v>5.1168237999999935</v>
      </c>
      <c r="H27" s="21">
        <f t="shared" si="1"/>
        <v>0</v>
      </c>
      <c r="I27" s="22">
        <f>IF(ISERROR(H27/D27),0,(H27/D27))</f>
        <v>0</v>
      </c>
      <c r="J27" s="22">
        <f t="shared" ref="J27:J46" si="9">G27/$G$46</f>
        <v>3.8462556197803609E-2</v>
      </c>
      <c r="K27" s="107">
        <f t="shared" si="4"/>
        <v>3.7199786442945047E-2</v>
      </c>
    </row>
    <row r="28" spans="1:11" s="1" customFormat="1" x14ac:dyDescent="0.2">
      <c r="A28" s="118" t="s">
        <v>74</v>
      </c>
      <c r="B28" s="119">
        <f>B8-B4</f>
        <v>42.287799999999947</v>
      </c>
      <c r="C28" s="120">
        <f>0.65*C15+0.17*C16+0.18*C17</f>
        <v>0.11139</v>
      </c>
      <c r="D28" s="21">
        <f>B28*C28</f>
        <v>4.7104380419999945</v>
      </c>
      <c r="E28" s="72">
        <f>B28</f>
        <v>42.287799999999947</v>
      </c>
      <c r="F28" s="120">
        <f>C28</f>
        <v>0.11139</v>
      </c>
      <c r="G28" s="21">
        <f>E28*F28</f>
        <v>4.7104380419999945</v>
      </c>
      <c r="H28" s="21">
        <f t="shared" si="1"/>
        <v>0</v>
      </c>
      <c r="I28" s="22">
        <f>IF(ISERROR(H28/D28),0,(H28/D28))</f>
        <v>0</v>
      </c>
      <c r="J28" s="22">
        <f t="shared" si="9"/>
        <v>3.5407802767548305E-2</v>
      </c>
      <c r="K28" s="107">
        <f t="shared" si="4"/>
        <v>3.4245324065121069E-2</v>
      </c>
    </row>
    <row r="29" spans="1:11" s="1" customFormat="1" x14ac:dyDescent="0.2">
      <c r="A29" s="109" t="s">
        <v>78</v>
      </c>
      <c r="B29" s="73"/>
      <c r="C29" s="34"/>
      <c r="D29" s="34">
        <f>SUM(D25,D26:D27)</f>
        <v>45.986823799999989</v>
      </c>
      <c r="E29" s="72"/>
      <c r="F29" s="34"/>
      <c r="G29" s="34">
        <f>SUM(G25,G26:G27)</f>
        <v>47.076823799999993</v>
      </c>
      <c r="H29" s="34">
        <f t="shared" si="1"/>
        <v>1.0900000000000034</v>
      </c>
      <c r="I29" s="35">
        <f>IF(ISERROR(H29/D29),0,(H29/D29))</f>
        <v>2.3702441480640019E-2</v>
      </c>
      <c r="J29" s="35">
        <f t="shared" si="9"/>
        <v>0.35387088783897552</v>
      </c>
      <c r="K29" s="110">
        <f t="shared" si="4"/>
        <v>0.34225290145268528</v>
      </c>
    </row>
    <row r="30" spans="1:11" s="1" customFormat="1" x14ac:dyDescent="0.2">
      <c r="A30" s="109" t="s">
        <v>77</v>
      </c>
      <c r="B30" s="73"/>
      <c r="C30" s="34"/>
      <c r="D30" s="34">
        <f>SUM(D25,D26,D28)</f>
        <v>45.58043804199999</v>
      </c>
      <c r="E30" s="72"/>
      <c r="F30" s="34"/>
      <c r="G30" s="34">
        <f>SUM(G25,G26,G28)</f>
        <v>46.670438041999994</v>
      </c>
      <c r="H30" s="34">
        <f t="shared" si="1"/>
        <v>1.0900000000000034</v>
      </c>
      <c r="I30" s="35">
        <f>IF(ISERROR(H30/D30),0,(H30/D30))</f>
        <v>2.3913767546411585E-2</v>
      </c>
      <c r="J30" s="35">
        <f t="shared" si="9"/>
        <v>0.35081613440872023</v>
      </c>
      <c r="K30" s="110">
        <f t="shared" si="4"/>
        <v>0.33929843907486129</v>
      </c>
    </row>
    <row r="31" spans="1:11" x14ac:dyDescent="0.2">
      <c r="A31" s="106" t="s">
        <v>40</v>
      </c>
      <c r="B31" s="72">
        <f>B8</f>
        <v>676.28779999999995</v>
      </c>
      <c r="C31" s="125">
        <f>VLOOKUP($B$3,'Data for Bill Impacts'!$A$3:$Y$25,15,0)</f>
        <v>7.1000000000000004E-3</v>
      </c>
      <c r="D31" s="21">
        <f>B31*C31</f>
        <v>4.8016433799999998</v>
      </c>
      <c r="E31" s="72">
        <f t="shared" si="6"/>
        <v>676.28779999999995</v>
      </c>
      <c r="F31" s="77">
        <f>VLOOKUP($B$3,'Data for Bill Impacts'!$A$3:$Y$25,24,0)</f>
        <v>7.1000000000000004E-3</v>
      </c>
      <c r="G31" s="21">
        <f>E31*F31</f>
        <v>4.8016433799999998</v>
      </c>
      <c r="H31" s="21">
        <f t="shared" si="1"/>
        <v>0</v>
      </c>
      <c r="I31" s="22">
        <f t="shared" si="2"/>
        <v>0</v>
      </c>
      <c r="J31" s="22">
        <f t="shared" si="9"/>
        <v>3.6093382450468961E-2</v>
      </c>
      <c r="K31" s="107">
        <f t="shared" si="4"/>
        <v>3.4908395382147232E-2</v>
      </c>
    </row>
    <row r="32" spans="1:11" x14ac:dyDescent="0.2">
      <c r="A32" s="106" t="s">
        <v>41</v>
      </c>
      <c r="B32" s="72">
        <f>B8</f>
        <v>676.28779999999995</v>
      </c>
      <c r="C32" s="125">
        <f>VLOOKUP($B$3,'Data for Bill Impacts'!$A$3:$Y$25,16,0)</f>
        <v>6.0000000000000001E-3</v>
      </c>
      <c r="D32" s="21">
        <f>B32*C32</f>
        <v>4.0577268000000002</v>
      </c>
      <c r="E32" s="72">
        <f t="shared" si="6"/>
        <v>676.28779999999995</v>
      </c>
      <c r="F32" s="77">
        <f>VLOOKUP($B$3,'Data for Bill Impacts'!$A$3:$Y$25,25,0)</f>
        <v>6.0000000000000001E-3</v>
      </c>
      <c r="G32" s="21">
        <f>E32*F32</f>
        <v>4.0577268000000002</v>
      </c>
      <c r="H32" s="21">
        <f t="shared" si="1"/>
        <v>0</v>
      </c>
      <c r="I32" s="22">
        <f t="shared" si="2"/>
        <v>0</v>
      </c>
      <c r="J32" s="22">
        <f t="shared" si="9"/>
        <v>3.0501449958142787E-2</v>
      </c>
      <c r="K32" s="107">
        <f t="shared" si="4"/>
        <v>2.9500052435617381E-2</v>
      </c>
    </row>
    <row r="33" spans="1:11" s="1" customFormat="1" x14ac:dyDescent="0.2">
      <c r="A33" s="109" t="s">
        <v>76</v>
      </c>
      <c r="B33" s="73"/>
      <c r="C33" s="34"/>
      <c r="D33" s="34">
        <f>SUM(D31:D32)</f>
        <v>8.8593701799999991</v>
      </c>
      <c r="E33" s="72"/>
      <c r="F33" s="34"/>
      <c r="G33" s="34">
        <f>SUM(G31:G32)</f>
        <v>8.8593701799999991</v>
      </c>
      <c r="H33" s="34">
        <f t="shared" si="1"/>
        <v>0</v>
      </c>
      <c r="I33" s="35">
        <f t="shared" si="2"/>
        <v>0</v>
      </c>
      <c r="J33" s="35">
        <f t="shared" si="9"/>
        <v>6.6594832408611748E-2</v>
      </c>
      <c r="K33" s="110">
        <f t="shared" si="4"/>
        <v>6.4408447817764614E-2</v>
      </c>
    </row>
    <row r="34" spans="1:11" s="1" customFormat="1" x14ac:dyDescent="0.2">
      <c r="A34" s="109" t="s">
        <v>93</v>
      </c>
      <c r="B34" s="73"/>
      <c r="C34" s="34"/>
      <c r="D34" s="34">
        <f>D29+D33</f>
        <v>54.846193979999988</v>
      </c>
      <c r="E34" s="72"/>
      <c r="F34" s="34"/>
      <c r="G34" s="34">
        <f>G29+G33</f>
        <v>55.936193979999992</v>
      </c>
      <c r="H34" s="34">
        <f t="shared" si="1"/>
        <v>1.0900000000000034</v>
      </c>
      <c r="I34" s="35">
        <f t="shared" si="2"/>
        <v>1.9873758248338595E-2</v>
      </c>
      <c r="J34" s="35">
        <f t="shared" si="9"/>
        <v>0.42046572024758727</v>
      </c>
      <c r="K34" s="110">
        <f t="shared" si="4"/>
        <v>0.40666134927044989</v>
      </c>
    </row>
    <row r="35" spans="1:11" s="1" customFormat="1" x14ac:dyDescent="0.2">
      <c r="A35" s="109" t="s">
        <v>94</v>
      </c>
      <c r="B35" s="73"/>
      <c r="C35" s="34"/>
      <c r="D35" s="34">
        <f>D30+D33</f>
        <v>54.439808221999989</v>
      </c>
      <c r="E35" s="72"/>
      <c r="F35" s="34"/>
      <c r="G35" s="34">
        <f>G30+G33</f>
        <v>55.529808221999993</v>
      </c>
      <c r="H35" s="34">
        <f t="shared" si="1"/>
        <v>1.0900000000000034</v>
      </c>
      <c r="I35" s="35">
        <f t="shared" si="2"/>
        <v>2.0022113148435324E-2</v>
      </c>
      <c r="J35" s="35">
        <f t="shared" si="9"/>
        <v>0.41741096681733197</v>
      </c>
      <c r="K35" s="110">
        <f t="shared" si="4"/>
        <v>0.4037068868926259</v>
      </c>
    </row>
    <row r="36" spans="1:11" x14ac:dyDescent="0.2">
      <c r="A36" s="106" t="s">
        <v>42</v>
      </c>
      <c r="B36" s="72">
        <f>B8</f>
        <v>676.28779999999995</v>
      </c>
      <c r="C36" s="33">
        <v>3.5999999999999999E-3</v>
      </c>
      <c r="D36" s="21">
        <f>B36*C36</f>
        <v>2.4346360799999998</v>
      </c>
      <c r="E36" s="72">
        <f t="shared" si="6"/>
        <v>676.28779999999995</v>
      </c>
      <c r="F36" s="33">
        <v>3.5999999999999999E-3</v>
      </c>
      <c r="G36" s="21">
        <f>E36*F36</f>
        <v>2.4346360799999998</v>
      </c>
      <c r="H36" s="21">
        <f t="shared" si="1"/>
        <v>0</v>
      </c>
      <c r="I36" s="22">
        <f t="shared" si="2"/>
        <v>0</v>
      </c>
      <c r="J36" s="22">
        <f t="shared" si="9"/>
        <v>1.830086997488567E-2</v>
      </c>
      <c r="K36" s="107">
        <f t="shared" si="4"/>
        <v>1.7700031461370426E-2</v>
      </c>
    </row>
    <row r="37" spans="1:11" x14ac:dyDescent="0.2">
      <c r="A37" s="106" t="s">
        <v>43</v>
      </c>
      <c r="B37" s="72">
        <f>B8</f>
        <v>676.28779999999995</v>
      </c>
      <c r="C37" s="33">
        <v>2.0999999999999999E-3</v>
      </c>
      <c r="D37" s="21">
        <f>B37*C37</f>
        <v>1.4202043799999997</v>
      </c>
      <c r="E37" s="72">
        <f t="shared" si="6"/>
        <v>676.28779999999995</v>
      </c>
      <c r="F37" s="33">
        <v>2.0999999999999999E-3</v>
      </c>
      <c r="G37" s="21">
        <f>E37*F37</f>
        <v>1.4202043799999997</v>
      </c>
      <c r="H37" s="21">
        <f>G37-D37</f>
        <v>0</v>
      </c>
      <c r="I37" s="22">
        <f t="shared" si="2"/>
        <v>0</v>
      </c>
      <c r="J37" s="22">
        <f t="shared" si="9"/>
        <v>1.0675507485349973E-2</v>
      </c>
      <c r="K37" s="107">
        <f t="shared" si="4"/>
        <v>1.0325018352466081E-2</v>
      </c>
    </row>
    <row r="38" spans="1:11" x14ac:dyDescent="0.2">
      <c r="A38" s="106" t="s">
        <v>99</v>
      </c>
      <c r="B38" s="72">
        <f>B8</f>
        <v>676.28779999999995</v>
      </c>
      <c r="C38" s="33">
        <v>1.1000000000000001E-3</v>
      </c>
      <c r="D38" s="21">
        <f>B38*C38</f>
        <v>0.74391657999999994</v>
      </c>
      <c r="E38" s="72">
        <f t="shared" si="6"/>
        <v>676.28779999999995</v>
      </c>
      <c r="F38" s="33">
        <v>1.1000000000000001E-3</v>
      </c>
      <c r="G38" s="21">
        <f>E38*F38</f>
        <v>0.74391657999999994</v>
      </c>
      <c r="H38" s="21">
        <f>G38-D38</f>
        <v>0</v>
      </c>
      <c r="I38" s="22">
        <f t="shared" si="2"/>
        <v>0</v>
      </c>
      <c r="J38" s="22">
        <f t="shared" si="9"/>
        <v>5.5919324923261772E-3</v>
      </c>
      <c r="K38" s="107">
        <f t="shared" si="4"/>
        <v>5.4083429465298528E-3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1.8792202790822922E-3</v>
      </c>
      <c r="K39" s="107">
        <f t="shared" si="4"/>
        <v>1.8175233258444963E-3</v>
      </c>
    </row>
    <row r="40" spans="1:11" s="1" customFormat="1" x14ac:dyDescent="0.2">
      <c r="A40" s="109" t="s">
        <v>45</v>
      </c>
      <c r="B40" s="73"/>
      <c r="C40" s="34"/>
      <c r="D40" s="34">
        <f>SUM(D36:D39)</f>
        <v>4.8487570399999989</v>
      </c>
      <c r="E40" s="72"/>
      <c r="F40" s="34"/>
      <c r="G40" s="34">
        <f>SUM(G36:G39)</f>
        <v>4.8487570399999989</v>
      </c>
      <c r="H40" s="34">
        <f t="shared" si="1"/>
        <v>0</v>
      </c>
      <c r="I40" s="35">
        <f t="shared" si="2"/>
        <v>0</v>
      </c>
      <c r="J40" s="35">
        <f t="shared" si="9"/>
        <v>3.6447530231644112E-2</v>
      </c>
      <c r="K40" s="110">
        <f t="shared" si="4"/>
        <v>3.5250916086210851E-2</v>
      </c>
    </row>
    <row r="41" spans="1:11" s="1" customFormat="1" ht="13.5" thickBot="1" x14ac:dyDescent="0.25">
      <c r="A41" s="111" t="s">
        <v>46</v>
      </c>
      <c r="B41" s="112">
        <f>B4</f>
        <v>634</v>
      </c>
      <c r="C41" s="113">
        <v>0</v>
      </c>
      <c r="D41" s="114">
        <f>B41*C41</f>
        <v>0</v>
      </c>
      <c r="E41" s="115">
        <f t="shared" si="6"/>
        <v>634</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125.60895101999999</v>
      </c>
      <c r="E42" s="37"/>
      <c r="F42" s="38"/>
      <c r="G42" s="38">
        <f>SUM(G14,G25,G26,G27,G33,G40,G41)</f>
        <v>126.69895102</v>
      </c>
      <c r="H42" s="38">
        <f t="shared" si="1"/>
        <v>1.0900000000000034</v>
      </c>
      <c r="I42" s="39">
        <f>IF(ISERROR(H42/D42),0,(H42/D42))</f>
        <v>8.6777255215390574E-3</v>
      </c>
      <c r="J42" s="39">
        <f t="shared" si="9"/>
        <v>0.95238095238095233</v>
      </c>
      <c r="K42" s="40"/>
    </row>
    <row r="43" spans="1:11" x14ac:dyDescent="0.2">
      <c r="A43" s="143" t="s">
        <v>108</v>
      </c>
      <c r="B43" s="42"/>
      <c r="C43" s="25">
        <v>0.13</v>
      </c>
      <c r="D43" s="25">
        <f>D42*C43</f>
        <v>16.3291636326</v>
      </c>
      <c r="E43" s="25"/>
      <c r="F43" s="25">
        <f>C43</f>
        <v>0.13</v>
      </c>
      <c r="G43" s="25">
        <f>G42*F43</f>
        <v>16.4708636326</v>
      </c>
      <c r="H43" s="25">
        <f t="shared" si="1"/>
        <v>0.14170000000000016</v>
      </c>
      <c r="I43" s="43">
        <f t="shared" si="2"/>
        <v>8.6777255215390401E-3</v>
      </c>
      <c r="J43" s="43">
        <f t="shared" si="9"/>
        <v>0.1238095238095238</v>
      </c>
      <c r="K43" s="44"/>
    </row>
    <row r="44" spans="1:11" s="1" customFormat="1" x14ac:dyDescent="0.2">
      <c r="A44" s="45" t="s">
        <v>109</v>
      </c>
      <c r="B44" s="23"/>
      <c r="C44" s="24"/>
      <c r="D44" s="24">
        <f>SUM(D42:D43)</f>
        <v>141.93811465260001</v>
      </c>
      <c r="E44" s="24"/>
      <c r="F44" s="24"/>
      <c r="G44" s="24">
        <f>SUM(G42:G43)</f>
        <v>143.1698146526</v>
      </c>
      <c r="H44" s="24">
        <f t="shared" si="1"/>
        <v>1.2316999999999894</v>
      </c>
      <c r="I44" s="26">
        <f t="shared" si="2"/>
        <v>8.6777255215389551E-3</v>
      </c>
      <c r="J44" s="26">
        <f t="shared" si="9"/>
        <v>1.0761904761904761</v>
      </c>
      <c r="K44" s="46"/>
    </row>
    <row r="45" spans="1:11" x14ac:dyDescent="0.2">
      <c r="A45" s="41" t="s">
        <v>110</v>
      </c>
      <c r="B45" s="42"/>
      <c r="C45" s="25">
        <v>-0.08</v>
      </c>
      <c r="D45" s="25">
        <f>D42*C45</f>
        <v>-10.0487160816</v>
      </c>
      <c r="E45" s="25"/>
      <c r="F45" s="25">
        <f>C45</f>
        <v>-0.08</v>
      </c>
      <c r="G45" s="25">
        <f>G42*F45</f>
        <v>-10.1359160816</v>
      </c>
      <c r="H45" s="25">
        <f t="shared" si="1"/>
        <v>-8.7199999999999278E-2</v>
      </c>
      <c r="I45" s="43">
        <f t="shared" si="2"/>
        <v>8.6777255215389586E-3</v>
      </c>
      <c r="J45" s="43">
        <f t="shared" si="9"/>
        <v>-7.6190476190476183E-2</v>
      </c>
      <c r="K45" s="44"/>
    </row>
    <row r="46" spans="1:11" s="1" customFormat="1" ht="13.5" thickBot="1" x14ac:dyDescent="0.25">
      <c r="A46" s="47" t="s">
        <v>111</v>
      </c>
      <c r="B46" s="48"/>
      <c r="C46" s="49"/>
      <c r="D46" s="49">
        <f>SUM(D44:D45)</f>
        <v>131.88939857100002</v>
      </c>
      <c r="E46" s="49"/>
      <c r="F46" s="49"/>
      <c r="G46" s="49">
        <f>SUM(G44:G45)</f>
        <v>133.03389857100001</v>
      </c>
      <c r="H46" s="49">
        <f t="shared" si="1"/>
        <v>1.1444999999999936</v>
      </c>
      <c r="I46" s="50">
        <f t="shared" si="2"/>
        <v>8.6777255215389811E-3</v>
      </c>
      <c r="J46" s="50">
        <f t="shared" si="9"/>
        <v>1</v>
      </c>
      <c r="K46" s="51"/>
    </row>
    <row r="47" spans="1:11" x14ac:dyDescent="0.2">
      <c r="A47" s="52" t="s">
        <v>112</v>
      </c>
      <c r="B47" s="53"/>
      <c r="C47" s="54"/>
      <c r="D47" s="54">
        <f>SUM(D18,D25,D26,D28,D33,D40,D41)</f>
        <v>129.909825262</v>
      </c>
      <c r="E47" s="54"/>
      <c r="F47" s="54"/>
      <c r="G47" s="54">
        <f>SUM(G18,G25,G26,G28,G33,G40,G41)</f>
        <v>130.999825262</v>
      </c>
      <c r="H47" s="54">
        <f>G47-D47</f>
        <v>1.0900000000000034</v>
      </c>
      <c r="I47" s="55">
        <f>IF(ISERROR(H47/D47),0,(H47/D47))</f>
        <v>8.3904354255092666E-3</v>
      </c>
      <c r="J47" s="55"/>
      <c r="K47" s="56">
        <f>G47/$G$51</f>
        <v>0.95238095238095244</v>
      </c>
    </row>
    <row r="48" spans="1:11" x14ac:dyDescent="0.2">
      <c r="A48" s="57" t="s">
        <v>108</v>
      </c>
      <c r="B48" s="58"/>
      <c r="C48" s="30">
        <v>0.13</v>
      </c>
      <c r="D48" s="30">
        <f>D47*C48</f>
        <v>16.888277284059999</v>
      </c>
      <c r="E48" s="30"/>
      <c r="F48" s="30">
        <f>C48</f>
        <v>0.13</v>
      </c>
      <c r="G48" s="30">
        <f>G47*F48</f>
        <v>17.029977284059999</v>
      </c>
      <c r="H48" s="30">
        <f>G48-D48</f>
        <v>0.14170000000000016</v>
      </c>
      <c r="I48" s="31">
        <f>IF(ISERROR(H48/D48),0,(H48/D48))</f>
        <v>8.3904354255092493E-3</v>
      </c>
      <c r="J48" s="31"/>
      <c r="K48" s="59">
        <f>G48/$G$51</f>
        <v>0.1238095238095238</v>
      </c>
    </row>
    <row r="49" spans="1:11" x14ac:dyDescent="0.2">
      <c r="A49" s="60" t="s">
        <v>113</v>
      </c>
      <c r="B49" s="28"/>
      <c r="C49" s="29"/>
      <c r="D49" s="29">
        <f>SUM(D47:D48)</f>
        <v>146.79810254605999</v>
      </c>
      <c r="E49" s="29"/>
      <c r="F49" s="29"/>
      <c r="G49" s="29">
        <f>SUM(G47:G48)</f>
        <v>148.02980254606001</v>
      </c>
      <c r="H49" s="29">
        <f>G49-D49</f>
        <v>1.2317000000000178</v>
      </c>
      <c r="I49" s="32">
        <f>IF(ISERROR(H49/D49),0,(H49/D49))</f>
        <v>8.390435425509362E-3</v>
      </c>
      <c r="J49" s="32"/>
      <c r="K49" s="61">
        <f>G49/$G$51</f>
        <v>1.0761904761904764</v>
      </c>
    </row>
    <row r="50" spans="1:11" x14ac:dyDescent="0.2">
      <c r="A50" s="57" t="s">
        <v>110</v>
      </c>
      <c r="B50" s="58"/>
      <c r="C50" s="30">
        <v>-0.08</v>
      </c>
      <c r="D50" s="30">
        <f>D47*C50</f>
        <v>-10.392786020960001</v>
      </c>
      <c r="E50" s="30"/>
      <c r="F50" s="30">
        <f>C50</f>
        <v>-0.08</v>
      </c>
      <c r="G50" s="30">
        <f>G47*F50</f>
        <v>-10.47998602096</v>
      </c>
      <c r="H50" s="30">
        <f>G50-D50</f>
        <v>-8.7199999999999278E-2</v>
      </c>
      <c r="I50" s="31">
        <f>IF(ISERROR(H50/D50),0,(H50/D50))</f>
        <v>8.3904354255091695E-3</v>
      </c>
      <c r="J50" s="31"/>
      <c r="K50" s="59">
        <f>G50/$G$51</f>
        <v>-7.6190476190476197E-2</v>
      </c>
    </row>
    <row r="51" spans="1:11" ht="13.5" thickBot="1" x14ac:dyDescent="0.25">
      <c r="A51" s="62" t="s">
        <v>114</v>
      </c>
      <c r="B51" s="63"/>
      <c r="C51" s="64"/>
      <c r="D51" s="64">
        <f>SUM(D49:D50)</f>
        <v>136.40531652510001</v>
      </c>
      <c r="E51" s="64"/>
      <c r="F51" s="64"/>
      <c r="G51" s="64">
        <f>SUM(G49:G50)</f>
        <v>137.5498165251</v>
      </c>
      <c r="H51" s="64">
        <f>G51-D51</f>
        <v>1.1444999999999936</v>
      </c>
      <c r="I51" s="65">
        <f>IF(ISERROR(H51/D51),0,(H51/D51))</f>
        <v>8.3904354255091938E-3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119</v>
      </c>
    </row>
    <row r="4" spans="1:11" x14ac:dyDescent="0.2">
      <c r="A4" s="14" t="s">
        <v>62</v>
      </c>
      <c r="B4" s="14">
        <v>1800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600</v>
      </c>
    </row>
    <row r="8" spans="1:11" x14ac:dyDescent="0.2">
      <c r="A8" s="14" t="s">
        <v>82</v>
      </c>
      <c r="B8" s="149">
        <f>B4*B6</f>
        <v>1920.06</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0.19492576275508391</v>
      </c>
      <c r="K12" s="105"/>
    </row>
    <row r="13" spans="1:11" x14ac:dyDescent="0.2">
      <c r="A13" s="106" t="s">
        <v>32</v>
      </c>
      <c r="B13" s="72">
        <f>IF(B4&gt;B7,(B4)-B7,0)</f>
        <v>1200</v>
      </c>
      <c r="C13" s="20">
        <v>0.121</v>
      </c>
      <c r="D13" s="21">
        <f>B13*C13</f>
        <v>145.19999999999999</v>
      </c>
      <c r="E13" s="72">
        <f t="shared" ref="E13" si="0">B13</f>
        <v>1200</v>
      </c>
      <c r="F13" s="20">
        <f>C13</f>
        <v>0.121</v>
      </c>
      <c r="G13" s="21">
        <f>E13*F13</f>
        <v>145.19999999999999</v>
      </c>
      <c r="H13" s="21">
        <f t="shared" ref="H13:H46" si="1">G13-D13</f>
        <v>0</v>
      </c>
      <c r="I13" s="22">
        <f t="shared" ref="I13:I46" si="2">IF(ISERROR(H13/D13),0,(H13/D13))</f>
        <v>0</v>
      </c>
      <c r="J13" s="22">
        <f>G13/$G$46</f>
        <v>0.45798091831776999</v>
      </c>
      <c r="K13" s="107"/>
    </row>
    <row r="14" spans="1:11" s="1" customFormat="1" x14ac:dyDescent="0.2">
      <c r="A14" s="45" t="s">
        <v>33</v>
      </c>
      <c r="B14" s="23"/>
      <c r="C14" s="24"/>
      <c r="D14" s="24">
        <f>SUM(D12:D13)</f>
        <v>207</v>
      </c>
      <c r="E14" s="75"/>
      <c r="F14" s="24"/>
      <c r="G14" s="24">
        <f>SUM(G12:G13)</f>
        <v>207</v>
      </c>
      <c r="H14" s="24">
        <f t="shared" si="1"/>
        <v>0</v>
      </c>
      <c r="I14" s="26">
        <f t="shared" si="2"/>
        <v>0</v>
      </c>
      <c r="J14" s="26">
        <f>G14/$G$46</f>
        <v>0.65290668107285399</v>
      </c>
      <c r="K14" s="107"/>
    </row>
    <row r="15" spans="1:11" s="1" customFormat="1" x14ac:dyDescent="0.2">
      <c r="A15" s="108" t="s">
        <v>34</v>
      </c>
      <c r="B15" s="74">
        <f>B4*0.65</f>
        <v>1170</v>
      </c>
      <c r="C15" s="27">
        <v>8.6999999999999994E-2</v>
      </c>
      <c r="D15" s="21">
        <f>B15*C15</f>
        <v>101.78999999999999</v>
      </c>
      <c r="E15" s="72">
        <f t="shared" ref="E15:F17" si="3">B15</f>
        <v>1170</v>
      </c>
      <c r="F15" s="27">
        <f t="shared" si="3"/>
        <v>8.6999999999999994E-2</v>
      </c>
      <c r="G15" s="21">
        <f>E15*F15</f>
        <v>101.78999999999999</v>
      </c>
      <c r="H15" s="21">
        <f t="shared" si="1"/>
        <v>0</v>
      </c>
      <c r="I15" s="22">
        <f t="shared" si="2"/>
        <v>0</v>
      </c>
      <c r="J15" s="22"/>
      <c r="K15" s="107">
        <f t="shared" ref="K15:K41" si="4">G15/$G$51</f>
        <v>0.32940744290490237</v>
      </c>
    </row>
    <row r="16" spans="1:11" s="1" customFormat="1" x14ac:dyDescent="0.2">
      <c r="A16" s="108" t="s">
        <v>35</v>
      </c>
      <c r="B16" s="74">
        <f>B4*0.17</f>
        <v>306</v>
      </c>
      <c r="C16" s="27">
        <v>0.13200000000000001</v>
      </c>
      <c r="D16" s="21">
        <f>B16*C16</f>
        <v>40.392000000000003</v>
      </c>
      <c r="E16" s="72">
        <f t="shared" si="3"/>
        <v>306</v>
      </c>
      <c r="F16" s="27">
        <f t="shared" si="3"/>
        <v>0.13200000000000001</v>
      </c>
      <c r="G16" s="21">
        <f>E16*F16</f>
        <v>40.392000000000003</v>
      </c>
      <c r="H16" s="21">
        <f t="shared" si="1"/>
        <v>0</v>
      </c>
      <c r="I16" s="22">
        <f t="shared" si="2"/>
        <v>0</v>
      </c>
      <c r="J16" s="22"/>
      <c r="K16" s="107">
        <f t="shared" si="4"/>
        <v>0.13071446540735651</v>
      </c>
    </row>
    <row r="17" spans="1:11" s="1" customFormat="1" x14ac:dyDescent="0.2">
      <c r="A17" s="108" t="s">
        <v>36</v>
      </c>
      <c r="B17" s="74">
        <f>B4*0.18</f>
        <v>324</v>
      </c>
      <c r="C17" s="27">
        <v>0.18</v>
      </c>
      <c r="D17" s="21">
        <f>B17*C17</f>
        <v>58.32</v>
      </c>
      <c r="E17" s="72">
        <f t="shared" si="3"/>
        <v>324</v>
      </c>
      <c r="F17" s="27">
        <f t="shared" si="3"/>
        <v>0.18</v>
      </c>
      <c r="G17" s="21">
        <f>E17*F17</f>
        <v>58.32</v>
      </c>
      <c r="H17" s="21">
        <f t="shared" si="1"/>
        <v>0</v>
      </c>
      <c r="I17" s="22">
        <f t="shared" si="2"/>
        <v>0</v>
      </c>
      <c r="J17" s="22"/>
      <c r="K17" s="107">
        <f t="shared" si="4"/>
        <v>0.18873211582880348</v>
      </c>
    </row>
    <row r="18" spans="1:11" s="1" customFormat="1" x14ac:dyDescent="0.2">
      <c r="A18" s="60" t="s">
        <v>37</v>
      </c>
      <c r="B18" s="28"/>
      <c r="C18" s="29"/>
      <c r="D18" s="29">
        <f>SUM(D15:D17)</f>
        <v>200.50199999999998</v>
      </c>
      <c r="E18" s="76"/>
      <c r="F18" s="29"/>
      <c r="G18" s="29">
        <f>SUM(G15:G17)</f>
        <v>200.50199999999998</v>
      </c>
      <c r="H18" s="30">
        <f t="shared" si="1"/>
        <v>0</v>
      </c>
      <c r="I18" s="31">
        <f t="shared" si="2"/>
        <v>0</v>
      </c>
      <c r="J18" s="32">
        <f t="shared" ref="J18:J24" si="5">G18/$G$46</f>
        <v>0.63241108873656693</v>
      </c>
      <c r="K18" s="61">
        <f t="shared" si="4"/>
        <v>0.6488540241410623</v>
      </c>
    </row>
    <row r="19" spans="1:11" x14ac:dyDescent="0.2">
      <c r="A19" s="106" t="s">
        <v>38</v>
      </c>
      <c r="B19" s="72">
        <v>1</v>
      </c>
      <c r="C19" s="77">
        <f>VLOOKUP($B$3,'Data for Bill Impacts'!$A$3:$Y$25,7,0)</f>
        <v>40.08</v>
      </c>
      <c r="D19" s="21">
        <f>B19*C19</f>
        <v>40.08</v>
      </c>
      <c r="E19" s="72">
        <f t="shared" ref="E19:E41" si="6">B19</f>
        <v>1</v>
      </c>
      <c r="F19" s="77">
        <f>VLOOKUP($B$3,'Data for Bill Impacts'!$A$3:$Y$25,17,0)</f>
        <v>41.17</v>
      </c>
      <c r="G19" s="21">
        <f>E19*F19</f>
        <v>41.17</v>
      </c>
      <c r="H19" s="21">
        <f t="shared" si="1"/>
        <v>1.0900000000000034</v>
      </c>
      <c r="I19" s="22">
        <f t="shared" si="2"/>
        <v>2.7195608782435217E-2</v>
      </c>
      <c r="J19" s="22">
        <f t="shared" si="5"/>
        <v>0.12985588434671208</v>
      </c>
      <c r="K19" s="107">
        <f t="shared" si="4"/>
        <v>0.13323218807736351</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1800</v>
      </c>
      <c r="C23" s="77">
        <f>VLOOKUP($B$3,'Data for Bill Impacts'!$A$3:$Y$25,10,0)</f>
        <v>0</v>
      </c>
      <c r="D23" s="21">
        <f>B23*C23</f>
        <v>0</v>
      </c>
      <c r="E23" s="72">
        <f t="shared" si="6"/>
        <v>1800</v>
      </c>
      <c r="F23" s="77">
        <f>VLOOKUP($B$3,'Data for Bill Impacts'!$A$3:$Y$25,19,0)</f>
        <v>0</v>
      </c>
      <c r="G23" s="21">
        <f>E23*F23</f>
        <v>0</v>
      </c>
      <c r="H23" s="21">
        <f t="shared" si="1"/>
        <v>0</v>
      </c>
      <c r="I23" s="22">
        <f t="shared" si="2"/>
        <v>0</v>
      </c>
      <c r="J23" s="22">
        <f t="shared" si="5"/>
        <v>0</v>
      </c>
      <c r="K23" s="107">
        <f t="shared" si="4"/>
        <v>0</v>
      </c>
    </row>
    <row r="24" spans="1:11" x14ac:dyDescent="0.2">
      <c r="A24" s="106" t="s">
        <v>129</v>
      </c>
      <c r="B24" s="72">
        <f>IF($B$9="kWh",$B$4,$B$5)</f>
        <v>1800</v>
      </c>
      <c r="C24" s="125">
        <f>VLOOKUP($B$3,'Data for Bill Impacts'!$A$3:$Y$25,14,0)</f>
        <v>0</v>
      </c>
      <c r="D24" s="21">
        <f>B24*C24</f>
        <v>0</v>
      </c>
      <c r="E24" s="72">
        <f t="shared" si="6"/>
        <v>1800</v>
      </c>
      <c r="F24" s="125">
        <f>VLOOKUP($B$3,'Data for Bill Impacts'!$A$3:$Y$25,23,0)</f>
        <v>0</v>
      </c>
      <c r="G24" s="21">
        <f>E24*F24</f>
        <v>0</v>
      </c>
      <c r="H24" s="21">
        <f t="shared" si="1"/>
        <v>0</v>
      </c>
      <c r="I24" s="22">
        <f>IF(ISERROR(H24/D24),0,(H24/D24))</f>
        <v>0</v>
      </c>
      <c r="J24" s="22">
        <f t="shared" si="5"/>
        <v>0</v>
      </c>
      <c r="K24" s="107">
        <f t="shared" si="4"/>
        <v>0</v>
      </c>
    </row>
    <row r="25" spans="1:11" s="1" customFormat="1" x14ac:dyDescent="0.2">
      <c r="A25" s="109" t="s">
        <v>72</v>
      </c>
      <c r="B25" s="73"/>
      <c r="C25" s="34"/>
      <c r="D25" s="34">
        <f>SUM(D19:D24)</f>
        <v>40.08</v>
      </c>
      <c r="E25" s="72"/>
      <c r="F25" s="34"/>
      <c r="G25" s="34">
        <f>SUM(G19:G24)</f>
        <v>41.17</v>
      </c>
      <c r="H25" s="34">
        <f t="shared" si="1"/>
        <v>1.0900000000000034</v>
      </c>
      <c r="I25" s="35">
        <f t="shared" si="2"/>
        <v>2.7195608782435217E-2</v>
      </c>
      <c r="J25" s="35">
        <f>G25/$G$46</f>
        <v>0.12985588434671208</v>
      </c>
      <c r="K25" s="110">
        <f t="shared" si="4"/>
        <v>0.13323218807736351</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2.4917694591669306E-3</v>
      </c>
      <c r="K26" s="107">
        <f t="shared" si="4"/>
        <v>2.5565564386960692E-3</v>
      </c>
    </row>
    <row r="27" spans="1:11" s="1" customFormat="1" x14ac:dyDescent="0.2">
      <c r="A27" s="118" t="s">
        <v>75</v>
      </c>
      <c r="B27" s="119">
        <f>B8-B4</f>
        <v>120.05999999999995</v>
      </c>
      <c r="C27" s="120">
        <f>IF(B4&gt;B7,C13,C12)</f>
        <v>0.121</v>
      </c>
      <c r="D27" s="21">
        <f>B27*C27</f>
        <v>14.527259999999993</v>
      </c>
      <c r="E27" s="72">
        <f>B27</f>
        <v>120.05999999999995</v>
      </c>
      <c r="F27" s="120">
        <f>C27</f>
        <v>0.121</v>
      </c>
      <c r="G27" s="21">
        <f>E27*F27</f>
        <v>14.527259999999993</v>
      </c>
      <c r="H27" s="21">
        <f t="shared" si="1"/>
        <v>0</v>
      </c>
      <c r="I27" s="22">
        <f>IF(ISERROR(H27/D27),0,(H27/D27))</f>
        <v>0</v>
      </c>
      <c r="J27" s="22">
        <f t="shared" ref="J27:J46" si="9">G27/$G$46</f>
        <v>4.5820990877692869E-2</v>
      </c>
      <c r="K27" s="107">
        <f t="shared" si="4"/>
        <v>4.7012354543812453E-2</v>
      </c>
    </row>
    <row r="28" spans="1:11" s="1" customFormat="1" x14ac:dyDescent="0.2">
      <c r="A28" s="118" t="s">
        <v>74</v>
      </c>
      <c r="B28" s="119">
        <f>B8-B4</f>
        <v>120.05999999999995</v>
      </c>
      <c r="C28" s="120">
        <f>0.65*C15+0.17*C16+0.18*C17</f>
        <v>0.11139</v>
      </c>
      <c r="D28" s="21">
        <f>B28*C28</f>
        <v>13.373483399999994</v>
      </c>
      <c r="E28" s="72">
        <f>B28</f>
        <v>120.05999999999995</v>
      </c>
      <c r="F28" s="120">
        <f>C28</f>
        <v>0.11139</v>
      </c>
      <c r="G28" s="21">
        <f>E28*F28</f>
        <v>13.373483399999994</v>
      </c>
      <c r="H28" s="21">
        <f t="shared" si="1"/>
        <v>0</v>
      </c>
      <c r="I28" s="22">
        <f>IF(ISERROR(H28/D28),0,(H28/D28))</f>
        <v>0</v>
      </c>
      <c r="J28" s="22">
        <f t="shared" si="9"/>
        <v>4.2181819618729001E-2</v>
      </c>
      <c r="K28" s="107">
        <f t="shared" si="4"/>
        <v>4.3278563410208838E-2</v>
      </c>
    </row>
    <row r="29" spans="1:11" s="1" customFormat="1" x14ac:dyDescent="0.2">
      <c r="A29" s="109" t="s">
        <v>78</v>
      </c>
      <c r="B29" s="73"/>
      <c r="C29" s="34"/>
      <c r="D29" s="34">
        <f>SUM(D25,D26:D27)</f>
        <v>55.397259999999989</v>
      </c>
      <c r="E29" s="72"/>
      <c r="F29" s="34"/>
      <c r="G29" s="34">
        <f>SUM(G25,G26:G27)</f>
        <v>56.487259999999992</v>
      </c>
      <c r="H29" s="34">
        <f t="shared" si="1"/>
        <v>1.0900000000000034</v>
      </c>
      <c r="I29" s="35">
        <f>IF(ISERROR(H29/D29),0,(H29/D29))</f>
        <v>1.9676063400969716E-2</v>
      </c>
      <c r="J29" s="35">
        <f t="shared" si="9"/>
        <v>0.17816864468357185</v>
      </c>
      <c r="K29" s="110">
        <f t="shared" si="4"/>
        <v>0.18280109905987202</v>
      </c>
    </row>
    <row r="30" spans="1:11" s="1" customFormat="1" x14ac:dyDescent="0.2">
      <c r="A30" s="109" t="s">
        <v>77</v>
      </c>
      <c r="B30" s="73"/>
      <c r="C30" s="34"/>
      <c r="D30" s="34">
        <f>SUM(D25,D26,D28)</f>
        <v>54.243483399999988</v>
      </c>
      <c r="E30" s="72"/>
      <c r="F30" s="34"/>
      <c r="G30" s="34">
        <f>SUM(G25,G26,G28)</f>
        <v>55.333483399999992</v>
      </c>
      <c r="H30" s="34">
        <f t="shared" si="1"/>
        <v>1.0900000000000034</v>
      </c>
      <c r="I30" s="35">
        <f>IF(ISERROR(H30/D30),0,(H30/D30))</f>
        <v>2.0094579692866914E-2</v>
      </c>
      <c r="J30" s="35">
        <f t="shared" si="9"/>
        <v>0.17452947342460798</v>
      </c>
      <c r="K30" s="110">
        <f t="shared" si="4"/>
        <v>0.1790673079262684</v>
      </c>
    </row>
    <row r="31" spans="1:11" x14ac:dyDescent="0.2">
      <c r="A31" s="106" t="s">
        <v>40</v>
      </c>
      <c r="B31" s="72">
        <f>B8</f>
        <v>1920.06</v>
      </c>
      <c r="C31" s="125">
        <f>VLOOKUP($B$3,'Data for Bill Impacts'!$A$3:$Y$25,15,0)</f>
        <v>7.1000000000000004E-3</v>
      </c>
      <c r="D31" s="21">
        <f>B31*C31</f>
        <v>13.632426000000001</v>
      </c>
      <c r="E31" s="72">
        <f t="shared" si="6"/>
        <v>1920.06</v>
      </c>
      <c r="F31" s="77">
        <f>VLOOKUP($B$3,'Data for Bill Impacts'!$A$3:$Y$25,24,0)</f>
        <v>7.1000000000000004E-3</v>
      </c>
      <c r="G31" s="21">
        <f>E31*F31</f>
        <v>13.632426000000001</v>
      </c>
      <c r="H31" s="21">
        <f t="shared" si="1"/>
        <v>0</v>
      </c>
      <c r="I31" s="22">
        <f t="shared" si="2"/>
        <v>0</v>
      </c>
      <c r="J31" s="22">
        <f t="shared" si="9"/>
        <v>4.299856045715595E-2</v>
      </c>
      <c r="K31" s="107">
        <f t="shared" si="4"/>
        <v>4.4116539829554054E-2</v>
      </c>
    </row>
    <row r="32" spans="1:11" x14ac:dyDescent="0.2">
      <c r="A32" s="106" t="s">
        <v>41</v>
      </c>
      <c r="B32" s="72">
        <f>B8</f>
        <v>1920.06</v>
      </c>
      <c r="C32" s="125">
        <f>VLOOKUP($B$3,'Data for Bill Impacts'!$A$3:$Y$25,16,0)</f>
        <v>6.0000000000000001E-3</v>
      </c>
      <c r="D32" s="21">
        <f>B32*C32</f>
        <v>11.52036</v>
      </c>
      <c r="E32" s="72">
        <f t="shared" si="6"/>
        <v>1920.06</v>
      </c>
      <c r="F32" s="77">
        <f>VLOOKUP($B$3,'Data for Bill Impacts'!$A$3:$Y$25,25,0)</f>
        <v>6.0000000000000001E-3</v>
      </c>
      <c r="G32" s="21">
        <f>E32*F32</f>
        <v>11.52036</v>
      </c>
      <c r="H32" s="21">
        <f t="shared" si="1"/>
        <v>0</v>
      </c>
      <c r="I32" s="22">
        <f t="shared" si="2"/>
        <v>0</v>
      </c>
      <c r="J32" s="22">
        <f t="shared" si="9"/>
        <v>3.6336811653934604E-2</v>
      </c>
      <c r="K32" s="107">
        <f t="shared" si="4"/>
        <v>3.7281582954552715E-2</v>
      </c>
    </row>
    <row r="33" spans="1:11" s="1" customFormat="1" x14ac:dyDescent="0.2">
      <c r="A33" s="109" t="s">
        <v>76</v>
      </c>
      <c r="B33" s="73"/>
      <c r="C33" s="34"/>
      <c r="D33" s="34">
        <f>SUM(D31:D32)</f>
        <v>25.152785999999999</v>
      </c>
      <c r="E33" s="72"/>
      <c r="F33" s="34"/>
      <c r="G33" s="34">
        <f>SUM(G31:G32)</f>
        <v>25.152785999999999</v>
      </c>
      <c r="H33" s="34">
        <f t="shared" si="1"/>
        <v>0</v>
      </c>
      <c r="I33" s="35">
        <f t="shared" si="2"/>
        <v>0</v>
      </c>
      <c r="J33" s="35">
        <f t="shared" si="9"/>
        <v>7.9335372111090555E-2</v>
      </c>
      <c r="K33" s="110">
        <f t="shared" si="4"/>
        <v>8.1398122784106769E-2</v>
      </c>
    </row>
    <row r="34" spans="1:11" s="1" customFormat="1" x14ac:dyDescent="0.2">
      <c r="A34" s="109" t="s">
        <v>93</v>
      </c>
      <c r="B34" s="73"/>
      <c r="C34" s="34"/>
      <c r="D34" s="34">
        <f>D29+D33</f>
        <v>80.55004599999998</v>
      </c>
      <c r="E34" s="72"/>
      <c r="F34" s="34"/>
      <c r="G34" s="34">
        <f>G29+G33</f>
        <v>81.640045999999984</v>
      </c>
      <c r="H34" s="34">
        <f t="shared" si="1"/>
        <v>1.0900000000000034</v>
      </c>
      <c r="I34" s="35">
        <f t="shared" si="2"/>
        <v>1.3531959994163177E-2</v>
      </c>
      <c r="J34" s="35">
        <f t="shared" si="9"/>
        <v>0.25750401679466239</v>
      </c>
      <c r="K34" s="110">
        <f t="shared" si="4"/>
        <v>0.26419922184397876</v>
      </c>
    </row>
    <row r="35" spans="1:11" s="1" customFormat="1" x14ac:dyDescent="0.2">
      <c r="A35" s="109" t="s">
        <v>94</v>
      </c>
      <c r="B35" s="73"/>
      <c r="C35" s="34"/>
      <c r="D35" s="34">
        <f>D30+D33</f>
        <v>79.396269399999994</v>
      </c>
      <c r="E35" s="72"/>
      <c r="F35" s="34"/>
      <c r="G35" s="34">
        <f>G30+G33</f>
        <v>80.486269399999998</v>
      </c>
      <c r="H35" s="34">
        <f t="shared" si="1"/>
        <v>1.0900000000000034</v>
      </c>
      <c r="I35" s="35">
        <f t="shared" si="2"/>
        <v>1.3728604734670361E-2</v>
      </c>
      <c r="J35" s="35">
        <f t="shared" si="9"/>
        <v>0.25386484553569855</v>
      </c>
      <c r="K35" s="110">
        <f t="shared" si="4"/>
        <v>0.2604654307103752</v>
      </c>
    </row>
    <row r="36" spans="1:11" x14ac:dyDescent="0.2">
      <c r="A36" s="106" t="s">
        <v>42</v>
      </c>
      <c r="B36" s="72">
        <f>B8</f>
        <v>1920.06</v>
      </c>
      <c r="C36" s="33">
        <v>3.5999999999999999E-3</v>
      </c>
      <c r="D36" s="21">
        <f>B36*C36</f>
        <v>6.9122159999999999</v>
      </c>
      <c r="E36" s="72">
        <f t="shared" si="6"/>
        <v>1920.06</v>
      </c>
      <c r="F36" s="33">
        <v>3.5999999999999999E-3</v>
      </c>
      <c r="G36" s="21">
        <f>E36*F36</f>
        <v>6.9122159999999999</v>
      </c>
      <c r="H36" s="21">
        <f t="shared" si="1"/>
        <v>0</v>
      </c>
      <c r="I36" s="22">
        <f t="shared" si="2"/>
        <v>0</v>
      </c>
      <c r="J36" s="22">
        <f t="shared" si="9"/>
        <v>2.1802086992360765E-2</v>
      </c>
      <c r="K36" s="107">
        <f t="shared" si="4"/>
        <v>2.2368949772731631E-2</v>
      </c>
    </row>
    <row r="37" spans="1:11" x14ac:dyDescent="0.2">
      <c r="A37" s="106" t="s">
        <v>43</v>
      </c>
      <c r="B37" s="72">
        <f>B8</f>
        <v>1920.06</v>
      </c>
      <c r="C37" s="33">
        <v>2.0999999999999999E-3</v>
      </c>
      <c r="D37" s="21">
        <f>B37*C37</f>
        <v>4.0321259999999999</v>
      </c>
      <c r="E37" s="72">
        <f t="shared" si="6"/>
        <v>1920.06</v>
      </c>
      <c r="F37" s="33">
        <v>2.0999999999999999E-3</v>
      </c>
      <c r="G37" s="21">
        <f>E37*F37</f>
        <v>4.0321259999999999</v>
      </c>
      <c r="H37" s="21">
        <f>G37-D37</f>
        <v>0</v>
      </c>
      <c r="I37" s="22">
        <f t="shared" si="2"/>
        <v>0</v>
      </c>
      <c r="J37" s="22">
        <f t="shared" si="9"/>
        <v>1.2717884078877112E-2</v>
      </c>
      <c r="K37" s="107">
        <f t="shared" si="4"/>
        <v>1.3048554034093451E-2</v>
      </c>
    </row>
    <row r="38" spans="1:11" x14ac:dyDescent="0.2">
      <c r="A38" s="106" t="s">
        <v>99</v>
      </c>
      <c r="B38" s="72">
        <f>B8</f>
        <v>1920.06</v>
      </c>
      <c r="C38" s="33">
        <v>1.1000000000000001E-3</v>
      </c>
      <c r="D38" s="21">
        <f>B38*C38</f>
        <v>2.112066</v>
      </c>
      <c r="E38" s="72">
        <f t="shared" si="6"/>
        <v>1920.06</v>
      </c>
      <c r="F38" s="33">
        <v>1.1000000000000001E-3</v>
      </c>
      <c r="G38" s="21">
        <f>E38*F38</f>
        <v>2.112066</v>
      </c>
      <c r="H38" s="21">
        <f>G38-D38</f>
        <v>0</v>
      </c>
      <c r="I38" s="22">
        <f t="shared" si="2"/>
        <v>0</v>
      </c>
      <c r="J38" s="22">
        <f t="shared" si="9"/>
        <v>6.6617488032213448E-3</v>
      </c>
      <c r="K38" s="107">
        <f t="shared" si="4"/>
        <v>6.8349568750013315E-3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7.8853463897687675E-4</v>
      </c>
      <c r="K39" s="107">
        <f t="shared" si="4"/>
        <v>8.0903684768862953E-4</v>
      </c>
    </row>
    <row r="40" spans="1:11" s="1" customFormat="1" x14ac:dyDescent="0.2">
      <c r="A40" s="109" t="s">
        <v>45</v>
      </c>
      <c r="B40" s="73"/>
      <c r="C40" s="34"/>
      <c r="D40" s="34">
        <f>SUM(D36:D39)</f>
        <v>13.306407999999999</v>
      </c>
      <c r="E40" s="72"/>
      <c r="F40" s="34"/>
      <c r="G40" s="34">
        <f>SUM(G36:G39)</f>
        <v>13.306407999999999</v>
      </c>
      <c r="H40" s="34">
        <f t="shared" si="1"/>
        <v>0</v>
      </c>
      <c r="I40" s="35">
        <f t="shared" si="2"/>
        <v>0</v>
      </c>
      <c r="J40" s="35">
        <f t="shared" si="9"/>
        <v>4.1970254513436098E-2</v>
      </c>
      <c r="K40" s="110">
        <f t="shared" si="4"/>
        <v>4.306149752951504E-2</v>
      </c>
    </row>
    <row r="41" spans="1:11" s="1" customFormat="1" ht="13.5" thickBot="1" x14ac:dyDescent="0.25">
      <c r="A41" s="111" t="s">
        <v>46</v>
      </c>
      <c r="B41" s="112">
        <f>B4</f>
        <v>1800</v>
      </c>
      <c r="C41" s="113">
        <v>0</v>
      </c>
      <c r="D41" s="114">
        <f>B41*C41</f>
        <v>0</v>
      </c>
      <c r="E41" s="115">
        <f t="shared" si="6"/>
        <v>1800</v>
      </c>
      <c r="F41" s="113">
        <f>C41</f>
        <v>0</v>
      </c>
      <c r="G41" s="114">
        <f>E41*F41</f>
        <v>0</v>
      </c>
      <c r="H41" s="114">
        <f t="shared" si="1"/>
        <v>0</v>
      </c>
      <c r="I41" s="116">
        <f t="shared" si="2"/>
        <v>0</v>
      </c>
      <c r="J41" s="116">
        <f t="shared" si="9"/>
        <v>0</v>
      </c>
      <c r="K41" s="117">
        <f t="shared" si="4"/>
        <v>0</v>
      </c>
    </row>
    <row r="42" spans="1:11" s="1" customFormat="1" x14ac:dyDescent="0.2">
      <c r="A42" s="36" t="s">
        <v>107</v>
      </c>
      <c r="B42" s="37"/>
      <c r="C42" s="38"/>
      <c r="D42" s="38">
        <f>SUM(D14,D25,D26,D27,D33,D40,D41)</f>
        <v>300.85645399999993</v>
      </c>
      <c r="E42" s="37"/>
      <c r="F42" s="38"/>
      <c r="G42" s="38">
        <f>SUM(G14,G25,G26,G27,G33,G40,G41)</f>
        <v>301.94645399999996</v>
      </c>
      <c r="H42" s="38">
        <f t="shared" si="1"/>
        <v>1.0900000000000318</v>
      </c>
      <c r="I42" s="39">
        <f>IF(ISERROR(H42/D42),0,(H42/D42))</f>
        <v>3.6229902516900373E-3</v>
      </c>
      <c r="J42" s="39">
        <f t="shared" si="9"/>
        <v>0.95238095238095233</v>
      </c>
      <c r="K42" s="40"/>
    </row>
    <row r="43" spans="1:11" x14ac:dyDescent="0.2">
      <c r="A43" s="143" t="s">
        <v>108</v>
      </c>
      <c r="B43" s="42"/>
      <c r="C43" s="25">
        <v>0.13</v>
      </c>
      <c r="D43" s="25">
        <f>D42*C43</f>
        <v>39.111339019999996</v>
      </c>
      <c r="E43" s="25"/>
      <c r="F43" s="25">
        <f>C43</f>
        <v>0.13</v>
      </c>
      <c r="G43" s="25">
        <f>G42*F43</f>
        <v>39.253039019999996</v>
      </c>
      <c r="H43" s="25">
        <f t="shared" si="1"/>
        <v>0.14170000000000016</v>
      </c>
      <c r="I43" s="43">
        <f t="shared" si="2"/>
        <v>3.6229902516899349E-3</v>
      </c>
      <c r="J43" s="43">
        <f t="shared" si="9"/>
        <v>0.12380952380952381</v>
      </c>
      <c r="K43" s="44"/>
    </row>
    <row r="44" spans="1:11" s="1" customFormat="1" x14ac:dyDescent="0.2">
      <c r="A44" s="45" t="s">
        <v>109</v>
      </c>
      <c r="B44" s="23"/>
      <c r="C44" s="24"/>
      <c r="D44" s="24">
        <f>SUM(D42:D43)</f>
        <v>339.96779301999993</v>
      </c>
      <c r="E44" s="24"/>
      <c r="F44" s="24"/>
      <c r="G44" s="24">
        <f>SUM(G42:G43)</f>
        <v>341.19949301999998</v>
      </c>
      <c r="H44" s="24">
        <f t="shared" si="1"/>
        <v>1.2317000000000462</v>
      </c>
      <c r="I44" s="26">
        <f t="shared" si="2"/>
        <v>3.6229902516900672E-3</v>
      </c>
      <c r="J44" s="26">
        <f t="shared" si="9"/>
        <v>1.0761904761904761</v>
      </c>
      <c r="K44" s="46"/>
    </row>
    <row r="45" spans="1:11" x14ac:dyDescent="0.2">
      <c r="A45" s="41" t="s">
        <v>110</v>
      </c>
      <c r="B45" s="42"/>
      <c r="C45" s="25">
        <v>-0.08</v>
      </c>
      <c r="D45" s="25">
        <f>D42*C45</f>
        <v>-24.068516319999993</v>
      </c>
      <c r="E45" s="25"/>
      <c r="F45" s="25">
        <f>C45</f>
        <v>-0.08</v>
      </c>
      <c r="G45" s="25">
        <f>G42*F45</f>
        <v>-24.155716319999996</v>
      </c>
      <c r="H45" s="25">
        <f t="shared" si="1"/>
        <v>-8.7200000000002831E-2</v>
      </c>
      <c r="I45" s="43">
        <f t="shared" si="2"/>
        <v>3.622990251690049E-3</v>
      </c>
      <c r="J45" s="43">
        <f t="shared" si="9"/>
        <v>-7.6190476190476183E-2</v>
      </c>
      <c r="K45" s="44"/>
    </row>
    <row r="46" spans="1:11" s="1" customFormat="1" ht="13.5" thickBot="1" x14ac:dyDescent="0.25">
      <c r="A46" s="47" t="s">
        <v>111</v>
      </c>
      <c r="B46" s="48"/>
      <c r="C46" s="49"/>
      <c r="D46" s="49">
        <f>SUM(D44:D45)</f>
        <v>315.89927669999992</v>
      </c>
      <c r="E46" s="49"/>
      <c r="F46" s="49"/>
      <c r="G46" s="49">
        <f>SUM(G44:G45)</f>
        <v>317.04377669999997</v>
      </c>
      <c r="H46" s="49">
        <f t="shared" si="1"/>
        <v>1.1445000000000505</v>
      </c>
      <c r="I46" s="50">
        <f t="shared" si="2"/>
        <v>3.6229902516900911E-3</v>
      </c>
      <c r="J46" s="50">
        <f t="shared" si="9"/>
        <v>1</v>
      </c>
      <c r="K46" s="51"/>
    </row>
    <row r="47" spans="1:11" x14ac:dyDescent="0.2">
      <c r="A47" s="52" t="s">
        <v>112</v>
      </c>
      <c r="B47" s="53"/>
      <c r="C47" s="54"/>
      <c r="D47" s="54">
        <f>SUM(D18,D25,D26,D28,D33,D40,D41)</f>
        <v>293.20467739999998</v>
      </c>
      <c r="E47" s="54"/>
      <c r="F47" s="54"/>
      <c r="G47" s="54">
        <f>SUM(G18,G25,G26,G28,G33,G40,G41)</f>
        <v>294.29467739999996</v>
      </c>
      <c r="H47" s="54">
        <f>G47-D47</f>
        <v>1.089999999999975</v>
      </c>
      <c r="I47" s="55">
        <f>IF(ISERROR(H47/D47),0,(H47/D47))</f>
        <v>3.7175396029339573E-3</v>
      </c>
      <c r="J47" s="55"/>
      <c r="K47" s="56">
        <f>G47/$G$51</f>
        <v>0.95238095238095244</v>
      </c>
    </row>
    <row r="48" spans="1:11" x14ac:dyDescent="0.2">
      <c r="A48" s="57" t="s">
        <v>108</v>
      </c>
      <c r="B48" s="58"/>
      <c r="C48" s="30">
        <v>0.13</v>
      </c>
      <c r="D48" s="30">
        <f>D47*C48</f>
        <v>38.116608061999997</v>
      </c>
      <c r="E48" s="30"/>
      <c r="F48" s="30">
        <f>C48</f>
        <v>0.13</v>
      </c>
      <c r="G48" s="30">
        <f>G47*F48</f>
        <v>38.258308061999998</v>
      </c>
      <c r="H48" s="30">
        <f>G48-D48</f>
        <v>0.14170000000000016</v>
      </c>
      <c r="I48" s="31">
        <f>IF(ISERROR(H48/D48),0,(H48/D48))</f>
        <v>3.717539602934047E-3</v>
      </c>
      <c r="J48" s="31"/>
      <c r="K48" s="59">
        <f>G48/$G$51</f>
        <v>0.12380952380952383</v>
      </c>
    </row>
    <row r="49" spans="1:11" x14ac:dyDescent="0.2">
      <c r="A49" s="60" t="s">
        <v>113</v>
      </c>
      <c r="B49" s="28"/>
      <c r="C49" s="29"/>
      <c r="D49" s="29">
        <f>SUM(D47:D48)</f>
        <v>331.32128546199999</v>
      </c>
      <c r="E49" s="29"/>
      <c r="F49" s="29"/>
      <c r="G49" s="29">
        <f>SUM(G47:G48)</f>
        <v>332.55298546199992</v>
      </c>
      <c r="H49" s="29">
        <f>G49-D49</f>
        <v>1.2316999999999325</v>
      </c>
      <c r="I49" s="32">
        <f>IF(ISERROR(H49/D49),0,(H49/D49))</f>
        <v>3.7175396029338389E-3</v>
      </c>
      <c r="J49" s="32"/>
      <c r="K49" s="61">
        <f>G49/$G$51</f>
        <v>1.0761904761904761</v>
      </c>
    </row>
    <row r="50" spans="1:11" x14ac:dyDescent="0.2">
      <c r="A50" s="57" t="s">
        <v>110</v>
      </c>
      <c r="B50" s="58"/>
      <c r="C50" s="30">
        <v>-0.08</v>
      </c>
      <c r="D50" s="30">
        <f>D47*C50</f>
        <v>-23.456374191999998</v>
      </c>
      <c r="E50" s="30"/>
      <c r="F50" s="30">
        <f>C50</f>
        <v>-0.08</v>
      </c>
      <c r="G50" s="30">
        <f>G47*F50</f>
        <v>-23.543574191999998</v>
      </c>
      <c r="H50" s="30">
        <f>G50-D50</f>
        <v>-8.7199999999999278E-2</v>
      </c>
      <c r="I50" s="31">
        <f>IF(ISERROR(H50/D50),0,(H50/D50))</f>
        <v>3.7175396029340119E-3</v>
      </c>
      <c r="J50" s="31"/>
      <c r="K50" s="59">
        <f>G50/$G$51</f>
        <v>-7.6190476190476197E-2</v>
      </c>
    </row>
    <row r="51" spans="1:11" ht="13.5" thickBot="1" x14ac:dyDescent="0.25">
      <c r="A51" s="62" t="s">
        <v>114</v>
      </c>
      <c r="B51" s="63"/>
      <c r="C51" s="64"/>
      <c r="D51" s="64">
        <f>SUM(D49:D50)</f>
        <v>307.86491126999999</v>
      </c>
      <c r="E51" s="64"/>
      <c r="F51" s="64"/>
      <c r="G51" s="64">
        <f>SUM(G49:G50)</f>
        <v>309.00941126999993</v>
      </c>
      <c r="H51" s="64">
        <f>G51-D51</f>
        <v>1.1444999999999368</v>
      </c>
      <c r="I51" s="65">
        <f>IF(ISERROR(H51/D51),0,(H51/D51))</f>
        <v>3.7175396029338371E-3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Impacts'!$A$3:$A$22</xm:f>
          </x14:formula1>
          <xm:sqref>B3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1" tint="0.499984740745262"/>
    <pageSetUpPr fitToPage="1"/>
  </sheetPr>
  <dimension ref="A1:K68"/>
  <sheetViews>
    <sheetView tabSelected="1" topLeftCell="D16"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131</v>
      </c>
    </row>
    <row r="4" spans="1:11" x14ac:dyDescent="0.2">
      <c r="A4" s="14" t="s">
        <v>62</v>
      </c>
      <c r="B4" s="14">
        <v>1000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750</v>
      </c>
    </row>
    <row r="8" spans="1:11" x14ac:dyDescent="0.2">
      <c r="A8" s="14" t="s">
        <v>82</v>
      </c>
      <c r="B8" s="14">
        <f>B4*B6</f>
        <v>1057</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0.37405523815334385</v>
      </c>
      <c r="K12" s="105"/>
    </row>
    <row r="13" spans="1:11" x14ac:dyDescent="0.2">
      <c r="A13" s="106" t="s">
        <v>32</v>
      </c>
      <c r="B13" s="72">
        <f>IF(B4&gt;B7,(B4)-B7,0)</f>
        <v>250</v>
      </c>
      <c r="C13" s="20">
        <v>0.121</v>
      </c>
      <c r="D13" s="21">
        <f>B13*C13</f>
        <v>30.25</v>
      </c>
      <c r="E13" s="72">
        <f t="shared" ref="E13" si="0">B13</f>
        <v>250</v>
      </c>
      <c r="F13" s="20">
        <f>C13</f>
        <v>0.121</v>
      </c>
      <c r="G13" s="21">
        <f>E13*F13</f>
        <v>30.25</v>
      </c>
      <c r="H13" s="21">
        <f t="shared" ref="H13:H46" si="1">G13-D13</f>
        <v>0</v>
      </c>
      <c r="I13" s="22">
        <f t="shared" ref="I13:I46" si="2">IF(ISERROR(H13/D13),0,(H13/D13))</f>
        <v>0</v>
      </c>
      <c r="J13" s="22">
        <f>G13/$G$46</f>
        <v>0.1464747049079437</v>
      </c>
      <c r="K13" s="107"/>
    </row>
    <row r="14" spans="1:11" s="1" customFormat="1" x14ac:dyDescent="0.2">
      <c r="A14" s="45" t="s">
        <v>33</v>
      </c>
      <c r="B14" s="23"/>
      <c r="C14" s="24"/>
      <c r="D14" s="24">
        <f>SUM(D12:D13)</f>
        <v>107.5</v>
      </c>
      <c r="E14" s="75"/>
      <c r="F14" s="24"/>
      <c r="G14" s="24">
        <f>SUM(G12:G13)</f>
        <v>107.5</v>
      </c>
      <c r="H14" s="24">
        <f t="shared" si="1"/>
        <v>0</v>
      </c>
      <c r="I14" s="26">
        <f t="shared" si="2"/>
        <v>0</v>
      </c>
      <c r="J14" s="26">
        <f>G14/$G$46</f>
        <v>0.52052994306128753</v>
      </c>
      <c r="K14" s="107"/>
    </row>
    <row r="15" spans="1:11" s="1" customFormat="1" x14ac:dyDescent="0.2">
      <c r="A15" s="108" t="s">
        <v>34</v>
      </c>
      <c r="B15" s="74">
        <f>B4*0.65</f>
        <v>650</v>
      </c>
      <c r="C15" s="27">
        <v>8.6999999999999994E-2</v>
      </c>
      <c r="D15" s="21">
        <f>B15*C15</f>
        <v>56.55</v>
      </c>
      <c r="E15" s="72">
        <f t="shared" ref="E15:F17" si="3">B15</f>
        <v>650</v>
      </c>
      <c r="F15" s="27">
        <f t="shared" si="3"/>
        <v>8.6999999999999994E-2</v>
      </c>
      <c r="G15" s="21">
        <f>E15*F15</f>
        <v>56.55</v>
      </c>
      <c r="H15" s="21">
        <f t="shared" si="1"/>
        <v>0</v>
      </c>
      <c r="I15" s="22">
        <f t="shared" si="2"/>
        <v>0</v>
      </c>
      <c r="J15" s="22"/>
      <c r="K15" s="107">
        <f t="shared" ref="K15:K41" si="4">G15/$G$51</f>
        <v>0.26924770997145181</v>
      </c>
    </row>
    <row r="16" spans="1:11" s="1" customFormat="1" x14ac:dyDescent="0.2">
      <c r="A16" s="108" t="s">
        <v>35</v>
      </c>
      <c r="B16" s="74">
        <f>B4*0.17</f>
        <v>170</v>
      </c>
      <c r="C16" s="27">
        <v>0.13200000000000001</v>
      </c>
      <c r="D16" s="21">
        <f>B16*C16</f>
        <v>22.44</v>
      </c>
      <c r="E16" s="72">
        <f t="shared" si="3"/>
        <v>170</v>
      </c>
      <c r="F16" s="27">
        <f t="shared" si="3"/>
        <v>0.13200000000000001</v>
      </c>
      <c r="G16" s="21">
        <f>E16*F16</f>
        <v>22.44</v>
      </c>
      <c r="H16" s="21">
        <f t="shared" si="1"/>
        <v>0</v>
      </c>
      <c r="I16" s="22">
        <f t="shared" si="2"/>
        <v>0</v>
      </c>
      <c r="J16" s="22"/>
      <c r="K16" s="107">
        <f t="shared" si="4"/>
        <v>0.10684206210007743</v>
      </c>
    </row>
    <row r="17" spans="1:11" s="1" customFormat="1" x14ac:dyDescent="0.2">
      <c r="A17" s="108" t="s">
        <v>36</v>
      </c>
      <c r="B17" s="74">
        <f>B4*0.18</f>
        <v>180</v>
      </c>
      <c r="C17" s="27">
        <v>0.18</v>
      </c>
      <c r="D17" s="21">
        <f>B17*C17</f>
        <v>32.4</v>
      </c>
      <c r="E17" s="72">
        <f t="shared" si="3"/>
        <v>180</v>
      </c>
      <c r="F17" s="27">
        <f t="shared" si="3"/>
        <v>0.18</v>
      </c>
      <c r="G17" s="21">
        <f>E17*F17</f>
        <v>32.4</v>
      </c>
      <c r="H17" s="21">
        <f t="shared" si="1"/>
        <v>0</v>
      </c>
      <c r="I17" s="22">
        <f t="shared" si="2"/>
        <v>0</v>
      </c>
      <c r="J17" s="22"/>
      <c r="K17" s="107">
        <f t="shared" si="4"/>
        <v>0.15426393993059309</v>
      </c>
    </row>
    <row r="18" spans="1:11" s="1" customFormat="1" x14ac:dyDescent="0.2">
      <c r="A18" s="60" t="s">
        <v>37</v>
      </c>
      <c r="B18" s="28"/>
      <c r="C18" s="29"/>
      <c r="D18" s="29">
        <f>SUM(D15:D17)</f>
        <v>111.38999999999999</v>
      </c>
      <c r="E18" s="76"/>
      <c r="F18" s="29"/>
      <c r="G18" s="29">
        <f>SUM(G15:G17)</f>
        <v>111.38999999999999</v>
      </c>
      <c r="H18" s="30">
        <f t="shared" si="1"/>
        <v>0</v>
      </c>
      <c r="I18" s="31">
        <f t="shared" si="2"/>
        <v>0</v>
      </c>
      <c r="J18" s="32">
        <f t="shared" ref="J18:J24" si="5">G18/$G$46</f>
        <v>0.53936586379159823</v>
      </c>
      <c r="K18" s="61">
        <f t="shared" si="4"/>
        <v>0.53035371200212222</v>
      </c>
    </row>
    <row r="19" spans="1:11" x14ac:dyDescent="0.2">
      <c r="A19" s="106" t="s">
        <v>38</v>
      </c>
      <c r="B19" s="72">
        <v>1</v>
      </c>
      <c r="C19" s="77">
        <f>VLOOKUP($B$3,'Data for Bill Impacts'!$A$3:$Y$25,7,0)</f>
        <v>30.24</v>
      </c>
      <c r="D19" s="21">
        <f>B19*C19</f>
        <v>30.24</v>
      </c>
      <c r="E19" s="72">
        <f t="shared" ref="E19:E41" si="6">B19</f>
        <v>1</v>
      </c>
      <c r="F19" s="77">
        <f>VLOOKUP($B$3,'Data for Bill Impacts'!$A$3:$Y$25,17,0)</f>
        <v>35.68</v>
      </c>
      <c r="G19" s="21">
        <f>E19*F19</f>
        <v>35.68</v>
      </c>
      <c r="H19" s="21">
        <f t="shared" si="1"/>
        <v>5.4400000000000013</v>
      </c>
      <c r="I19" s="22">
        <f t="shared" si="2"/>
        <v>0.17989417989417994</v>
      </c>
      <c r="J19" s="22">
        <f t="shared" si="5"/>
        <v>0.17276751970629525</v>
      </c>
      <c r="K19" s="107">
        <f t="shared" si="4"/>
        <v>0.16988078323220868</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1000</v>
      </c>
      <c r="C23" s="125">
        <f>VLOOKUP($B$3,'Data for Bill Impacts'!$A$3:$Y$25,10,0)</f>
        <v>1.7399999999999999E-2</v>
      </c>
      <c r="D23" s="21">
        <f>B23*C23</f>
        <v>17.399999999999999</v>
      </c>
      <c r="E23" s="72">
        <f t="shared" si="6"/>
        <v>1000</v>
      </c>
      <c r="F23" s="77">
        <f>VLOOKUP($B$3,'Data for Bill Impacts'!$A$3:$Y$25,19,0)</f>
        <v>2.06E-2</v>
      </c>
      <c r="G23" s="21">
        <f>E23*F23</f>
        <v>20.6</v>
      </c>
      <c r="H23" s="21">
        <f t="shared" si="1"/>
        <v>3.2000000000000028</v>
      </c>
      <c r="I23" s="22">
        <f t="shared" si="2"/>
        <v>0.18390804597701169</v>
      </c>
      <c r="J23" s="22">
        <f t="shared" si="5"/>
        <v>9.9748063507558368E-2</v>
      </c>
      <c r="K23" s="107">
        <f t="shared" si="4"/>
        <v>9.8081393906488207E-2</v>
      </c>
    </row>
    <row r="24" spans="1:11" x14ac:dyDescent="0.2">
      <c r="A24" s="106" t="s">
        <v>129</v>
      </c>
      <c r="B24" s="72">
        <f>IF($B$9="kWh",$B$4,$B$5)</f>
        <v>1000</v>
      </c>
      <c r="C24" s="77">
        <f>VLOOKUP($B$3,'Data for Bill Impacts'!$A$3:$Y$25,14,0)</f>
        <v>0</v>
      </c>
      <c r="D24" s="33">
        <f>B24*C24</f>
        <v>0</v>
      </c>
      <c r="E24" s="72">
        <f t="shared" si="6"/>
        <v>1000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47.64</v>
      </c>
      <c r="E25" s="72"/>
      <c r="F25" s="34"/>
      <c r="G25" s="34">
        <f>SUM(G19:G24)</f>
        <v>56.28</v>
      </c>
      <c r="H25" s="34">
        <f t="shared" si="1"/>
        <v>8.64</v>
      </c>
      <c r="I25" s="35">
        <f t="shared" si="2"/>
        <v>0.18136020151133503</v>
      </c>
      <c r="J25" s="35">
        <f>G25/$G$46</f>
        <v>0.27251558321385361</v>
      </c>
      <c r="K25" s="110">
        <f t="shared" si="4"/>
        <v>0.26796217713869686</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3.8252898141248109E-3</v>
      </c>
      <c r="K26" s="107">
        <f t="shared" si="4"/>
        <v>3.7613738439866832E-3</v>
      </c>
    </row>
    <row r="27" spans="1:11" s="1" customFormat="1" x14ac:dyDescent="0.2">
      <c r="A27" s="118" t="s">
        <v>75</v>
      </c>
      <c r="B27" s="119">
        <f>B8-B4</f>
        <v>57</v>
      </c>
      <c r="C27" s="120">
        <f>IF(B4&gt;B7,C13,C12)</f>
        <v>0.121</v>
      </c>
      <c r="D27" s="21">
        <f>B27*C27</f>
        <v>6.8970000000000002</v>
      </c>
      <c r="E27" s="72">
        <f>B27</f>
        <v>57</v>
      </c>
      <c r="F27" s="120">
        <f>C27</f>
        <v>0.121</v>
      </c>
      <c r="G27" s="21">
        <f>E27*F27</f>
        <v>6.8970000000000002</v>
      </c>
      <c r="H27" s="21">
        <f t="shared" si="1"/>
        <v>0</v>
      </c>
      <c r="I27" s="22">
        <f>IF(ISERROR(H27/D27),0,(H27/D27))</f>
        <v>0</v>
      </c>
      <c r="J27" s="22">
        <f t="shared" ref="J27:J46" si="9">G27/$G$46</f>
        <v>3.3396232719011168E-2</v>
      </c>
      <c r="K27" s="107">
        <f t="shared" si="4"/>
        <v>3.2838222027817915E-2</v>
      </c>
    </row>
    <row r="28" spans="1:11" s="1" customFormat="1" x14ac:dyDescent="0.2">
      <c r="A28" s="118" t="s">
        <v>74</v>
      </c>
      <c r="B28" s="119">
        <f>B8-B4</f>
        <v>57</v>
      </c>
      <c r="C28" s="120">
        <f>0.65*C15+0.17*C16+0.18*C17</f>
        <v>0.11139</v>
      </c>
      <c r="D28" s="21">
        <f>B28*C28</f>
        <v>6.3492300000000004</v>
      </c>
      <c r="E28" s="72">
        <f>B28</f>
        <v>57</v>
      </c>
      <c r="F28" s="120">
        <f>C28</f>
        <v>0.11139</v>
      </c>
      <c r="G28" s="21">
        <f>E28*F28</f>
        <v>6.3492300000000004</v>
      </c>
      <c r="H28" s="21">
        <f t="shared" si="1"/>
        <v>0</v>
      </c>
      <c r="I28" s="22">
        <f>IF(ISERROR(H28/D28),0,(H28/D28))</f>
        <v>0</v>
      </c>
      <c r="J28" s="22">
        <f t="shared" si="9"/>
        <v>3.0743854236121106E-2</v>
      </c>
      <c r="K28" s="107">
        <f t="shared" si="4"/>
        <v>3.0230161584120976E-2</v>
      </c>
    </row>
    <row r="29" spans="1:11" s="1" customFormat="1" x14ac:dyDescent="0.2">
      <c r="A29" s="109" t="s">
        <v>78</v>
      </c>
      <c r="B29" s="73"/>
      <c r="C29" s="34"/>
      <c r="D29" s="34">
        <f>SUM(D25,D26:D27)</f>
        <v>55.326999999999998</v>
      </c>
      <c r="E29" s="72"/>
      <c r="F29" s="34"/>
      <c r="G29" s="34">
        <f>SUM(G25,G26:G27)</f>
        <v>63.966999999999999</v>
      </c>
      <c r="H29" s="34">
        <f t="shared" si="1"/>
        <v>8.64</v>
      </c>
      <c r="I29" s="35">
        <f>IF(ISERROR(H29/D29),0,(H29/D29))</f>
        <v>0.15616245232888104</v>
      </c>
      <c r="J29" s="35">
        <f t="shared" si="9"/>
        <v>0.30973710574698959</v>
      </c>
      <c r="K29" s="110">
        <f t="shared" si="4"/>
        <v>0.30456177301050147</v>
      </c>
    </row>
    <row r="30" spans="1:11" s="1" customFormat="1" x14ac:dyDescent="0.2">
      <c r="A30" s="109" t="s">
        <v>77</v>
      </c>
      <c r="B30" s="73"/>
      <c r="C30" s="34"/>
      <c r="D30" s="34">
        <f>SUM(D25,D26,D28)</f>
        <v>54.779229999999998</v>
      </c>
      <c r="E30" s="72"/>
      <c r="F30" s="34"/>
      <c r="G30" s="34">
        <f>SUM(G25,G26,G28)</f>
        <v>63.419229999999999</v>
      </c>
      <c r="H30" s="34">
        <f t="shared" si="1"/>
        <v>8.64</v>
      </c>
      <c r="I30" s="35">
        <f>IF(ISERROR(H30/D30),0,(H30/D30))</f>
        <v>0.1577240132802159</v>
      </c>
      <c r="J30" s="35">
        <f t="shared" si="9"/>
        <v>0.30708472726409952</v>
      </c>
      <c r="K30" s="110">
        <f t="shared" si="4"/>
        <v>0.30195371256680453</v>
      </c>
    </row>
    <row r="31" spans="1:11" x14ac:dyDescent="0.2">
      <c r="A31" s="106" t="s">
        <v>40</v>
      </c>
      <c r="B31" s="72">
        <f>B8</f>
        <v>1057</v>
      </c>
      <c r="C31" s="125">
        <f>VLOOKUP($B$3,'Data for Bill Impacts'!$A$3:$Y$25,15,0)</f>
        <v>5.5999999999999999E-3</v>
      </c>
      <c r="D31" s="21">
        <f>B31*C31</f>
        <v>5.9192</v>
      </c>
      <c r="E31" s="72">
        <f t="shared" si="6"/>
        <v>1057</v>
      </c>
      <c r="F31" s="77">
        <f>VLOOKUP($B$3,'Data for Bill Impacts'!$A$3:$Y$25,24,0)</f>
        <v>5.5999999999999999E-3</v>
      </c>
      <c r="G31" s="21">
        <f>E31*F31</f>
        <v>5.9192</v>
      </c>
      <c r="H31" s="21">
        <f t="shared" si="1"/>
        <v>0</v>
      </c>
      <c r="I31" s="22">
        <f t="shared" si="2"/>
        <v>0</v>
      </c>
      <c r="J31" s="22">
        <f t="shared" si="9"/>
        <v>2.8661589199705798E-2</v>
      </c>
      <c r="K31" s="107">
        <f t="shared" si="4"/>
        <v>2.8182688680159464E-2</v>
      </c>
    </row>
    <row r="32" spans="1:11" x14ac:dyDescent="0.2">
      <c r="A32" s="106" t="s">
        <v>41</v>
      </c>
      <c r="B32" s="72">
        <f>B8</f>
        <v>1057</v>
      </c>
      <c r="C32" s="125">
        <f>VLOOKUP($B$3,'Data for Bill Impacts'!$A$3:$Y$25,16,0)</f>
        <v>4.5999999999999999E-3</v>
      </c>
      <c r="D32" s="21">
        <f>B32*C32</f>
        <v>4.8621999999999996</v>
      </c>
      <c r="E32" s="72">
        <f t="shared" si="6"/>
        <v>1057</v>
      </c>
      <c r="F32" s="77">
        <f>VLOOKUP($B$3,'Data for Bill Impacts'!$A$3:$Y$25,25,0)</f>
        <v>4.5999999999999999E-3</v>
      </c>
      <c r="G32" s="21">
        <f>E32*F32</f>
        <v>4.8621999999999996</v>
      </c>
      <c r="H32" s="21">
        <f t="shared" si="1"/>
        <v>0</v>
      </c>
      <c r="I32" s="22">
        <f t="shared" si="2"/>
        <v>0</v>
      </c>
      <c r="J32" s="22">
        <f t="shared" si="9"/>
        <v>2.3543448271186904E-2</v>
      </c>
      <c r="K32" s="107">
        <f t="shared" si="4"/>
        <v>2.3150065701559558E-2</v>
      </c>
    </row>
    <row r="33" spans="1:11" s="1" customFormat="1" x14ac:dyDescent="0.2">
      <c r="A33" s="109" t="s">
        <v>76</v>
      </c>
      <c r="B33" s="73"/>
      <c r="C33" s="34"/>
      <c r="D33" s="34">
        <f>SUM(D31:D32)</f>
        <v>10.7814</v>
      </c>
      <c r="E33" s="72"/>
      <c r="F33" s="34"/>
      <c r="G33" s="34">
        <f>SUM(G31:G32)</f>
        <v>10.7814</v>
      </c>
      <c r="H33" s="34">
        <f t="shared" si="1"/>
        <v>0</v>
      </c>
      <c r="I33" s="35">
        <f t="shared" si="2"/>
        <v>0</v>
      </c>
      <c r="J33" s="35">
        <f t="shared" si="9"/>
        <v>5.2205037470892703E-2</v>
      </c>
      <c r="K33" s="110">
        <f t="shared" si="4"/>
        <v>5.1332754381719019E-2</v>
      </c>
    </row>
    <row r="34" spans="1:11" s="1" customFormat="1" x14ac:dyDescent="0.2">
      <c r="A34" s="109" t="s">
        <v>93</v>
      </c>
      <c r="B34" s="73"/>
      <c r="C34" s="34"/>
      <c r="D34" s="34">
        <f>D29+D33</f>
        <v>66.108400000000003</v>
      </c>
      <c r="E34" s="72"/>
      <c r="F34" s="34"/>
      <c r="G34" s="34">
        <f>G29+G33</f>
        <v>74.748400000000004</v>
      </c>
      <c r="H34" s="34">
        <f t="shared" si="1"/>
        <v>8.64</v>
      </c>
      <c r="I34" s="35">
        <f t="shared" si="2"/>
        <v>0.13069443520036789</v>
      </c>
      <c r="J34" s="35">
        <f t="shared" si="9"/>
        <v>0.36194214321788232</v>
      </c>
      <c r="K34" s="110">
        <f t="shared" si="4"/>
        <v>0.35589452739222049</v>
      </c>
    </row>
    <row r="35" spans="1:11" s="1" customFormat="1" x14ac:dyDescent="0.2">
      <c r="A35" s="109" t="s">
        <v>94</v>
      </c>
      <c r="B35" s="73"/>
      <c r="C35" s="34"/>
      <c r="D35" s="34">
        <f>D30+D33</f>
        <v>65.560630000000003</v>
      </c>
      <c r="E35" s="72"/>
      <c r="F35" s="34"/>
      <c r="G35" s="34">
        <f>G30+G33</f>
        <v>74.200630000000004</v>
      </c>
      <c r="H35" s="34">
        <f t="shared" si="1"/>
        <v>8.64</v>
      </c>
      <c r="I35" s="35">
        <f t="shared" si="2"/>
        <v>0.13178640900796712</v>
      </c>
      <c r="J35" s="35">
        <f t="shared" si="9"/>
        <v>0.35928976473499225</v>
      </c>
      <c r="K35" s="110">
        <f t="shared" si="4"/>
        <v>0.35328646694852356</v>
      </c>
    </row>
    <row r="36" spans="1:11" x14ac:dyDescent="0.2">
      <c r="A36" s="106" t="s">
        <v>42</v>
      </c>
      <c r="B36" s="72">
        <f>B8</f>
        <v>1057</v>
      </c>
      <c r="C36" s="33">
        <v>3.5999999999999999E-3</v>
      </c>
      <c r="D36" s="21">
        <f>B36*C36</f>
        <v>3.8051999999999997</v>
      </c>
      <c r="E36" s="72">
        <f t="shared" si="6"/>
        <v>1057</v>
      </c>
      <c r="F36" s="33">
        <v>3.5999999999999999E-3</v>
      </c>
      <c r="G36" s="21">
        <f>E36*F36</f>
        <v>3.8051999999999997</v>
      </c>
      <c r="H36" s="21">
        <f t="shared" si="1"/>
        <v>0</v>
      </c>
      <c r="I36" s="22">
        <f t="shared" si="2"/>
        <v>0</v>
      </c>
      <c r="J36" s="22">
        <f t="shared" si="9"/>
        <v>1.842530734266801E-2</v>
      </c>
      <c r="K36" s="107">
        <f t="shared" si="4"/>
        <v>1.8117442722959651E-2</v>
      </c>
    </row>
    <row r="37" spans="1:11" x14ac:dyDescent="0.2">
      <c r="A37" s="106" t="s">
        <v>43</v>
      </c>
      <c r="B37" s="72">
        <f>B8</f>
        <v>1057</v>
      </c>
      <c r="C37" s="33">
        <v>2.0999999999999999E-3</v>
      </c>
      <c r="D37" s="21">
        <f>B37*C37</f>
        <v>2.2197</v>
      </c>
      <c r="E37" s="72">
        <f t="shared" si="6"/>
        <v>1057</v>
      </c>
      <c r="F37" s="33">
        <v>2.0999999999999999E-3</v>
      </c>
      <c r="G37" s="21">
        <f>E37*F37</f>
        <v>2.2197</v>
      </c>
      <c r="H37" s="21">
        <f>G37-D37</f>
        <v>0</v>
      </c>
      <c r="I37" s="22">
        <f t="shared" si="2"/>
        <v>0</v>
      </c>
      <c r="J37" s="22">
        <f t="shared" si="9"/>
        <v>1.0748095949889673E-2</v>
      </c>
      <c r="K37" s="107">
        <f t="shared" si="4"/>
        <v>1.0568508255059799E-2</v>
      </c>
    </row>
    <row r="38" spans="1:11" x14ac:dyDescent="0.2">
      <c r="A38" s="106" t="s">
        <v>99</v>
      </c>
      <c r="B38" s="72">
        <f>B8</f>
        <v>1057</v>
      </c>
      <c r="C38" s="33">
        <v>1.1000000000000001E-3</v>
      </c>
      <c r="D38" s="21">
        <f>B38*C38</f>
        <v>1.1627000000000001</v>
      </c>
      <c r="E38" s="72">
        <f t="shared" si="6"/>
        <v>1057</v>
      </c>
      <c r="F38" s="33">
        <v>1.1000000000000001E-3</v>
      </c>
      <c r="G38" s="21">
        <f>E38*F38</f>
        <v>1.1627000000000001</v>
      </c>
      <c r="H38" s="21">
        <f>G38-D38</f>
        <v>0</v>
      </c>
      <c r="I38" s="22">
        <f t="shared" si="2"/>
        <v>0</v>
      </c>
      <c r="J38" s="22">
        <f t="shared" si="9"/>
        <v>5.6299550213707817E-3</v>
      </c>
      <c r="K38" s="107">
        <f t="shared" si="4"/>
        <v>5.5358852764598948E-3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1.2105347513053199E-3</v>
      </c>
      <c r="K39" s="107">
        <f t="shared" si="4"/>
        <v>1.1903081784767984E-3</v>
      </c>
    </row>
    <row r="40" spans="1:11" s="1" customFormat="1" x14ac:dyDescent="0.2">
      <c r="A40" s="109" t="s">
        <v>45</v>
      </c>
      <c r="B40" s="73"/>
      <c r="C40" s="34"/>
      <c r="D40" s="34">
        <f>SUM(D36:D39)</f>
        <v>7.4375999999999998</v>
      </c>
      <c r="E40" s="72"/>
      <c r="F40" s="34"/>
      <c r="G40" s="34">
        <f>SUM(G36:G39)</f>
        <v>7.4375999999999998</v>
      </c>
      <c r="H40" s="34">
        <f t="shared" si="1"/>
        <v>0</v>
      </c>
      <c r="I40" s="35">
        <f t="shared" si="2"/>
        <v>0</v>
      </c>
      <c r="J40" s="35">
        <f t="shared" si="9"/>
        <v>3.6013893065233789E-2</v>
      </c>
      <c r="K40" s="110">
        <f t="shared" si="4"/>
        <v>3.5412144432956143E-2</v>
      </c>
    </row>
    <row r="41" spans="1:11" s="1" customFormat="1" ht="13.5" thickBot="1" x14ac:dyDescent="0.25">
      <c r="A41" s="111" t="s">
        <v>46</v>
      </c>
      <c r="B41" s="112">
        <f>B4</f>
        <v>1000</v>
      </c>
      <c r="C41" s="113">
        <v>7.0000000000000001E-3</v>
      </c>
      <c r="D41" s="114">
        <f>B41*C41</f>
        <v>7</v>
      </c>
      <c r="E41" s="115">
        <f t="shared" si="6"/>
        <v>1000</v>
      </c>
      <c r="F41" s="113">
        <f>C41</f>
        <v>7.0000000000000001E-3</v>
      </c>
      <c r="G41" s="114">
        <f>E41*F41</f>
        <v>7</v>
      </c>
      <c r="H41" s="114">
        <f t="shared" si="1"/>
        <v>0</v>
      </c>
      <c r="I41" s="116">
        <f t="shared" si="2"/>
        <v>0</v>
      </c>
      <c r="J41" s="116">
        <f t="shared" si="9"/>
        <v>3.3894973036548953E-2</v>
      </c>
      <c r="K41" s="117">
        <f t="shared" si="4"/>
        <v>3.3328628997350361E-2</v>
      </c>
    </row>
    <row r="42" spans="1:11" s="1" customFormat="1" x14ac:dyDescent="0.2">
      <c r="A42" s="36" t="s">
        <v>107</v>
      </c>
      <c r="B42" s="37"/>
      <c r="C42" s="38"/>
      <c r="D42" s="38">
        <f>SUM(D14,D25,D26,D27,D33,D40,D41)</f>
        <v>188.04599999999996</v>
      </c>
      <c r="E42" s="37"/>
      <c r="F42" s="38"/>
      <c r="G42" s="38">
        <f>SUM(G14,G25,G26,G27,G33,G40,G41)</f>
        <v>196.68599999999998</v>
      </c>
      <c r="H42" s="38">
        <f t="shared" si="1"/>
        <v>8.6400000000000148</v>
      </c>
      <c r="I42" s="39">
        <f>IF(ISERROR(H42/D42),0,(H42/D42))</f>
        <v>4.5946204652053312E-2</v>
      </c>
      <c r="J42" s="39">
        <f t="shared" si="9"/>
        <v>0.95238095238095244</v>
      </c>
      <c r="K42" s="40"/>
    </row>
    <row r="43" spans="1:11" x14ac:dyDescent="0.2">
      <c r="A43" s="143" t="s">
        <v>108</v>
      </c>
      <c r="B43" s="42"/>
      <c r="C43" s="25">
        <v>0.13</v>
      </c>
      <c r="D43" s="25">
        <f>D42*C43</f>
        <v>24.445979999999995</v>
      </c>
      <c r="E43" s="25"/>
      <c r="F43" s="25">
        <f>C43</f>
        <v>0.13</v>
      </c>
      <c r="G43" s="25">
        <f>G42*F43</f>
        <v>25.569179999999999</v>
      </c>
      <c r="H43" s="25">
        <f t="shared" si="1"/>
        <v>1.1232000000000042</v>
      </c>
      <c r="I43" s="43">
        <f t="shared" si="2"/>
        <v>4.5946204652053402E-2</v>
      </c>
      <c r="J43" s="43">
        <f t="shared" si="9"/>
        <v>0.12380952380952383</v>
      </c>
      <c r="K43" s="44"/>
    </row>
    <row r="44" spans="1:11" s="1" customFormat="1" x14ac:dyDescent="0.2">
      <c r="A44" s="45" t="s">
        <v>109</v>
      </c>
      <c r="B44" s="23"/>
      <c r="C44" s="24"/>
      <c r="D44" s="24">
        <f>SUM(D42:D43)</f>
        <v>212.49197999999996</v>
      </c>
      <c r="E44" s="24"/>
      <c r="F44" s="24"/>
      <c r="G44" s="24">
        <f>SUM(G42:G43)</f>
        <v>222.25517999999997</v>
      </c>
      <c r="H44" s="24">
        <f t="shared" si="1"/>
        <v>9.7632000000000119</v>
      </c>
      <c r="I44" s="26">
        <f t="shared" si="2"/>
        <v>4.5946204652053284E-2</v>
      </c>
      <c r="J44" s="26">
        <f t="shared" si="9"/>
        <v>1.0761904761904761</v>
      </c>
      <c r="K44" s="46"/>
    </row>
    <row r="45" spans="1:11" x14ac:dyDescent="0.2">
      <c r="A45" s="41" t="s">
        <v>110</v>
      </c>
      <c r="B45" s="42"/>
      <c r="C45" s="25">
        <v>-0.08</v>
      </c>
      <c r="D45" s="25">
        <f>D42*C45</f>
        <v>-15.043679999999997</v>
      </c>
      <c r="E45" s="25"/>
      <c r="F45" s="25">
        <f>C45</f>
        <v>-0.08</v>
      </c>
      <c r="G45" s="25">
        <f>G42*F45</f>
        <v>-15.734879999999999</v>
      </c>
      <c r="H45" s="25">
        <f t="shared" si="1"/>
        <v>-0.69120000000000203</v>
      </c>
      <c r="I45" s="43">
        <f t="shared" si="2"/>
        <v>4.5946204652053367E-2</v>
      </c>
      <c r="J45" s="43">
        <f t="shared" si="9"/>
        <v>-7.6190476190476197E-2</v>
      </c>
      <c r="K45" s="44"/>
    </row>
    <row r="46" spans="1:11" s="1" customFormat="1" ht="13.5" thickBot="1" x14ac:dyDescent="0.25">
      <c r="A46" s="47" t="s">
        <v>111</v>
      </c>
      <c r="B46" s="48"/>
      <c r="C46" s="49"/>
      <c r="D46" s="49">
        <f>SUM(D44:D45)</f>
        <v>197.44829999999996</v>
      </c>
      <c r="E46" s="49"/>
      <c r="F46" s="49"/>
      <c r="G46" s="49">
        <f>SUM(G44:G45)</f>
        <v>206.52029999999996</v>
      </c>
      <c r="H46" s="49">
        <f t="shared" si="1"/>
        <v>9.0720000000000027</v>
      </c>
      <c r="I46" s="50">
        <f t="shared" si="2"/>
        <v>4.5946204652053242E-2</v>
      </c>
      <c r="J46" s="50">
        <f t="shared" si="9"/>
        <v>1</v>
      </c>
      <c r="K46" s="51"/>
    </row>
    <row r="47" spans="1:11" x14ac:dyDescent="0.2">
      <c r="A47" s="52" t="s">
        <v>112</v>
      </c>
      <c r="B47" s="53"/>
      <c r="C47" s="54"/>
      <c r="D47" s="54">
        <f>SUM(D18,D25,D26,D28,D33,D40,D41)</f>
        <v>191.38822999999996</v>
      </c>
      <c r="E47" s="54"/>
      <c r="F47" s="54"/>
      <c r="G47" s="54">
        <f>SUM(G18,G25,G26,G28,G33,G40,G41)</f>
        <v>200.02822999999998</v>
      </c>
      <c r="H47" s="54">
        <f>G47-D47</f>
        <v>8.6400000000000148</v>
      </c>
      <c r="I47" s="55">
        <f>IF(ISERROR(H47/D47),0,(H47/D47))</f>
        <v>4.514384191755165E-2</v>
      </c>
      <c r="J47" s="55"/>
      <c r="K47" s="56">
        <f>G47/$G$51</f>
        <v>0.95238095238095233</v>
      </c>
    </row>
    <row r="48" spans="1:11" x14ac:dyDescent="0.2">
      <c r="A48" s="144" t="s">
        <v>108</v>
      </c>
      <c r="B48" s="58"/>
      <c r="C48" s="30">
        <v>0.13</v>
      </c>
      <c r="D48" s="30">
        <f>D47*C48</f>
        <v>24.880469899999998</v>
      </c>
      <c r="E48" s="30"/>
      <c r="F48" s="30">
        <f>C48</f>
        <v>0.13</v>
      </c>
      <c r="G48" s="30">
        <f>G47*F48</f>
        <v>26.003669899999998</v>
      </c>
      <c r="H48" s="30">
        <f>G48-D48</f>
        <v>1.1232000000000006</v>
      </c>
      <c r="I48" s="31">
        <f>IF(ISERROR(H48/D48),0,(H48/D48))</f>
        <v>4.5143841917551594E-2</v>
      </c>
      <c r="J48" s="31"/>
      <c r="K48" s="59">
        <f>G48/$G$51</f>
        <v>0.1238095238095238</v>
      </c>
    </row>
    <row r="49" spans="1:11" x14ac:dyDescent="0.2">
      <c r="A49" s="136" t="s">
        <v>113</v>
      </c>
      <c r="B49" s="28"/>
      <c r="C49" s="29"/>
      <c r="D49" s="29">
        <f>SUM(D47:D48)</f>
        <v>216.26869989999997</v>
      </c>
      <c r="E49" s="29"/>
      <c r="F49" s="29"/>
      <c r="G49" s="29">
        <f>SUM(G47:G48)</f>
        <v>226.03189989999998</v>
      </c>
      <c r="H49" s="29">
        <f>G49-D49</f>
        <v>9.7632000000000119</v>
      </c>
      <c r="I49" s="32">
        <f>IF(ISERROR(H49/D49),0,(H49/D49))</f>
        <v>4.5143841917551629E-2</v>
      </c>
      <c r="J49" s="32"/>
      <c r="K49" s="61">
        <f>G49/$G$51</f>
        <v>1.0761904761904761</v>
      </c>
    </row>
    <row r="50" spans="1:11" x14ac:dyDescent="0.2">
      <c r="A50" s="57" t="s">
        <v>110</v>
      </c>
      <c r="B50" s="58"/>
      <c r="C50" s="30">
        <v>-0.08</v>
      </c>
      <c r="D50" s="30">
        <f>D47*C50</f>
        <v>-15.311058399999997</v>
      </c>
      <c r="E50" s="30"/>
      <c r="F50" s="30">
        <f>C50</f>
        <v>-0.08</v>
      </c>
      <c r="G50" s="30">
        <f>G47*F50</f>
        <v>-16.002258399999999</v>
      </c>
      <c r="H50" s="30">
        <f>G50-D50</f>
        <v>-0.69120000000000203</v>
      </c>
      <c r="I50" s="31">
        <f>IF(ISERROR(H50/D50),0,(H50/D50))</f>
        <v>4.5143841917551705E-2</v>
      </c>
      <c r="J50" s="31"/>
      <c r="K50" s="59">
        <f>G50/$G$51</f>
        <v>-7.6190476190476183E-2</v>
      </c>
    </row>
    <row r="51" spans="1:11" ht="13.5" thickBot="1" x14ac:dyDescent="0.25">
      <c r="A51" s="62" t="s">
        <v>114</v>
      </c>
      <c r="B51" s="63"/>
      <c r="C51" s="64"/>
      <c r="D51" s="64">
        <f>SUM(D49:D50)</f>
        <v>200.95764149999997</v>
      </c>
      <c r="E51" s="64"/>
      <c r="F51" s="64"/>
      <c r="G51" s="64">
        <f>SUM(G49:G50)</f>
        <v>210.0296415</v>
      </c>
      <c r="H51" s="64">
        <f>G51-D51</f>
        <v>9.0720000000000312</v>
      </c>
      <c r="I51" s="65">
        <f>IF(ISERROR(H51/D51),0,(H51/D51))</f>
        <v>4.5143841917551726E-2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131</v>
      </c>
    </row>
    <row r="4" spans="1:11" x14ac:dyDescent="0.2">
      <c r="A4" s="14" t="s">
        <v>62</v>
      </c>
      <c r="B4" s="14">
        <v>2000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750</v>
      </c>
    </row>
    <row r="8" spans="1:11" x14ac:dyDescent="0.2">
      <c r="A8" s="14" t="s">
        <v>82</v>
      </c>
      <c r="B8" s="14">
        <f>B4*B6</f>
        <v>2114</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0.19876004606601769</v>
      </c>
      <c r="K12" s="105"/>
    </row>
    <row r="13" spans="1:11" x14ac:dyDescent="0.2">
      <c r="A13" s="106" t="s">
        <v>32</v>
      </c>
      <c r="B13" s="72">
        <f>IF(B4&gt;B7,(B4)-B7,0)</f>
        <v>1250</v>
      </c>
      <c r="C13" s="20">
        <v>0.121</v>
      </c>
      <c r="D13" s="21">
        <f>B13*C13</f>
        <v>151.25</v>
      </c>
      <c r="E13" s="72">
        <f t="shared" ref="E13" si="0">B13</f>
        <v>1250</v>
      </c>
      <c r="F13" s="20">
        <f>C13</f>
        <v>0.121</v>
      </c>
      <c r="G13" s="21">
        <f>E13*F13</f>
        <v>151.25</v>
      </c>
      <c r="H13" s="21">
        <f t="shared" ref="H13:H46" si="1">G13-D13</f>
        <v>0</v>
      </c>
      <c r="I13" s="22">
        <f t="shared" ref="I13:I46" si="2">IF(ISERROR(H13/D13),0,(H13/D13))</f>
        <v>0</v>
      </c>
      <c r="J13" s="22">
        <f>G13/$G$46</f>
        <v>0.38915801899657188</v>
      </c>
      <c r="K13" s="107"/>
    </row>
    <row r="14" spans="1:11" s="1" customFormat="1" x14ac:dyDescent="0.2">
      <c r="A14" s="45" t="s">
        <v>33</v>
      </c>
      <c r="B14" s="23"/>
      <c r="C14" s="24"/>
      <c r="D14" s="24">
        <f>SUM(D12:D13)</f>
        <v>228.5</v>
      </c>
      <c r="E14" s="75"/>
      <c r="F14" s="24"/>
      <c r="G14" s="24">
        <f>SUM(G12:G13)</f>
        <v>228.5</v>
      </c>
      <c r="H14" s="24">
        <f t="shared" si="1"/>
        <v>0</v>
      </c>
      <c r="I14" s="26">
        <f t="shared" si="2"/>
        <v>0</v>
      </c>
      <c r="J14" s="26">
        <f>G14/$G$46</f>
        <v>0.58791806506258959</v>
      </c>
      <c r="K14" s="107"/>
    </row>
    <row r="15" spans="1:11" s="1" customFormat="1" x14ac:dyDescent="0.2">
      <c r="A15" s="108" t="s">
        <v>34</v>
      </c>
      <c r="B15" s="74">
        <f>B4*0.65</f>
        <v>1300</v>
      </c>
      <c r="C15" s="27">
        <v>8.6999999999999994E-2</v>
      </c>
      <c r="D15" s="21">
        <f>B15*C15</f>
        <v>113.1</v>
      </c>
      <c r="E15" s="72">
        <f t="shared" ref="E15:F17" si="3">B15</f>
        <v>1300</v>
      </c>
      <c r="F15" s="27">
        <f t="shared" si="3"/>
        <v>8.6999999999999994E-2</v>
      </c>
      <c r="G15" s="21">
        <f>E15*F15</f>
        <v>113.1</v>
      </c>
      <c r="H15" s="21">
        <f t="shared" si="1"/>
        <v>0</v>
      </c>
      <c r="I15" s="22">
        <f t="shared" si="2"/>
        <v>0</v>
      </c>
      <c r="J15" s="22"/>
      <c r="K15" s="107">
        <f t="shared" ref="K15:K41" si="4">G15/$G$51</f>
        <v>0.29645878565086947</v>
      </c>
    </row>
    <row r="16" spans="1:11" s="1" customFormat="1" x14ac:dyDescent="0.2">
      <c r="A16" s="108" t="s">
        <v>35</v>
      </c>
      <c r="B16" s="74">
        <f>B4*0.17</f>
        <v>340</v>
      </c>
      <c r="C16" s="27">
        <v>0.13200000000000001</v>
      </c>
      <c r="D16" s="21">
        <f>B16*C16</f>
        <v>44.88</v>
      </c>
      <c r="E16" s="72">
        <f t="shared" si="3"/>
        <v>340</v>
      </c>
      <c r="F16" s="27">
        <f t="shared" si="3"/>
        <v>0.13200000000000001</v>
      </c>
      <c r="G16" s="21">
        <f>E16*F16</f>
        <v>44.88</v>
      </c>
      <c r="H16" s="21">
        <f t="shared" si="1"/>
        <v>0</v>
      </c>
      <c r="I16" s="22">
        <f t="shared" si="2"/>
        <v>0</v>
      </c>
      <c r="J16" s="22"/>
      <c r="K16" s="107">
        <f t="shared" si="4"/>
        <v>0.11763987886835564</v>
      </c>
    </row>
    <row r="17" spans="1:11" s="1" customFormat="1" x14ac:dyDescent="0.2">
      <c r="A17" s="108" t="s">
        <v>36</v>
      </c>
      <c r="B17" s="74">
        <f>B4*0.18</f>
        <v>360</v>
      </c>
      <c r="C17" s="27">
        <v>0.18</v>
      </c>
      <c r="D17" s="21">
        <f>B17*C17</f>
        <v>64.8</v>
      </c>
      <c r="E17" s="72">
        <f t="shared" si="3"/>
        <v>360</v>
      </c>
      <c r="F17" s="27">
        <f t="shared" si="3"/>
        <v>0.18</v>
      </c>
      <c r="G17" s="21">
        <f>E17*F17</f>
        <v>64.8</v>
      </c>
      <c r="H17" s="21">
        <f t="shared" si="1"/>
        <v>0</v>
      </c>
      <c r="I17" s="22">
        <f t="shared" si="2"/>
        <v>0</v>
      </c>
      <c r="J17" s="22"/>
      <c r="K17" s="107">
        <f t="shared" si="4"/>
        <v>0.16985437055858835</v>
      </c>
    </row>
    <row r="18" spans="1:11" s="1" customFormat="1" x14ac:dyDescent="0.2">
      <c r="A18" s="60" t="s">
        <v>37</v>
      </c>
      <c r="B18" s="28"/>
      <c r="C18" s="29"/>
      <c r="D18" s="29">
        <f>SUM(D15:D17)</f>
        <v>222.77999999999997</v>
      </c>
      <c r="E18" s="76"/>
      <c r="F18" s="29"/>
      <c r="G18" s="29">
        <f>SUM(G15:G17)</f>
        <v>222.77999999999997</v>
      </c>
      <c r="H18" s="30">
        <f t="shared" si="1"/>
        <v>0</v>
      </c>
      <c r="I18" s="31">
        <f t="shared" si="2"/>
        <v>0</v>
      </c>
      <c r="J18" s="32">
        <f t="shared" ref="J18:J24" si="5">G18/$G$46</f>
        <v>0.57320081634417364</v>
      </c>
      <c r="K18" s="61">
        <f t="shared" si="4"/>
        <v>0.58395303507781338</v>
      </c>
    </row>
    <row r="19" spans="1:11" x14ac:dyDescent="0.2">
      <c r="A19" s="106" t="s">
        <v>38</v>
      </c>
      <c r="B19" s="72">
        <v>1</v>
      </c>
      <c r="C19" s="77">
        <f>VLOOKUP($B$3,'Data for Bill Impacts'!$A$3:$Y$25,7,0)</f>
        <v>30.24</v>
      </c>
      <c r="D19" s="21">
        <f>B19*C19</f>
        <v>30.24</v>
      </c>
      <c r="E19" s="72">
        <f t="shared" ref="E19:E41" si="6">B19</f>
        <v>1</v>
      </c>
      <c r="F19" s="77">
        <f>VLOOKUP($B$3,'Data for Bill Impacts'!$A$3:$Y$25,17,0)</f>
        <v>35.68</v>
      </c>
      <c r="G19" s="21">
        <f>E19*F19</f>
        <v>35.68</v>
      </c>
      <c r="H19" s="21">
        <f t="shared" si="1"/>
        <v>5.4400000000000013</v>
      </c>
      <c r="I19" s="22">
        <f t="shared" si="2"/>
        <v>0.17989417989417994</v>
      </c>
      <c r="J19" s="22">
        <f t="shared" si="5"/>
        <v>9.1802698299488811E-2</v>
      </c>
      <c r="K19" s="107">
        <f t="shared" si="4"/>
        <v>9.3524752184111604E-2</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2000</v>
      </c>
      <c r="C23" s="125">
        <f>VLOOKUP($B$3,'Data for Bill Impacts'!$A$3:$Y$25,10,0)</f>
        <v>1.7399999999999999E-2</v>
      </c>
      <c r="D23" s="21">
        <f>B23*C23</f>
        <v>34.799999999999997</v>
      </c>
      <c r="E23" s="72">
        <f t="shared" si="6"/>
        <v>2000</v>
      </c>
      <c r="F23" s="77">
        <f>VLOOKUP($B$3,'Data for Bill Impacts'!$A$3:$Y$25,19,0)</f>
        <v>2.06E-2</v>
      </c>
      <c r="G23" s="21">
        <f>E23*F23</f>
        <v>41.2</v>
      </c>
      <c r="H23" s="21">
        <f t="shared" si="1"/>
        <v>6.4000000000000057</v>
      </c>
      <c r="I23" s="22">
        <f t="shared" si="2"/>
        <v>0.18390804597701169</v>
      </c>
      <c r="J23" s="22">
        <f t="shared" si="5"/>
        <v>0.10600535790187611</v>
      </c>
      <c r="K23" s="107">
        <f t="shared" si="4"/>
        <v>0.10799382819465803</v>
      </c>
    </row>
    <row r="24" spans="1:11" x14ac:dyDescent="0.2">
      <c r="A24" s="106" t="s">
        <v>129</v>
      </c>
      <c r="B24" s="72">
        <f>IF($B$9="kWh",$B$4,$B$5)</f>
        <v>2000</v>
      </c>
      <c r="C24" s="77">
        <f>VLOOKUP($B$3,'Data for Bill Impacts'!$A$3:$Y$25,14,0)</f>
        <v>0</v>
      </c>
      <c r="D24" s="33">
        <f>B24*C24</f>
        <v>0</v>
      </c>
      <c r="E24" s="72">
        <f t="shared" si="6"/>
        <v>2000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65.039999999999992</v>
      </c>
      <c r="E25" s="72"/>
      <c r="F25" s="34"/>
      <c r="G25" s="34">
        <f>SUM(G19:G24)</f>
        <v>76.88</v>
      </c>
      <c r="H25" s="34">
        <f t="shared" si="1"/>
        <v>11.840000000000003</v>
      </c>
      <c r="I25" s="35">
        <f t="shared" si="2"/>
        <v>0.18204182041820427</v>
      </c>
      <c r="J25" s="35">
        <f>G25/$G$46</f>
        <v>0.19780805620136491</v>
      </c>
      <c r="K25" s="110">
        <f t="shared" si="4"/>
        <v>0.20151858037876963</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2.032627008312673E-3</v>
      </c>
      <c r="K26" s="107">
        <f t="shared" si="4"/>
        <v>2.0707554435383459E-3</v>
      </c>
    </row>
    <row r="27" spans="1:11" s="1" customFormat="1" x14ac:dyDescent="0.2">
      <c r="A27" s="118" t="s">
        <v>75</v>
      </c>
      <c r="B27" s="119">
        <f>B8-B4</f>
        <v>114</v>
      </c>
      <c r="C27" s="120">
        <f>IF(B4&gt;B7,C13,C12)</f>
        <v>0.121</v>
      </c>
      <c r="D27" s="21">
        <f>B27*C27</f>
        <v>13.794</v>
      </c>
      <c r="E27" s="72">
        <f>B27</f>
        <v>114</v>
      </c>
      <c r="F27" s="120">
        <f>C27</f>
        <v>0.121</v>
      </c>
      <c r="G27" s="21">
        <f>E27*F27</f>
        <v>13.794</v>
      </c>
      <c r="H27" s="21">
        <f t="shared" si="1"/>
        <v>0</v>
      </c>
      <c r="I27" s="22">
        <f>IF(ISERROR(H27/D27),0,(H27/D27))</f>
        <v>0</v>
      </c>
      <c r="J27" s="22">
        <f t="shared" ref="J27:J46" si="9">G27/$G$46</f>
        <v>3.5491211332487352E-2</v>
      </c>
      <c r="K27" s="107">
        <f t="shared" si="4"/>
        <v>3.6156962769832837E-2</v>
      </c>
    </row>
    <row r="28" spans="1:11" s="1" customFormat="1" x14ac:dyDescent="0.2">
      <c r="A28" s="118" t="s">
        <v>74</v>
      </c>
      <c r="B28" s="119">
        <f>B8-B4</f>
        <v>114</v>
      </c>
      <c r="C28" s="120">
        <f>0.65*C15+0.17*C16+0.18*C17</f>
        <v>0.11139</v>
      </c>
      <c r="D28" s="21">
        <f>B28*C28</f>
        <v>12.698460000000001</v>
      </c>
      <c r="E28" s="72">
        <f>B28</f>
        <v>114</v>
      </c>
      <c r="F28" s="120">
        <f>C28</f>
        <v>0.11139</v>
      </c>
      <c r="G28" s="21">
        <f>E28*F28</f>
        <v>12.698460000000001</v>
      </c>
      <c r="H28" s="21">
        <f t="shared" si="1"/>
        <v>0</v>
      </c>
      <c r="I28" s="22">
        <f>IF(ISERROR(H28/D28),0,(H28/D28))</f>
        <v>0</v>
      </c>
      <c r="J28" s="22">
        <f t="shared" si="9"/>
        <v>3.2672446531617903E-2</v>
      </c>
      <c r="K28" s="107">
        <f t="shared" si="4"/>
        <v>3.3285322999435367E-2</v>
      </c>
    </row>
    <row r="29" spans="1:11" s="1" customFormat="1" x14ac:dyDescent="0.2">
      <c r="A29" s="109" t="s">
        <v>78</v>
      </c>
      <c r="B29" s="73"/>
      <c r="C29" s="34"/>
      <c r="D29" s="34">
        <f>SUM(D25,D26:D27)</f>
        <v>79.623999999999995</v>
      </c>
      <c r="E29" s="72"/>
      <c r="F29" s="34"/>
      <c r="G29" s="34">
        <f>SUM(G25,G26:G27)</f>
        <v>91.463999999999999</v>
      </c>
      <c r="H29" s="34">
        <f t="shared" si="1"/>
        <v>11.840000000000003</v>
      </c>
      <c r="I29" s="35">
        <f>IF(ISERROR(H29/D29),0,(H29/D29))</f>
        <v>0.14869888475836437</v>
      </c>
      <c r="J29" s="35">
        <f t="shared" si="9"/>
        <v>0.23533189454216494</v>
      </c>
      <c r="K29" s="110">
        <f t="shared" si="4"/>
        <v>0.23974629859214081</v>
      </c>
    </row>
    <row r="30" spans="1:11" s="1" customFormat="1" x14ac:dyDescent="0.2">
      <c r="A30" s="109" t="s">
        <v>77</v>
      </c>
      <c r="B30" s="73"/>
      <c r="C30" s="34"/>
      <c r="D30" s="34">
        <f>SUM(D25,D26,D28)</f>
        <v>78.528459999999995</v>
      </c>
      <c r="E30" s="72"/>
      <c r="F30" s="34"/>
      <c r="G30" s="34">
        <f>SUM(G25,G26,G28)</f>
        <v>90.368459999999999</v>
      </c>
      <c r="H30" s="34">
        <f t="shared" si="1"/>
        <v>11.840000000000003</v>
      </c>
      <c r="I30" s="35">
        <f>IF(ISERROR(H30/D30),0,(H30/D30))</f>
        <v>0.15077336293109536</v>
      </c>
      <c r="J30" s="35">
        <f t="shared" si="9"/>
        <v>0.23251312974129548</v>
      </c>
      <c r="K30" s="110">
        <f t="shared" si="4"/>
        <v>0.23687465882174333</v>
      </c>
    </row>
    <row r="31" spans="1:11" x14ac:dyDescent="0.2">
      <c r="A31" s="106" t="s">
        <v>40</v>
      </c>
      <c r="B31" s="72">
        <f>B8</f>
        <v>2114</v>
      </c>
      <c r="C31" s="125">
        <f>VLOOKUP($B$3,'Data for Bill Impacts'!$A$3:$Y$25,15,0)</f>
        <v>5.5999999999999999E-3</v>
      </c>
      <c r="D31" s="21">
        <f>B31*C31</f>
        <v>11.8384</v>
      </c>
      <c r="E31" s="72">
        <f t="shared" si="6"/>
        <v>2114</v>
      </c>
      <c r="F31" s="77">
        <f>VLOOKUP($B$3,'Data for Bill Impacts'!$A$3:$Y$25,24,0)</f>
        <v>5.5999999999999999E-3</v>
      </c>
      <c r="G31" s="21">
        <f>E31*F31</f>
        <v>11.8384</v>
      </c>
      <c r="H31" s="21">
        <f t="shared" si="1"/>
        <v>0</v>
      </c>
      <c r="I31" s="22">
        <f t="shared" si="2"/>
        <v>0</v>
      </c>
      <c r="J31" s="22">
        <f t="shared" si="9"/>
        <v>3.0459558955960437E-2</v>
      </c>
      <c r="K31" s="107">
        <f t="shared" si="4"/>
        <v>3.1030925623777659E-2</v>
      </c>
    </row>
    <row r="32" spans="1:11" x14ac:dyDescent="0.2">
      <c r="A32" s="106" t="s">
        <v>41</v>
      </c>
      <c r="B32" s="72">
        <f>B8</f>
        <v>2114</v>
      </c>
      <c r="C32" s="125">
        <f>VLOOKUP($B$3,'Data for Bill Impacts'!$A$3:$Y$25,16,0)</f>
        <v>4.5999999999999999E-3</v>
      </c>
      <c r="D32" s="21">
        <f>B32*C32</f>
        <v>9.7243999999999993</v>
      </c>
      <c r="E32" s="72">
        <f t="shared" si="6"/>
        <v>2114</v>
      </c>
      <c r="F32" s="77">
        <f>VLOOKUP($B$3,'Data for Bill Impacts'!$A$3:$Y$25,25,0)</f>
        <v>4.5999999999999999E-3</v>
      </c>
      <c r="G32" s="21">
        <f>E32*F32</f>
        <v>9.7243999999999993</v>
      </c>
      <c r="H32" s="21">
        <f t="shared" si="1"/>
        <v>0</v>
      </c>
      <c r="I32" s="22">
        <f t="shared" si="2"/>
        <v>0</v>
      </c>
      <c r="J32" s="22">
        <f t="shared" si="9"/>
        <v>2.502035199953893E-2</v>
      </c>
      <c r="K32" s="107">
        <f t="shared" si="4"/>
        <v>2.5489688905245934E-2</v>
      </c>
    </row>
    <row r="33" spans="1:11" s="1" customFormat="1" x14ac:dyDescent="0.2">
      <c r="A33" s="109" t="s">
        <v>76</v>
      </c>
      <c r="B33" s="73"/>
      <c r="C33" s="34"/>
      <c r="D33" s="34">
        <f>SUM(D31:D32)</f>
        <v>21.562799999999999</v>
      </c>
      <c r="E33" s="72"/>
      <c r="F33" s="34"/>
      <c r="G33" s="34">
        <f>SUM(G31:G32)</f>
        <v>21.562799999999999</v>
      </c>
      <c r="H33" s="34">
        <f t="shared" si="1"/>
        <v>0</v>
      </c>
      <c r="I33" s="35">
        <f t="shared" si="2"/>
        <v>0</v>
      </c>
      <c r="J33" s="35">
        <f t="shared" si="9"/>
        <v>5.5479910955499367E-2</v>
      </c>
      <c r="K33" s="110">
        <f t="shared" si="4"/>
        <v>5.6520614529023593E-2</v>
      </c>
    </row>
    <row r="34" spans="1:11" s="1" customFormat="1" ht="13.5" customHeight="1" x14ac:dyDescent="0.2">
      <c r="A34" s="109" t="s">
        <v>93</v>
      </c>
      <c r="B34" s="73"/>
      <c r="C34" s="34"/>
      <c r="D34" s="34">
        <f>D29+D33</f>
        <v>101.18679999999999</v>
      </c>
      <c r="E34" s="72"/>
      <c r="F34" s="34"/>
      <c r="G34" s="34">
        <f>G29+G33</f>
        <v>113.02679999999999</v>
      </c>
      <c r="H34" s="34">
        <f t="shared" si="1"/>
        <v>11.840000000000003</v>
      </c>
      <c r="I34" s="35">
        <f t="shared" si="2"/>
        <v>0.11701130977558342</v>
      </c>
      <c r="J34" s="35">
        <f t="shared" si="9"/>
        <v>0.29081180549766428</v>
      </c>
      <c r="K34" s="110">
        <f t="shared" si="4"/>
        <v>0.29626691312116438</v>
      </c>
    </row>
    <row r="35" spans="1:11" s="1" customFormat="1" ht="13.5" customHeight="1" x14ac:dyDescent="0.2">
      <c r="A35" s="109" t="s">
        <v>94</v>
      </c>
      <c r="B35" s="73"/>
      <c r="C35" s="34"/>
      <c r="D35" s="34">
        <f>D30+D33</f>
        <v>100.09125999999999</v>
      </c>
      <c r="E35" s="72"/>
      <c r="F35" s="34"/>
      <c r="G35" s="34">
        <f>G30+G33</f>
        <v>111.93125999999999</v>
      </c>
      <c r="H35" s="34">
        <f t="shared" si="1"/>
        <v>11.840000000000003</v>
      </c>
      <c r="I35" s="35">
        <f t="shared" si="2"/>
        <v>0.11829204667820152</v>
      </c>
      <c r="J35" s="35">
        <f t="shared" si="9"/>
        <v>0.28799304069679488</v>
      </c>
      <c r="K35" s="110">
        <f t="shared" si="4"/>
        <v>0.29339527335076693</v>
      </c>
    </row>
    <row r="36" spans="1:11" x14ac:dyDescent="0.2">
      <c r="A36" s="106" t="s">
        <v>42</v>
      </c>
      <c r="B36" s="72">
        <f>B8</f>
        <v>2114</v>
      </c>
      <c r="C36" s="33">
        <v>3.5999999999999999E-3</v>
      </c>
      <c r="D36" s="21">
        <f>B36*C36</f>
        <v>7.6103999999999994</v>
      </c>
      <c r="E36" s="72">
        <f t="shared" si="6"/>
        <v>2114</v>
      </c>
      <c r="F36" s="33">
        <v>3.5999999999999999E-3</v>
      </c>
      <c r="G36" s="21">
        <f>E36*F36</f>
        <v>7.6103999999999994</v>
      </c>
      <c r="H36" s="21">
        <f t="shared" si="1"/>
        <v>0</v>
      </c>
      <c r="I36" s="22">
        <f t="shared" si="2"/>
        <v>0</v>
      </c>
      <c r="J36" s="22">
        <f t="shared" si="9"/>
        <v>1.9581145043117424E-2</v>
      </c>
      <c r="K36" s="107">
        <f t="shared" si="4"/>
        <v>1.9948452186714209E-2</v>
      </c>
    </row>
    <row r="37" spans="1:11" x14ac:dyDescent="0.2">
      <c r="A37" s="106" t="s">
        <v>43</v>
      </c>
      <c r="B37" s="72">
        <f>B8</f>
        <v>2114</v>
      </c>
      <c r="C37" s="33">
        <v>2.0999999999999999E-3</v>
      </c>
      <c r="D37" s="21">
        <f>B37*C37</f>
        <v>4.4394</v>
      </c>
      <c r="E37" s="72">
        <f t="shared" si="6"/>
        <v>2114</v>
      </c>
      <c r="F37" s="33">
        <v>2.0999999999999999E-3</v>
      </c>
      <c r="G37" s="21">
        <f>E37*F37</f>
        <v>4.4394</v>
      </c>
      <c r="H37" s="21">
        <f>G37-D37</f>
        <v>0</v>
      </c>
      <c r="I37" s="22">
        <f t="shared" si="2"/>
        <v>0</v>
      </c>
      <c r="J37" s="22">
        <f t="shared" si="9"/>
        <v>1.1422334608485164E-2</v>
      </c>
      <c r="K37" s="107">
        <f t="shared" si="4"/>
        <v>1.1636597108916623E-2</v>
      </c>
    </row>
    <row r="38" spans="1:11" x14ac:dyDescent="0.2">
      <c r="A38" s="106" t="s">
        <v>99</v>
      </c>
      <c r="B38" s="72">
        <f>B8</f>
        <v>2114</v>
      </c>
      <c r="C38" s="33">
        <v>1.1000000000000001E-3</v>
      </c>
      <c r="D38" s="21">
        <f>B38*C38</f>
        <v>2.3254000000000001</v>
      </c>
      <c r="E38" s="72">
        <f t="shared" si="6"/>
        <v>2114</v>
      </c>
      <c r="F38" s="33">
        <v>1.1000000000000001E-3</v>
      </c>
      <c r="G38" s="21">
        <f>E38*F38</f>
        <v>2.3254000000000001</v>
      </c>
      <c r="H38" s="21">
        <f>G38-D38</f>
        <v>0</v>
      </c>
      <c r="I38" s="22">
        <f t="shared" si="2"/>
        <v>0</v>
      </c>
      <c r="J38" s="22">
        <f t="shared" si="9"/>
        <v>5.9831276520636578E-3</v>
      </c>
      <c r="K38" s="107">
        <f t="shared" si="4"/>
        <v>6.0953603903848973E-3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6.4323639503565593E-4</v>
      </c>
      <c r="K39" s="107">
        <f t="shared" si="4"/>
        <v>6.553023555501094E-4</v>
      </c>
    </row>
    <row r="40" spans="1:11" s="1" customFormat="1" x14ac:dyDescent="0.2">
      <c r="A40" s="109" t="s">
        <v>45</v>
      </c>
      <c r="B40" s="73"/>
      <c r="C40" s="34"/>
      <c r="D40" s="34">
        <f>SUM(D36:D39)</f>
        <v>14.6252</v>
      </c>
      <c r="E40" s="72"/>
      <c r="F40" s="34"/>
      <c r="G40" s="34">
        <f>SUM(G36:G39)</f>
        <v>14.6252</v>
      </c>
      <c r="H40" s="34">
        <f t="shared" si="1"/>
        <v>0</v>
      </c>
      <c r="I40" s="35">
        <f t="shared" si="2"/>
        <v>0</v>
      </c>
      <c r="J40" s="35">
        <f t="shared" si="9"/>
        <v>3.7629843698701898E-2</v>
      </c>
      <c r="K40" s="110">
        <f t="shared" si="4"/>
        <v>3.8335712041565835E-2</v>
      </c>
    </row>
    <row r="41" spans="1:11" s="1" customFormat="1" ht="13.5" thickBot="1" x14ac:dyDescent="0.25">
      <c r="A41" s="111" t="s">
        <v>46</v>
      </c>
      <c r="B41" s="112">
        <f>B4</f>
        <v>2000</v>
      </c>
      <c r="C41" s="113">
        <v>7.0000000000000001E-3</v>
      </c>
      <c r="D41" s="114">
        <f>B41*C41</f>
        <v>14</v>
      </c>
      <c r="E41" s="115">
        <f t="shared" si="6"/>
        <v>2000</v>
      </c>
      <c r="F41" s="113">
        <f>C41</f>
        <v>7.0000000000000001E-3</v>
      </c>
      <c r="G41" s="114">
        <f>E41*F41</f>
        <v>14</v>
      </c>
      <c r="H41" s="114">
        <f t="shared" si="1"/>
        <v>0</v>
      </c>
      <c r="I41" s="116">
        <f t="shared" si="2"/>
        <v>0</v>
      </c>
      <c r="J41" s="116">
        <f t="shared" si="9"/>
        <v>3.6021238121996736E-2</v>
      </c>
      <c r="K41" s="117">
        <f t="shared" si="4"/>
        <v>3.6696931910806127E-2</v>
      </c>
    </row>
    <row r="42" spans="1:11" s="1" customFormat="1" x14ac:dyDescent="0.2">
      <c r="A42" s="36" t="s">
        <v>107</v>
      </c>
      <c r="B42" s="37"/>
      <c r="C42" s="38"/>
      <c r="D42" s="38">
        <f>SUM(D14,D25,D26,D27,D33,D40,D41)</f>
        <v>358.31199999999995</v>
      </c>
      <c r="E42" s="37"/>
      <c r="F42" s="38"/>
      <c r="G42" s="38">
        <f>SUM(G14,G25,G26,G27,G33,G40,G41)</f>
        <v>370.15199999999999</v>
      </c>
      <c r="H42" s="38">
        <f t="shared" si="1"/>
        <v>11.840000000000032</v>
      </c>
      <c r="I42" s="39">
        <f>IF(ISERROR(H42/D42),0,(H42/D42))</f>
        <v>3.3043827725557709E-2</v>
      </c>
      <c r="J42" s="39">
        <f t="shared" si="9"/>
        <v>0.95238095238095244</v>
      </c>
      <c r="K42" s="40"/>
    </row>
    <row r="43" spans="1:11" x14ac:dyDescent="0.2">
      <c r="A43" s="143" t="s">
        <v>108</v>
      </c>
      <c r="B43" s="42"/>
      <c r="C43" s="25">
        <v>0.13</v>
      </c>
      <c r="D43" s="25">
        <f>D42*C43</f>
        <v>46.580559999999998</v>
      </c>
      <c r="E43" s="25"/>
      <c r="F43" s="25">
        <f>C43</f>
        <v>0.13</v>
      </c>
      <c r="G43" s="25">
        <f>G42*F43</f>
        <v>48.119759999999999</v>
      </c>
      <c r="H43" s="25">
        <f t="shared" si="1"/>
        <v>1.539200000000001</v>
      </c>
      <c r="I43" s="43">
        <f t="shared" si="2"/>
        <v>3.304382772555764E-2</v>
      </c>
      <c r="J43" s="43">
        <f t="shared" si="9"/>
        <v>0.12380952380952383</v>
      </c>
      <c r="K43" s="44"/>
    </row>
    <row r="44" spans="1:11" s="1" customFormat="1" x14ac:dyDescent="0.2">
      <c r="A44" s="45" t="s">
        <v>109</v>
      </c>
      <c r="B44" s="23"/>
      <c r="C44" s="24"/>
      <c r="D44" s="24">
        <f>SUM(D42:D43)</f>
        <v>404.89255999999995</v>
      </c>
      <c r="E44" s="24"/>
      <c r="F44" s="24"/>
      <c r="G44" s="24">
        <f>SUM(G42:G43)</f>
        <v>418.27175999999997</v>
      </c>
      <c r="H44" s="24">
        <f t="shared" si="1"/>
        <v>13.379200000000026</v>
      </c>
      <c r="I44" s="26">
        <f t="shared" si="2"/>
        <v>3.3043827725557681E-2</v>
      </c>
      <c r="J44" s="26">
        <f t="shared" si="9"/>
        <v>1.0761904761904761</v>
      </c>
      <c r="K44" s="46"/>
    </row>
    <row r="45" spans="1:11" x14ac:dyDescent="0.2">
      <c r="A45" s="41" t="s">
        <v>110</v>
      </c>
      <c r="B45" s="42"/>
      <c r="C45" s="25">
        <v>-0.08</v>
      </c>
      <c r="D45" s="25">
        <f>D42*C45</f>
        <v>-28.664959999999997</v>
      </c>
      <c r="E45" s="25"/>
      <c r="F45" s="25">
        <f>C45</f>
        <v>-0.08</v>
      </c>
      <c r="G45" s="25">
        <f>G42*F45</f>
        <v>-29.612159999999999</v>
      </c>
      <c r="H45" s="25">
        <f t="shared" si="1"/>
        <v>-0.94720000000000226</v>
      </c>
      <c r="I45" s="43">
        <f t="shared" si="2"/>
        <v>3.3043827725557695E-2</v>
      </c>
      <c r="J45" s="43">
        <f t="shared" si="9"/>
        <v>-7.6190476190476197E-2</v>
      </c>
      <c r="K45" s="44"/>
    </row>
    <row r="46" spans="1:11" s="1" customFormat="1" ht="13.5" thickBot="1" x14ac:dyDescent="0.25">
      <c r="A46" s="47" t="s">
        <v>111</v>
      </c>
      <c r="B46" s="48"/>
      <c r="C46" s="49"/>
      <c r="D46" s="49">
        <f>SUM(D44:D45)</f>
        <v>376.22759999999994</v>
      </c>
      <c r="E46" s="49"/>
      <c r="F46" s="49"/>
      <c r="G46" s="49">
        <f>SUM(G44:G45)</f>
        <v>388.65959999999995</v>
      </c>
      <c r="H46" s="49">
        <f t="shared" si="1"/>
        <v>12.432000000000016</v>
      </c>
      <c r="I46" s="50">
        <f t="shared" si="2"/>
        <v>3.304382772555766E-2</v>
      </c>
      <c r="J46" s="50">
        <f t="shared" si="9"/>
        <v>1</v>
      </c>
      <c r="K46" s="51"/>
    </row>
    <row r="47" spans="1:11" x14ac:dyDescent="0.2">
      <c r="A47" s="52" t="s">
        <v>112</v>
      </c>
      <c r="B47" s="53"/>
      <c r="C47" s="54"/>
      <c r="D47" s="54">
        <f>SUM(D18,D25,D26,D28,D33,D40,D41)</f>
        <v>351.49645999999996</v>
      </c>
      <c r="E47" s="54"/>
      <c r="F47" s="54"/>
      <c r="G47" s="54">
        <f>SUM(G18,G25,G26,G28,G33,G40,G41)</f>
        <v>363.33645999999999</v>
      </c>
      <c r="H47" s="54">
        <f>G47-D47</f>
        <v>11.840000000000032</v>
      </c>
      <c r="I47" s="55">
        <f>IF(ISERROR(H47/D47),0,(H47/D47))</f>
        <v>3.368454976758524E-2</v>
      </c>
      <c r="J47" s="55"/>
      <c r="K47" s="56">
        <f>G47/$G$51</f>
        <v>0.95238095238095233</v>
      </c>
    </row>
    <row r="48" spans="1:11" x14ac:dyDescent="0.2">
      <c r="A48" s="57" t="s">
        <v>108</v>
      </c>
      <c r="B48" s="58"/>
      <c r="C48" s="30">
        <v>0.13</v>
      </c>
      <c r="D48" s="30">
        <f>D47*C48</f>
        <v>45.694539799999994</v>
      </c>
      <c r="E48" s="30"/>
      <c r="F48" s="30">
        <f>C48</f>
        <v>0.13</v>
      </c>
      <c r="G48" s="30">
        <f>G47*F48</f>
        <v>47.233739800000002</v>
      </c>
      <c r="H48" s="30">
        <f>G48-D48</f>
        <v>1.5392000000000081</v>
      </c>
      <c r="I48" s="31">
        <f>IF(ISERROR(H48/D48),0,(H48/D48))</f>
        <v>3.3684549767585323E-2</v>
      </c>
      <c r="J48" s="31"/>
      <c r="K48" s="59">
        <f>G48/$G$51</f>
        <v>0.12380952380952381</v>
      </c>
    </row>
    <row r="49" spans="1:11" x14ac:dyDescent="0.2">
      <c r="A49" s="136" t="s">
        <v>113</v>
      </c>
      <c r="B49" s="28"/>
      <c r="C49" s="29"/>
      <c r="D49" s="29">
        <f>SUM(D47:D48)</f>
        <v>397.19099979999993</v>
      </c>
      <c r="E49" s="29"/>
      <c r="F49" s="29"/>
      <c r="G49" s="29">
        <f>SUM(G47:G48)</f>
        <v>410.57019980000001</v>
      </c>
      <c r="H49" s="29">
        <f>G49-D49</f>
        <v>13.379200000000083</v>
      </c>
      <c r="I49" s="32">
        <f>IF(ISERROR(H49/D49),0,(H49/D49))</f>
        <v>3.3684549767585358E-2</v>
      </c>
      <c r="J49" s="32"/>
      <c r="K49" s="61">
        <f>G49/$G$51</f>
        <v>1.0761904761904761</v>
      </c>
    </row>
    <row r="50" spans="1:11" x14ac:dyDescent="0.2">
      <c r="A50" s="57" t="s">
        <v>110</v>
      </c>
      <c r="B50" s="58"/>
      <c r="C50" s="30">
        <v>-0.08</v>
      </c>
      <c r="D50" s="30">
        <f>D47*C50</f>
        <v>-28.119716799999996</v>
      </c>
      <c r="E50" s="30"/>
      <c r="F50" s="30">
        <f>C50</f>
        <v>-0.08</v>
      </c>
      <c r="G50" s="30">
        <f>G47*F50</f>
        <v>-29.066916800000001</v>
      </c>
      <c r="H50" s="30">
        <f>G50-D50</f>
        <v>-0.94720000000000582</v>
      </c>
      <c r="I50" s="31">
        <f>IF(ISERROR(H50/D50),0,(H50/D50))</f>
        <v>3.3684549767585351E-2</v>
      </c>
      <c r="J50" s="31"/>
      <c r="K50" s="59">
        <f>G50/$G$51</f>
        <v>-7.6190476190476197E-2</v>
      </c>
    </row>
    <row r="51" spans="1:11" ht="13.5" thickBot="1" x14ac:dyDescent="0.25">
      <c r="A51" s="62" t="s">
        <v>114</v>
      </c>
      <c r="B51" s="63"/>
      <c r="C51" s="64"/>
      <c r="D51" s="64">
        <f>SUM(D49:D50)</f>
        <v>369.07128299999994</v>
      </c>
      <c r="E51" s="64"/>
      <c r="F51" s="64"/>
      <c r="G51" s="64">
        <f>SUM(G49:G50)</f>
        <v>381.50328300000001</v>
      </c>
      <c r="H51" s="64">
        <f>G51-D51</f>
        <v>12.432000000000073</v>
      </c>
      <c r="I51" s="65">
        <f>IF(ISERROR(H51/D51),0,(H51/D51))</f>
        <v>3.3684549767585344E-2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1" tint="0.499984740745262"/>
    <pageSetUpPr fitToPage="1"/>
  </sheetPr>
  <dimension ref="A1:K68"/>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131</v>
      </c>
    </row>
    <row r="4" spans="1:11" x14ac:dyDescent="0.2">
      <c r="A4" s="14" t="s">
        <v>62</v>
      </c>
      <c r="B4" s="78">
        <f>VLOOKUP(B3,'Data for Bill Impacts_HONI Avg '!A2:F21,3,FALSE)</f>
        <v>2695</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750</v>
      </c>
    </row>
    <row r="8" spans="1:11" x14ac:dyDescent="0.2">
      <c r="A8" s="14" t="s">
        <v>82</v>
      </c>
      <c r="B8" s="14">
        <f>B4*B6</f>
        <v>2848.6149999999998</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0.14992826340168203</v>
      </c>
      <c r="K12" s="105"/>
    </row>
    <row r="13" spans="1:11" x14ac:dyDescent="0.2">
      <c r="A13" s="106" t="s">
        <v>32</v>
      </c>
      <c r="B13" s="72">
        <f>IF(B4&gt;B7,(B4)-B7,0)</f>
        <v>1945</v>
      </c>
      <c r="C13" s="20">
        <v>0.121</v>
      </c>
      <c r="D13" s="21">
        <f>B13*C13</f>
        <v>235.345</v>
      </c>
      <c r="E13" s="72">
        <f t="shared" ref="E13" si="0">B13</f>
        <v>1945</v>
      </c>
      <c r="F13" s="20">
        <f>C13</f>
        <v>0.121</v>
      </c>
      <c r="G13" s="21">
        <f>E13*F13</f>
        <v>235.345</v>
      </c>
      <c r="H13" s="21">
        <f t="shared" ref="H13:H46" si="1">G13-D13</f>
        <v>0</v>
      </c>
      <c r="I13" s="22">
        <f t="shared" ref="I13:I46" si="2">IF(ISERROR(H13/D13),0,(H13/D13))</f>
        <v>0</v>
      </c>
      <c r="J13" s="22">
        <f>G13/$G$46</f>
        <v>0.45676203430768753</v>
      </c>
      <c r="K13" s="107"/>
    </row>
    <row r="14" spans="1:11" s="1" customFormat="1" x14ac:dyDescent="0.2">
      <c r="A14" s="45" t="s">
        <v>33</v>
      </c>
      <c r="B14" s="23"/>
      <c r="C14" s="24"/>
      <c r="D14" s="24">
        <f>SUM(D12:D13)</f>
        <v>312.59500000000003</v>
      </c>
      <c r="E14" s="75"/>
      <c r="F14" s="24"/>
      <c r="G14" s="24">
        <f>SUM(G12:G13)</f>
        <v>312.59500000000003</v>
      </c>
      <c r="H14" s="24">
        <f t="shared" si="1"/>
        <v>0</v>
      </c>
      <c r="I14" s="26">
        <f t="shared" si="2"/>
        <v>0</v>
      </c>
      <c r="J14" s="26">
        <f>G14/$G$46</f>
        <v>0.60669029770936955</v>
      </c>
      <c r="K14" s="107"/>
    </row>
    <row r="15" spans="1:11" s="1" customFormat="1" x14ac:dyDescent="0.2">
      <c r="A15" s="108" t="s">
        <v>34</v>
      </c>
      <c r="B15" s="74">
        <f>B4*0.65</f>
        <v>1751.75</v>
      </c>
      <c r="C15" s="27">
        <v>8.6999999999999994E-2</v>
      </c>
      <c r="D15" s="21">
        <f>B15*C15</f>
        <v>152.40224999999998</v>
      </c>
      <c r="E15" s="72">
        <f t="shared" ref="E15:F17" si="3">B15</f>
        <v>1751.75</v>
      </c>
      <c r="F15" s="27">
        <f t="shared" si="3"/>
        <v>8.6999999999999994E-2</v>
      </c>
      <c r="G15" s="21">
        <f>E15*F15</f>
        <v>152.40224999999998</v>
      </c>
      <c r="H15" s="21">
        <f t="shared" si="1"/>
        <v>0</v>
      </c>
      <c r="I15" s="22">
        <f t="shared" si="2"/>
        <v>0</v>
      </c>
      <c r="J15" s="22"/>
      <c r="K15" s="107">
        <f t="shared" ref="K15:K41" si="4">G15/$G$51</f>
        <v>0.30439207075623786</v>
      </c>
    </row>
    <row r="16" spans="1:11" s="1" customFormat="1" x14ac:dyDescent="0.2">
      <c r="A16" s="108" t="s">
        <v>35</v>
      </c>
      <c r="B16" s="74">
        <f>B4*0.17</f>
        <v>458.15000000000003</v>
      </c>
      <c r="C16" s="27">
        <v>0.13200000000000001</v>
      </c>
      <c r="D16" s="21">
        <f>B16*C16</f>
        <v>60.475800000000007</v>
      </c>
      <c r="E16" s="72">
        <f t="shared" si="3"/>
        <v>458.15000000000003</v>
      </c>
      <c r="F16" s="27">
        <f t="shared" si="3"/>
        <v>0.13200000000000001</v>
      </c>
      <c r="G16" s="21">
        <f>E16*F16</f>
        <v>60.475800000000007</v>
      </c>
      <c r="H16" s="21">
        <f t="shared" si="1"/>
        <v>0</v>
      </c>
      <c r="I16" s="22">
        <f t="shared" si="2"/>
        <v>0</v>
      </c>
      <c r="J16" s="22"/>
      <c r="K16" s="107">
        <f t="shared" si="4"/>
        <v>0.12078794107462386</v>
      </c>
    </row>
    <row r="17" spans="1:11" s="1" customFormat="1" x14ac:dyDescent="0.2">
      <c r="A17" s="108" t="s">
        <v>36</v>
      </c>
      <c r="B17" s="74">
        <f>B4*0.18</f>
        <v>485.09999999999997</v>
      </c>
      <c r="C17" s="27">
        <v>0.18</v>
      </c>
      <c r="D17" s="21">
        <f>B17*C17</f>
        <v>87.317999999999984</v>
      </c>
      <c r="E17" s="72">
        <f t="shared" si="3"/>
        <v>485.09999999999997</v>
      </c>
      <c r="F17" s="27">
        <f t="shared" si="3"/>
        <v>0.18</v>
      </c>
      <c r="G17" s="21">
        <f>E17*F17</f>
        <v>87.317999999999984</v>
      </c>
      <c r="H17" s="21">
        <f t="shared" si="1"/>
        <v>0</v>
      </c>
      <c r="I17" s="22">
        <f t="shared" si="2"/>
        <v>0</v>
      </c>
      <c r="J17" s="22"/>
      <c r="K17" s="107">
        <f t="shared" si="4"/>
        <v>0.17439970101683652</v>
      </c>
    </row>
    <row r="18" spans="1:11" s="1" customFormat="1" x14ac:dyDescent="0.2">
      <c r="A18" s="60" t="s">
        <v>37</v>
      </c>
      <c r="B18" s="28"/>
      <c r="C18" s="29"/>
      <c r="D18" s="29">
        <f>SUM(D15:D17)</f>
        <v>300.19604999999996</v>
      </c>
      <c r="E18" s="76"/>
      <c r="F18" s="29"/>
      <c r="G18" s="29">
        <f>SUM(G15:G17)</f>
        <v>300.19604999999996</v>
      </c>
      <c r="H18" s="30">
        <f t="shared" si="1"/>
        <v>0</v>
      </c>
      <c r="I18" s="31">
        <f t="shared" si="2"/>
        <v>0</v>
      </c>
      <c r="J18" s="32">
        <f t="shared" ref="J18:J24" si="5">G18/$G$46</f>
        <v>0.58262618066724281</v>
      </c>
      <c r="K18" s="61">
        <f t="shared" si="4"/>
        <v>0.59957971284769818</v>
      </c>
    </row>
    <row r="19" spans="1:11" x14ac:dyDescent="0.2">
      <c r="A19" s="106" t="s">
        <v>38</v>
      </c>
      <c r="B19" s="72">
        <v>1</v>
      </c>
      <c r="C19" s="77">
        <f>VLOOKUP($B$3,'Data for Bill Impacts'!$A$3:$Y$25,7,0)</f>
        <v>30.24</v>
      </c>
      <c r="D19" s="21">
        <f>B19*C19</f>
        <v>30.24</v>
      </c>
      <c r="E19" s="72">
        <f t="shared" ref="E19:E41" si="6">B19</f>
        <v>1</v>
      </c>
      <c r="F19" s="77">
        <f>VLOOKUP($B$3,'Data for Bill Impacts'!$A$3:$Y$25,17,0)</f>
        <v>35.68</v>
      </c>
      <c r="G19" s="21">
        <f>E19*F19</f>
        <v>35.68</v>
      </c>
      <c r="H19" s="21">
        <f t="shared" si="1"/>
        <v>5.4400000000000013</v>
      </c>
      <c r="I19" s="22">
        <f t="shared" si="2"/>
        <v>0.17989417989417994</v>
      </c>
      <c r="J19" s="22">
        <f t="shared" si="5"/>
        <v>6.9248419911611847E-2</v>
      </c>
      <c r="K19" s="107">
        <f t="shared" si="4"/>
        <v>7.1263443187896292E-2</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2695</v>
      </c>
      <c r="C23" s="125">
        <f>VLOOKUP($B$3,'Data for Bill Impacts'!$A$3:$Y$25,10,0)</f>
        <v>1.7399999999999999E-2</v>
      </c>
      <c r="D23" s="21">
        <f>B23*C23</f>
        <v>46.892999999999994</v>
      </c>
      <c r="E23" s="72">
        <f t="shared" si="6"/>
        <v>2695</v>
      </c>
      <c r="F23" s="77">
        <f>VLOOKUP($B$3,'Data for Bill Impacts'!$A$3:$Y$25,19,0)</f>
        <v>2.06E-2</v>
      </c>
      <c r="G23" s="21">
        <f>E23*F23</f>
        <v>55.517000000000003</v>
      </c>
      <c r="H23" s="21">
        <f t="shared" si="1"/>
        <v>8.6240000000000094</v>
      </c>
      <c r="I23" s="22">
        <f t="shared" si="2"/>
        <v>0.18390804597701171</v>
      </c>
      <c r="J23" s="22">
        <f t="shared" si="5"/>
        <v>0.10774844529800884</v>
      </c>
      <c r="K23" s="107">
        <f t="shared" si="4"/>
        <v>0.11088376052305042</v>
      </c>
    </row>
    <row r="24" spans="1:11" x14ac:dyDescent="0.2">
      <c r="A24" s="106" t="s">
        <v>129</v>
      </c>
      <c r="B24" s="72">
        <f>IF($B$9="kWh",$B$4,$B$5)</f>
        <v>2695</v>
      </c>
      <c r="C24" s="77">
        <f>VLOOKUP($B$3,'Data for Bill Impacts'!$A$3:$Y$25,14,0)</f>
        <v>0</v>
      </c>
      <c r="D24" s="33">
        <f>B24*C24</f>
        <v>0</v>
      </c>
      <c r="E24" s="72">
        <f t="shared" si="6"/>
        <v>2695</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77.132999999999996</v>
      </c>
      <c r="E25" s="72"/>
      <c r="F25" s="34"/>
      <c r="G25" s="34">
        <f>SUM(G19:G24)</f>
        <v>91.197000000000003</v>
      </c>
      <c r="H25" s="34">
        <f t="shared" si="1"/>
        <v>14.064000000000007</v>
      </c>
      <c r="I25" s="35">
        <f t="shared" si="2"/>
        <v>0.18233440939675635</v>
      </c>
      <c r="J25" s="35">
        <f>G25/$G$46</f>
        <v>0.17699686520962069</v>
      </c>
      <c r="K25" s="110">
        <f t="shared" si="4"/>
        <v>0.1821472037109467</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1.5332469655317646E-3</v>
      </c>
      <c r="K26" s="107">
        <f t="shared" si="4"/>
        <v>1.5778621109427712E-3</v>
      </c>
    </row>
    <row r="27" spans="1:11" s="1" customFormat="1" x14ac:dyDescent="0.2">
      <c r="A27" s="118" t="s">
        <v>75</v>
      </c>
      <c r="B27" s="119">
        <f>B8-B4</f>
        <v>153.61499999999978</v>
      </c>
      <c r="C27" s="120">
        <f>IF(B4&gt;B7,C13,C12)</f>
        <v>0.121</v>
      </c>
      <c r="D27" s="21">
        <f>B27*C27</f>
        <v>18.587414999999972</v>
      </c>
      <c r="E27" s="72">
        <f>B27</f>
        <v>153.61499999999978</v>
      </c>
      <c r="F27" s="120">
        <f>C27</f>
        <v>0.121</v>
      </c>
      <c r="G27" s="21">
        <f>E27*F27</f>
        <v>18.587414999999972</v>
      </c>
      <c r="H27" s="21">
        <f t="shared" si="1"/>
        <v>0</v>
      </c>
      <c r="I27" s="22">
        <f>IF(ISERROR(H27/D27),0,(H27/D27))</f>
        <v>0</v>
      </c>
      <c r="J27" s="22">
        <f t="shared" ref="J27:J46" si="9">G27/$G$46</f>
        <v>3.6074807146619696E-2</v>
      </c>
      <c r="K27" s="107">
        <f t="shared" si="4"/>
        <v>3.7124528947935803E-2</v>
      </c>
    </row>
    <row r="28" spans="1:11" s="1" customFormat="1" x14ac:dyDescent="0.2">
      <c r="A28" s="118" t="s">
        <v>74</v>
      </c>
      <c r="B28" s="119">
        <f>B8-B4</f>
        <v>153.61499999999978</v>
      </c>
      <c r="C28" s="120">
        <f>0.65*C15+0.17*C16+0.18*C17</f>
        <v>0.11139</v>
      </c>
      <c r="D28" s="21">
        <f>B28*C28</f>
        <v>17.111174849999976</v>
      </c>
      <c r="E28" s="72">
        <f>B28</f>
        <v>153.61499999999978</v>
      </c>
      <c r="F28" s="120">
        <f>C28</f>
        <v>0.11139</v>
      </c>
      <c r="G28" s="21">
        <f>E28*F28</f>
        <v>17.111174849999976</v>
      </c>
      <c r="H28" s="21">
        <f t="shared" si="1"/>
        <v>0</v>
      </c>
      <c r="I28" s="22">
        <f>IF(ISERROR(H28/D28),0,(H28/D28))</f>
        <v>0</v>
      </c>
      <c r="J28" s="22">
        <f t="shared" si="9"/>
        <v>3.3209692298032799E-2</v>
      </c>
      <c r="K28" s="107">
        <f t="shared" si="4"/>
        <v>3.4176043632318756E-2</v>
      </c>
    </row>
    <row r="29" spans="1:11" s="1" customFormat="1" x14ac:dyDescent="0.2">
      <c r="A29" s="109" t="s">
        <v>78</v>
      </c>
      <c r="B29" s="73"/>
      <c r="C29" s="34"/>
      <c r="D29" s="34">
        <f>SUM(D25,D26:D27)</f>
        <v>96.510414999999966</v>
      </c>
      <c r="E29" s="72"/>
      <c r="F29" s="34"/>
      <c r="G29" s="34">
        <f>SUM(G25,G26:G27)</f>
        <v>110.57441499999999</v>
      </c>
      <c r="H29" s="34">
        <f t="shared" si="1"/>
        <v>14.064000000000021</v>
      </c>
      <c r="I29" s="35">
        <f>IF(ISERROR(H29/D29),0,(H29/D29))</f>
        <v>0.14572520489109933</v>
      </c>
      <c r="J29" s="35">
        <f t="shared" si="9"/>
        <v>0.21460491932177217</v>
      </c>
      <c r="K29" s="110">
        <f t="shared" si="4"/>
        <v>0.2208495947698253</v>
      </c>
    </row>
    <row r="30" spans="1:11" s="1" customFormat="1" x14ac:dyDescent="0.2">
      <c r="A30" s="109" t="s">
        <v>77</v>
      </c>
      <c r="B30" s="73"/>
      <c r="C30" s="34"/>
      <c r="D30" s="34">
        <f>SUM(D25,D26,D28)</f>
        <v>95.034174849999971</v>
      </c>
      <c r="E30" s="72"/>
      <c r="F30" s="34"/>
      <c r="G30" s="34">
        <f>SUM(G25,G26,G28)</f>
        <v>109.09817484999999</v>
      </c>
      <c r="H30" s="34">
        <f t="shared" si="1"/>
        <v>14.064000000000021</v>
      </c>
      <c r="I30" s="35">
        <f>IF(ISERROR(H30/D30),0,(H30/D30))</f>
        <v>0.14798886844862236</v>
      </c>
      <c r="J30" s="35">
        <f t="shared" si="9"/>
        <v>0.21173980447318527</v>
      </c>
      <c r="K30" s="110">
        <f t="shared" si="4"/>
        <v>0.21790110945420826</v>
      </c>
    </row>
    <row r="31" spans="1:11" x14ac:dyDescent="0.2">
      <c r="A31" s="106" t="s">
        <v>40</v>
      </c>
      <c r="B31" s="72">
        <f>B8</f>
        <v>2848.6149999999998</v>
      </c>
      <c r="C31" s="125">
        <f>VLOOKUP($B$3,'Data for Bill Impacts'!$A$3:$Y$25,15,0)</f>
        <v>5.5999999999999999E-3</v>
      </c>
      <c r="D31" s="21">
        <f>B31*C31</f>
        <v>15.952243999999999</v>
      </c>
      <c r="E31" s="72">
        <f t="shared" si="6"/>
        <v>2848.6149999999998</v>
      </c>
      <c r="F31" s="77">
        <f>VLOOKUP($B$3,'Data for Bill Impacts'!$A$3:$Y$25,24,0)</f>
        <v>5.5999999999999999E-3</v>
      </c>
      <c r="G31" s="21">
        <f>E31*F31</f>
        <v>15.952243999999999</v>
      </c>
      <c r="H31" s="21">
        <f t="shared" si="1"/>
        <v>0</v>
      </c>
      <c r="I31" s="22">
        <f t="shared" si="2"/>
        <v>0</v>
      </c>
      <c r="J31" s="22">
        <f t="shared" si="9"/>
        <v>3.0960417349901639E-2</v>
      </c>
      <c r="K31" s="107">
        <f t="shared" si="4"/>
        <v>3.1861318217866016E-2</v>
      </c>
    </row>
    <row r="32" spans="1:11" x14ac:dyDescent="0.2">
      <c r="A32" s="106" t="s">
        <v>41</v>
      </c>
      <c r="B32" s="72">
        <f>B8</f>
        <v>2848.6149999999998</v>
      </c>
      <c r="C32" s="125">
        <f>VLOOKUP($B$3,'Data for Bill Impacts'!$A$3:$Y$25,16,0)</f>
        <v>4.5999999999999999E-3</v>
      </c>
      <c r="D32" s="21">
        <f>B32*C32</f>
        <v>13.103628999999998</v>
      </c>
      <c r="E32" s="72">
        <f t="shared" si="6"/>
        <v>2848.6149999999998</v>
      </c>
      <c r="F32" s="77">
        <f>VLOOKUP($B$3,'Data for Bill Impacts'!$A$3:$Y$25,25,0)</f>
        <v>4.5999999999999999E-3</v>
      </c>
      <c r="G32" s="21">
        <f>E32*F32</f>
        <v>13.103628999999998</v>
      </c>
      <c r="H32" s="21">
        <f t="shared" si="1"/>
        <v>0</v>
      </c>
      <c r="I32" s="22">
        <f t="shared" si="2"/>
        <v>0</v>
      </c>
      <c r="J32" s="22">
        <f t="shared" si="9"/>
        <v>2.5431771394562059E-2</v>
      </c>
      <c r="K32" s="107">
        <f t="shared" si="4"/>
        <v>2.6171797107532795E-2</v>
      </c>
    </row>
    <row r="33" spans="1:11" s="1" customFormat="1" x14ac:dyDescent="0.2">
      <c r="A33" s="109" t="s">
        <v>76</v>
      </c>
      <c r="B33" s="73"/>
      <c r="C33" s="34"/>
      <c r="D33" s="34">
        <f>SUM(D31:D32)</f>
        <v>29.055872999999998</v>
      </c>
      <c r="E33" s="72"/>
      <c r="F33" s="34"/>
      <c r="G33" s="34">
        <f>SUM(G31:G32)</f>
        <v>29.055872999999998</v>
      </c>
      <c r="H33" s="34">
        <f t="shared" si="1"/>
        <v>0</v>
      </c>
      <c r="I33" s="35">
        <f t="shared" si="2"/>
        <v>0</v>
      </c>
      <c r="J33" s="35">
        <f t="shared" si="9"/>
        <v>5.6392188744463702E-2</v>
      </c>
      <c r="K33" s="110">
        <f t="shared" si="4"/>
        <v>5.8033115325398815E-2</v>
      </c>
    </row>
    <row r="34" spans="1:11" s="1" customFormat="1" ht="13.5" customHeight="1" x14ac:dyDescent="0.2">
      <c r="A34" s="109" t="s">
        <v>93</v>
      </c>
      <c r="B34" s="73"/>
      <c r="C34" s="34"/>
      <c r="D34" s="34">
        <f>D29+D33</f>
        <v>125.56628799999996</v>
      </c>
      <c r="E34" s="72"/>
      <c r="F34" s="34"/>
      <c r="G34" s="34">
        <f>G29+G33</f>
        <v>139.63028799999998</v>
      </c>
      <c r="H34" s="34">
        <f t="shared" si="1"/>
        <v>14.064000000000021</v>
      </c>
      <c r="I34" s="35">
        <f t="shared" si="2"/>
        <v>0.11200458517974209</v>
      </c>
      <c r="J34" s="35">
        <f t="shared" si="9"/>
        <v>0.27099710806623584</v>
      </c>
      <c r="K34" s="110">
        <f t="shared" si="4"/>
        <v>0.27888271009522408</v>
      </c>
    </row>
    <row r="35" spans="1:11" s="1" customFormat="1" ht="13.5" customHeight="1" x14ac:dyDescent="0.2">
      <c r="A35" s="109" t="s">
        <v>94</v>
      </c>
      <c r="B35" s="73"/>
      <c r="C35" s="34"/>
      <c r="D35" s="34">
        <f>D30+D33</f>
        <v>124.09004784999996</v>
      </c>
      <c r="E35" s="72"/>
      <c r="F35" s="34"/>
      <c r="G35" s="34">
        <f>G30+G33</f>
        <v>138.15404784999998</v>
      </c>
      <c r="H35" s="34">
        <f t="shared" si="1"/>
        <v>14.064000000000021</v>
      </c>
      <c r="I35" s="35">
        <f t="shared" si="2"/>
        <v>0.11333705034106026</v>
      </c>
      <c r="J35" s="35">
        <f t="shared" si="9"/>
        <v>0.26813199321764897</v>
      </c>
      <c r="K35" s="110">
        <f t="shared" si="4"/>
        <v>0.27593422477960705</v>
      </c>
    </row>
    <row r="36" spans="1:11" x14ac:dyDescent="0.2">
      <c r="A36" s="106" t="s">
        <v>42</v>
      </c>
      <c r="B36" s="72">
        <f>B8</f>
        <v>2848.6149999999998</v>
      </c>
      <c r="C36" s="33">
        <v>3.5999999999999999E-3</v>
      </c>
      <c r="D36" s="21">
        <f>B36*C36</f>
        <v>10.255013999999999</v>
      </c>
      <c r="E36" s="72">
        <f t="shared" si="6"/>
        <v>2848.6149999999998</v>
      </c>
      <c r="F36" s="33">
        <v>3.5999999999999999E-3</v>
      </c>
      <c r="G36" s="21">
        <f>E36*F36</f>
        <v>10.255013999999999</v>
      </c>
      <c r="H36" s="21">
        <f t="shared" si="1"/>
        <v>0</v>
      </c>
      <c r="I36" s="22">
        <f t="shared" si="2"/>
        <v>0</v>
      </c>
      <c r="J36" s="22">
        <f t="shared" si="9"/>
        <v>1.9903125439222482E-2</v>
      </c>
      <c r="K36" s="107">
        <f t="shared" si="4"/>
        <v>2.0482275997199581E-2</v>
      </c>
    </row>
    <row r="37" spans="1:11" x14ac:dyDescent="0.2">
      <c r="A37" s="106" t="s">
        <v>43</v>
      </c>
      <c r="B37" s="72">
        <f>B8</f>
        <v>2848.6149999999998</v>
      </c>
      <c r="C37" s="33">
        <v>2.0999999999999999E-3</v>
      </c>
      <c r="D37" s="21">
        <f>B37*C37</f>
        <v>5.9820914999999992</v>
      </c>
      <c r="E37" s="72">
        <f t="shared" si="6"/>
        <v>2848.6149999999998</v>
      </c>
      <c r="F37" s="33">
        <v>2.0999999999999999E-3</v>
      </c>
      <c r="G37" s="21">
        <f>E37*F37</f>
        <v>5.9820914999999992</v>
      </c>
      <c r="H37" s="21">
        <f>G37-D37</f>
        <v>0</v>
      </c>
      <c r="I37" s="22">
        <f t="shared" si="2"/>
        <v>0</v>
      </c>
      <c r="J37" s="22">
        <f t="shared" si="9"/>
        <v>1.1610156506213115E-2</v>
      </c>
      <c r="K37" s="107">
        <f t="shared" si="4"/>
        <v>1.1947994331699754E-2</v>
      </c>
    </row>
    <row r="38" spans="1:11" x14ac:dyDescent="0.2">
      <c r="A38" s="106" t="s">
        <v>99</v>
      </c>
      <c r="B38" s="72">
        <f>B8</f>
        <v>2848.6149999999998</v>
      </c>
      <c r="C38" s="33">
        <v>1.1000000000000001E-3</v>
      </c>
      <c r="D38" s="21">
        <f>B38*C38</f>
        <v>3.1334765</v>
      </c>
      <c r="E38" s="72">
        <f t="shared" si="6"/>
        <v>2848.6149999999998</v>
      </c>
      <c r="F38" s="33">
        <v>1.1000000000000001E-3</v>
      </c>
      <c r="G38" s="21">
        <f>E38*F38</f>
        <v>3.1334765</v>
      </c>
      <c r="H38" s="21">
        <f>G38-D38</f>
        <v>0</v>
      </c>
      <c r="I38" s="22">
        <f t="shared" si="2"/>
        <v>0</v>
      </c>
      <c r="J38" s="22">
        <f t="shared" si="9"/>
        <v>6.0815105508735369E-3</v>
      </c>
      <c r="K38" s="107">
        <f t="shared" si="4"/>
        <v>6.2584732213665393E-3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4.8520473592777357E-4</v>
      </c>
      <c r="K39" s="107">
        <f t="shared" si="4"/>
        <v>4.9932345282999082E-4</v>
      </c>
    </row>
    <row r="40" spans="1:11" s="1" customFormat="1" x14ac:dyDescent="0.2">
      <c r="A40" s="109" t="s">
        <v>45</v>
      </c>
      <c r="B40" s="73"/>
      <c r="C40" s="34"/>
      <c r="D40" s="34">
        <f>SUM(D36:D39)</f>
        <v>19.620581999999999</v>
      </c>
      <c r="E40" s="72"/>
      <c r="F40" s="34"/>
      <c r="G40" s="34">
        <f>SUM(G36:G39)</f>
        <v>19.620581999999999</v>
      </c>
      <c r="H40" s="34">
        <f t="shared" si="1"/>
        <v>0</v>
      </c>
      <c r="I40" s="35">
        <f t="shared" si="2"/>
        <v>0</v>
      </c>
      <c r="J40" s="35">
        <f t="shared" si="9"/>
        <v>3.8079997232236908E-2</v>
      </c>
      <c r="K40" s="110">
        <f t="shared" si="4"/>
        <v>3.9188067003095871E-2</v>
      </c>
    </row>
    <row r="41" spans="1:11" s="1" customFormat="1" ht="13.5" thickBot="1" x14ac:dyDescent="0.25">
      <c r="A41" s="111" t="s">
        <v>46</v>
      </c>
      <c r="B41" s="112">
        <f>B4</f>
        <v>2695</v>
      </c>
      <c r="C41" s="113">
        <v>7.0000000000000001E-3</v>
      </c>
      <c r="D41" s="114">
        <f>B41*C41</f>
        <v>18.865000000000002</v>
      </c>
      <c r="E41" s="115">
        <f t="shared" si="6"/>
        <v>2695</v>
      </c>
      <c r="F41" s="113">
        <f>C41</f>
        <v>7.0000000000000001E-3</v>
      </c>
      <c r="G41" s="114">
        <f>E41*F41</f>
        <v>18.865000000000002</v>
      </c>
      <c r="H41" s="114">
        <f t="shared" si="1"/>
        <v>0</v>
      </c>
      <c r="I41" s="116">
        <f t="shared" si="2"/>
        <v>0</v>
      </c>
      <c r="J41" s="116">
        <f t="shared" si="9"/>
        <v>3.6613549373109802E-2</v>
      </c>
      <c r="K41" s="117">
        <f t="shared" si="4"/>
        <v>3.7678947750551112E-2</v>
      </c>
    </row>
    <row r="42" spans="1:11" s="1" customFormat="1" x14ac:dyDescent="0.2">
      <c r="A42" s="36" t="s">
        <v>107</v>
      </c>
      <c r="B42" s="37"/>
      <c r="C42" s="38"/>
      <c r="D42" s="38">
        <f>SUM(D14,D25,D26,D27,D33,D40,D41)</f>
        <v>476.64687000000004</v>
      </c>
      <c r="E42" s="37"/>
      <c r="F42" s="38"/>
      <c r="G42" s="38">
        <f>SUM(G14,G25,G26,G27,G33,G40,G41)</f>
        <v>490.71087000000006</v>
      </c>
      <c r="H42" s="38">
        <f t="shared" si="1"/>
        <v>14.064000000000021</v>
      </c>
      <c r="I42" s="39">
        <f>IF(ISERROR(H42/D42),0,(H42/D42))</f>
        <v>2.9506120537411733E-2</v>
      </c>
      <c r="J42" s="39">
        <f t="shared" si="9"/>
        <v>0.95238095238095222</v>
      </c>
      <c r="K42" s="40"/>
    </row>
    <row r="43" spans="1:11" x14ac:dyDescent="0.2">
      <c r="A43" s="143" t="s">
        <v>108</v>
      </c>
      <c r="B43" s="42"/>
      <c r="C43" s="25">
        <v>0.13</v>
      </c>
      <c r="D43" s="25">
        <f>D42*C43</f>
        <v>61.964093100000007</v>
      </c>
      <c r="E43" s="25"/>
      <c r="F43" s="25">
        <f>C43</f>
        <v>0.13</v>
      </c>
      <c r="G43" s="25">
        <f>G42*F43</f>
        <v>63.792413100000012</v>
      </c>
      <c r="H43" s="25">
        <f t="shared" si="1"/>
        <v>1.8283200000000051</v>
      </c>
      <c r="I43" s="43">
        <f t="shared" si="2"/>
        <v>2.9506120537411768E-2</v>
      </c>
      <c r="J43" s="43">
        <f t="shared" si="9"/>
        <v>0.1238095238095238</v>
      </c>
      <c r="K43" s="44"/>
    </row>
    <row r="44" spans="1:11" s="1" customFormat="1" x14ac:dyDescent="0.2">
      <c r="A44" s="45" t="s">
        <v>109</v>
      </c>
      <c r="B44" s="23"/>
      <c r="C44" s="24"/>
      <c r="D44" s="24">
        <f>SUM(D42:D43)</f>
        <v>538.61096310000005</v>
      </c>
      <c r="E44" s="24"/>
      <c r="F44" s="24"/>
      <c r="G44" s="24">
        <f>SUM(G42:G43)</f>
        <v>554.50328310000009</v>
      </c>
      <c r="H44" s="24">
        <f t="shared" si="1"/>
        <v>15.892320000000041</v>
      </c>
      <c r="I44" s="26">
        <f t="shared" si="2"/>
        <v>2.9506120537411761E-2</v>
      </c>
      <c r="J44" s="26">
        <f t="shared" si="9"/>
        <v>1.0761904761904761</v>
      </c>
      <c r="K44" s="46"/>
    </row>
    <row r="45" spans="1:11" x14ac:dyDescent="0.2">
      <c r="A45" s="41" t="s">
        <v>110</v>
      </c>
      <c r="B45" s="42"/>
      <c r="C45" s="25">
        <v>-0.08</v>
      </c>
      <c r="D45" s="25">
        <f>D42*C45</f>
        <v>-38.131749600000006</v>
      </c>
      <c r="E45" s="25"/>
      <c r="F45" s="25">
        <f>C45</f>
        <v>-0.08</v>
      </c>
      <c r="G45" s="25">
        <f>G42*F45</f>
        <v>-39.256869600000009</v>
      </c>
      <c r="H45" s="25">
        <f t="shared" si="1"/>
        <v>-1.1251200000000026</v>
      </c>
      <c r="I45" s="43">
        <f t="shared" si="2"/>
        <v>2.9506120537411751E-2</v>
      </c>
      <c r="J45" s="43">
        <f t="shared" si="9"/>
        <v>-7.6190476190476183E-2</v>
      </c>
      <c r="K45" s="44"/>
    </row>
    <row r="46" spans="1:11" s="1" customFormat="1" ht="13.5" thickBot="1" x14ac:dyDescent="0.25">
      <c r="A46" s="47" t="s">
        <v>111</v>
      </c>
      <c r="B46" s="48"/>
      <c r="C46" s="49"/>
      <c r="D46" s="49">
        <f>SUM(D44:D45)</f>
        <v>500.47921350000001</v>
      </c>
      <c r="E46" s="49"/>
      <c r="F46" s="49"/>
      <c r="G46" s="49">
        <f>SUM(G44:G45)</f>
        <v>515.24641350000013</v>
      </c>
      <c r="H46" s="49">
        <f t="shared" si="1"/>
        <v>14.767200000000116</v>
      </c>
      <c r="I46" s="50">
        <f t="shared" si="2"/>
        <v>2.9506120537411921E-2</v>
      </c>
      <c r="J46" s="50">
        <f t="shared" si="9"/>
        <v>1</v>
      </c>
      <c r="K46" s="51"/>
    </row>
    <row r="47" spans="1:11" x14ac:dyDescent="0.2">
      <c r="A47" s="52" t="s">
        <v>112</v>
      </c>
      <c r="B47" s="53"/>
      <c r="C47" s="54"/>
      <c r="D47" s="54">
        <f>SUM(D18,D25,D26,D28,D33,D40,D41)</f>
        <v>462.77167985</v>
      </c>
      <c r="E47" s="54"/>
      <c r="F47" s="54"/>
      <c r="G47" s="54">
        <f>SUM(G18,G25,G26,G28,G33,G40,G41)</f>
        <v>476.83567985000002</v>
      </c>
      <c r="H47" s="54">
        <f>G47-D47</f>
        <v>14.064000000000021</v>
      </c>
      <c r="I47" s="55">
        <f>IF(ISERROR(H47/D47),0,(H47/D47))</f>
        <v>3.0390796611751699E-2</v>
      </c>
      <c r="J47" s="55"/>
      <c r="K47" s="56">
        <f>G47/$G$51</f>
        <v>0.95238095238095244</v>
      </c>
    </row>
    <row r="48" spans="1:11" x14ac:dyDescent="0.2">
      <c r="A48" s="57" t="s">
        <v>108</v>
      </c>
      <c r="B48" s="58"/>
      <c r="C48" s="30">
        <v>0.13</v>
      </c>
      <c r="D48" s="30">
        <f>D47*C48</f>
        <v>60.160318380500001</v>
      </c>
      <c r="E48" s="30"/>
      <c r="F48" s="30">
        <f>C48</f>
        <v>0.13</v>
      </c>
      <c r="G48" s="30">
        <f>G47*F48</f>
        <v>61.988638380500007</v>
      </c>
      <c r="H48" s="30">
        <f>G48-D48</f>
        <v>1.8283200000000051</v>
      </c>
      <c r="I48" s="31">
        <f>IF(ISERROR(H48/D48),0,(H48/D48))</f>
        <v>3.0390796611751734E-2</v>
      </c>
      <c r="J48" s="31"/>
      <c r="K48" s="59">
        <f>G48/$G$51</f>
        <v>0.12380952380952383</v>
      </c>
    </row>
    <row r="49" spans="1:11" x14ac:dyDescent="0.2">
      <c r="A49" s="136" t="s">
        <v>113</v>
      </c>
      <c r="B49" s="28"/>
      <c r="C49" s="29"/>
      <c r="D49" s="29">
        <f>SUM(D47:D48)</f>
        <v>522.93199823049997</v>
      </c>
      <c r="E49" s="29"/>
      <c r="F49" s="29"/>
      <c r="G49" s="29">
        <f>SUM(G47:G48)</f>
        <v>538.82431823050001</v>
      </c>
      <c r="H49" s="29">
        <f>G49-D49</f>
        <v>15.892320000000041</v>
      </c>
      <c r="I49" s="32">
        <f>IF(ISERROR(H49/D49),0,(H49/D49))</f>
        <v>3.039079661175173E-2</v>
      </c>
      <c r="J49" s="32"/>
      <c r="K49" s="61">
        <f>G49/$G$51</f>
        <v>1.0761904761904761</v>
      </c>
    </row>
    <row r="50" spans="1:11" x14ac:dyDescent="0.2">
      <c r="A50" s="57" t="s">
        <v>110</v>
      </c>
      <c r="B50" s="58"/>
      <c r="C50" s="30">
        <v>-0.08</v>
      </c>
      <c r="D50" s="30">
        <f>D47*C50</f>
        <v>-37.021734387999999</v>
      </c>
      <c r="E50" s="30"/>
      <c r="F50" s="30">
        <f>C50</f>
        <v>-0.08</v>
      </c>
      <c r="G50" s="30">
        <f>G47*F50</f>
        <v>-38.146854388000001</v>
      </c>
      <c r="H50" s="30">
        <f>G50-D50</f>
        <v>-1.1251200000000026</v>
      </c>
      <c r="I50" s="31">
        <f>IF(ISERROR(H50/D50),0,(H50/D50))</f>
        <v>3.0390796611751723E-2</v>
      </c>
      <c r="J50" s="31"/>
      <c r="K50" s="59">
        <f>G50/$G$51</f>
        <v>-7.6190476190476197E-2</v>
      </c>
    </row>
    <row r="51" spans="1:11" ht="13.5" thickBot="1" x14ac:dyDescent="0.25">
      <c r="A51" s="62" t="s">
        <v>114</v>
      </c>
      <c r="B51" s="63"/>
      <c r="C51" s="64"/>
      <c r="D51" s="64">
        <f>SUM(D49:D50)</f>
        <v>485.91026384249994</v>
      </c>
      <c r="E51" s="64"/>
      <c r="F51" s="64"/>
      <c r="G51" s="64">
        <f>SUM(G49:G50)</f>
        <v>500.6774638425</v>
      </c>
      <c r="H51" s="64">
        <f>G51-D51</f>
        <v>14.767200000000059</v>
      </c>
      <c r="I51" s="65">
        <f>IF(ISERROR(H51/D51),0,(H51/D51))</f>
        <v>3.0390796611751779E-2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1" tint="0.499984740745262"/>
    <pageSetUpPr fitToPage="1"/>
  </sheetPr>
  <dimension ref="A1:K68"/>
  <sheetViews>
    <sheetView tabSelected="1" topLeftCell="A6" zoomScale="110" zoomScaleNormal="110" zoomScaleSheetLayoutView="9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0</v>
      </c>
    </row>
    <row r="4" spans="1:11" x14ac:dyDescent="0.2">
      <c r="A4" s="14" t="s">
        <v>62</v>
      </c>
      <c r="B4" s="78">
        <f>'Data for Bill Impacts_HONI Avg '!C3</f>
        <v>755</v>
      </c>
    </row>
    <row r="5" spans="1:11" x14ac:dyDescent="0.2">
      <c r="A5" s="14" t="s">
        <v>16</v>
      </c>
      <c r="B5" s="14">
        <f>VLOOKUP($B$3,'Data for Bill Impacts'!$A$3:$Y$15,5,0)</f>
        <v>0</v>
      </c>
    </row>
    <row r="6" spans="1:11" x14ac:dyDescent="0.2">
      <c r="A6" s="14" t="s">
        <v>20</v>
      </c>
      <c r="B6" s="14">
        <f>VLOOKUP($B$3,'Data for Bill Impacts'!$A$3:$Y$15,2,0)</f>
        <v>1.0569999999999999</v>
      </c>
    </row>
    <row r="7" spans="1:11" x14ac:dyDescent="0.2">
      <c r="A7" s="14" t="s">
        <v>15</v>
      </c>
      <c r="B7" s="14">
        <f>VLOOKUP($B$3,'Data for Bill Impacts'!$A$3:$Y$15,4,0)</f>
        <v>600</v>
      </c>
    </row>
    <row r="8" spans="1:11" x14ac:dyDescent="0.2">
      <c r="A8" s="14" t="s">
        <v>82</v>
      </c>
      <c r="B8" s="149">
        <f>B4*B6</f>
        <v>798.03499999999997</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0.41733075731804092</v>
      </c>
      <c r="K12" s="105"/>
    </row>
    <row r="13" spans="1:11" x14ac:dyDescent="0.2">
      <c r="A13" s="106" t="s">
        <v>32</v>
      </c>
      <c r="B13" s="72">
        <f>IF(B4&gt;B7,(B4)-B7,0)</f>
        <v>155</v>
      </c>
      <c r="C13" s="20">
        <v>0.121</v>
      </c>
      <c r="D13" s="21">
        <f>B13*C13</f>
        <v>18.754999999999999</v>
      </c>
      <c r="E13" s="72">
        <f t="shared" ref="E13" si="0">B13</f>
        <v>155</v>
      </c>
      <c r="F13" s="20">
        <f>C13</f>
        <v>0.121</v>
      </c>
      <c r="G13" s="21">
        <f>E13*F13</f>
        <v>18.754999999999999</v>
      </c>
      <c r="H13" s="21">
        <f t="shared" ref="H13:H46" si="1">G13-D13</f>
        <v>0</v>
      </c>
      <c r="I13" s="22">
        <f t="shared" ref="I13:I46" si="2">IF(ISERROR(H13/D13),0,(H13/D13))</f>
        <v>0</v>
      </c>
      <c r="J13" s="22">
        <f>G13/$G$46</f>
        <v>0.12665110604368701</v>
      </c>
      <c r="K13" s="107"/>
    </row>
    <row r="14" spans="1:11" s="1" customFormat="1" x14ac:dyDescent="0.2">
      <c r="A14" s="45" t="s">
        <v>33</v>
      </c>
      <c r="B14" s="23"/>
      <c r="C14" s="24"/>
      <c r="D14" s="24">
        <f>SUM(D12:D13)</f>
        <v>80.554999999999993</v>
      </c>
      <c r="E14" s="75"/>
      <c r="F14" s="24"/>
      <c r="G14" s="24">
        <f>SUM(G12:G13)</f>
        <v>80.554999999999993</v>
      </c>
      <c r="H14" s="24">
        <f t="shared" si="1"/>
        <v>0</v>
      </c>
      <c r="I14" s="26">
        <f t="shared" si="2"/>
        <v>0</v>
      </c>
      <c r="J14" s="26">
        <f>G14/$G$46</f>
        <v>0.54398186336172794</v>
      </c>
      <c r="K14" s="107"/>
    </row>
    <row r="15" spans="1:11" s="1" customFormat="1" x14ac:dyDescent="0.2">
      <c r="A15" s="108" t="s">
        <v>34</v>
      </c>
      <c r="B15" s="74">
        <f>B4*0.65</f>
        <v>490.75</v>
      </c>
      <c r="C15" s="27">
        <v>8.6999999999999994E-2</v>
      </c>
      <c r="D15" s="21">
        <f>B15*C15</f>
        <v>42.695249999999994</v>
      </c>
      <c r="E15" s="72">
        <f t="shared" ref="E15:F17" si="3">B15</f>
        <v>490.75</v>
      </c>
      <c r="F15" s="27">
        <f t="shared" si="3"/>
        <v>8.6999999999999994E-2</v>
      </c>
      <c r="G15" s="21">
        <f>E15*F15</f>
        <v>42.695249999999994</v>
      </c>
      <c r="H15" s="21">
        <f t="shared" si="1"/>
        <v>0</v>
      </c>
      <c r="I15" s="22">
        <f t="shared" si="2"/>
        <v>0</v>
      </c>
      <c r="J15" s="22"/>
      <c r="K15" s="107">
        <f t="shared" ref="K15:K26" si="4">G15/$G$51</f>
        <v>0.28205623695380927</v>
      </c>
    </row>
    <row r="16" spans="1:11" s="1" customFormat="1" x14ac:dyDescent="0.2">
      <c r="A16" s="108" t="s">
        <v>35</v>
      </c>
      <c r="B16" s="74">
        <f>B4*0.17</f>
        <v>128.35000000000002</v>
      </c>
      <c r="C16" s="27">
        <v>0.13200000000000001</v>
      </c>
      <c r="D16" s="21">
        <f>B16*C16</f>
        <v>16.942200000000003</v>
      </c>
      <c r="E16" s="72">
        <f t="shared" si="3"/>
        <v>128.35000000000002</v>
      </c>
      <c r="F16" s="27">
        <f t="shared" si="3"/>
        <v>0.13200000000000001</v>
      </c>
      <c r="G16" s="21">
        <f>E16*F16</f>
        <v>16.942200000000003</v>
      </c>
      <c r="H16" s="21">
        <f t="shared" si="1"/>
        <v>0</v>
      </c>
      <c r="I16" s="22">
        <f t="shared" si="2"/>
        <v>0</v>
      </c>
      <c r="J16" s="22"/>
      <c r="K16" s="107">
        <f t="shared" si="4"/>
        <v>0.11192470304586175</v>
      </c>
    </row>
    <row r="17" spans="1:11" s="1" customFormat="1" x14ac:dyDescent="0.2">
      <c r="A17" s="108" t="s">
        <v>36</v>
      </c>
      <c r="B17" s="74">
        <f>B4*0.18</f>
        <v>135.9</v>
      </c>
      <c r="C17" s="27">
        <v>0.18</v>
      </c>
      <c r="D17" s="21">
        <f>B17*C17</f>
        <v>24.462</v>
      </c>
      <c r="E17" s="72">
        <f t="shared" si="3"/>
        <v>135.9</v>
      </c>
      <c r="F17" s="27">
        <f t="shared" si="3"/>
        <v>0.18</v>
      </c>
      <c r="G17" s="21">
        <f>E17*F17</f>
        <v>24.462</v>
      </c>
      <c r="H17" s="21">
        <f t="shared" si="1"/>
        <v>0</v>
      </c>
      <c r="I17" s="22">
        <f t="shared" si="2"/>
        <v>0</v>
      </c>
      <c r="J17" s="22"/>
      <c r="K17" s="107">
        <f t="shared" si="4"/>
        <v>0.16160251241915863</v>
      </c>
    </row>
    <row r="18" spans="1:11" s="1" customFormat="1" x14ac:dyDescent="0.2">
      <c r="A18" s="60" t="s">
        <v>37</v>
      </c>
      <c r="B18" s="28"/>
      <c r="C18" s="29"/>
      <c r="D18" s="29">
        <f>SUM(D15:D17)</f>
        <v>84.099450000000004</v>
      </c>
      <c r="E18" s="76"/>
      <c r="F18" s="29"/>
      <c r="G18" s="29">
        <f>SUM(G15:G17)</f>
        <v>84.099450000000004</v>
      </c>
      <c r="H18" s="30">
        <f t="shared" si="1"/>
        <v>0</v>
      </c>
      <c r="I18" s="31">
        <f t="shared" si="2"/>
        <v>0</v>
      </c>
      <c r="J18" s="32">
        <f t="shared" ref="J18:J23" si="5">G18/$G$46</f>
        <v>0.56791726793739028</v>
      </c>
      <c r="K18" s="61">
        <f t="shared" si="4"/>
        <v>0.55558345241882967</v>
      </c>
    </row>
    <row r="19" spans="1:11" x14ac:dyDescent="0.2">
      <c r="A19" s="106" t="s">
        <v>38</v>
      </c>
      <c r="B19" s="72">
        <v>1</v>
      </c>
      <c r="C19" s="77">
        <f>VLOOKUP($B$3,'Data for Bill Impacts'!$A$3:$Y$15,7,0)</f>
        <v>36.72</v>
      </c>
      <c r="D19" s="21">
        <f>B19*C19</f>
        <v>36.72</v>
      </c>
      <c r="E19" s="72">
        <f t="shared" ref="E19:E41" si="6">B19</f>
        <v>1</v>
      </c>
      <c r="F19" s="77">
        <f>VLOOKUP($B$3,'Data for Bill Impacts'!$A$3:$Y$15,17,0)</f>
        <v>37.47</v>
      </c>
      <c r="G19" s="21">
        <f>E19*F19</f>
        <v>37.47</v>
      </c>
      <c r="H19" s="21">
        <f t="shared" si="1"/>
        <v>0.75</v>
      </c>
      <c r="I19" s="22">
        <f t="shared" si="2"/>
        <v>2.042483660130719E-2</v>
      </c>
      <c r="J19" s="22">
        <f t="shared" si="5"/>
        <v>0.2530320950923462</v>
      </c>
      <c r="K19" s="107">
        <f t="shared" si="4"/>
        <v>0.24753683837567958</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6.7529248756964554E-5</v>
      </c>
      <c r="K22" s="107">
        <f t="shared" si="4"/>
        <v>6.6062673705812538E-5</v>
      </c>
    </row>
    <row r="23" spans="1:11" x14ac:dyDescent="0.2">
      <c r="A23" s="106" t="s">
        <v>39</v>
      </c>
      <c r="B23" s="72">
        <f>IF($B$9="kWh",$B$4,$B$5)</f>
        <v>755</v>
      </c>
      <c r="C23" s="77">
        <f>VLOOKUP($B$3,'Data for Bill Impacts'!$A$3:$Y$15,10,0)</f>
        <v>0</v>
      </c>
      <c r="D23" s="21">
        <f>B23*C23</f>
        <v>0</v>
      </c>
      <c r="E23" s="72">
        <f t="shared" si="6"/>
        <v>755</v>
      </c>
      <c r="F23" s="77">
        <f>VLOOKUP($B$3,'Data for Bill Impacts'!$A$3:$Y$15,19,0)</f>
        <v>0</v>
      </c>
      <c r="G23" s="21">
        <f>E23*F23</f>
        <v>0</v>
      </c>
      <c r="H23" s="21">
        <f t="shared" si="1"/>
        <v>0</v>
      </c>
      <c r="I23" s="22">
        <f t="shared" si="2"/>
        <v>0</v>
      </c>
      <c r="J23" s="22">
        <f t="shared" si="5"/>
        <v>0</v>
      </c>
      <c r="K23" s="107">
        <f t="shared" si="4"/>
        <v>0</v>
      </c>
    </row>
    <row r="24" spans="1:11" x14ac:dyDescent="0.2">
      <c r="A24" s="106" t="s">
        <v>129</v>
      </c>
      <c r="B24" s="72">
        <f>IF($B$9="kWh",$B$4,$B$5)</f>
        <v>755</v>
      </c>
      <c r="C24" s="125">
        <f>VLOOKUP($B$3,'Data for Bill Impacts'!$A$3:$Y$15,14,0)</f>
        <v>2.0000000000000001E-4</v>
      </c>
      <c r="D24" s="21">
        <f>B24*C24</f>
        <v>0.151</v>
      </c>
      <c r="E24" s="72">
        <f t="shared" si="6"/>
        <v>755</v>
      </c>
      <c r="F24" s="125">
        <f>VLOOKUP($B$3,'Data for Bill Impacts'!$A$3:$Y$15,23,0)</f>
        <v>2.0000000000000001E-4</v>
      </c>
      <c r="G24" s="21">
        <f>E24*F24</f>
        <v>0.151</v>
      </c>
      <c r="H24" s="21">
        <f t="shared" si="1"/>
        <v>0</v>
      </c>
      <c r="I24" s="22">
        <f>IF(ISERROR(H24/D24),0,(H24/D24))</f>
        <v>0</v>
      </c>
      <c r="J24" s="22">
        <f t="shared" ref="J24" si="9">G24/$G$46</f>
        <v>1.0196916562301647E-3</v>
      </c>
      <c r="K24" s="107">
        <f t="shared" si="4"/>
        <v>9.9754637295776925E-4</v>
      </c>
    </row>
    <row r="25" spans="1:11" s="1" customFormat="1" x14ac:dyDescent="0.2">
      <c r="A25" s="109" t="s">
        <v>72</v>
      </c>
      <c r="B25" s="73"/>
      <c r="C25" s="34"/>
      <c r="D25" s="34">
        <f>SUM(D19:D24)</f>
        <v>36.881</v>
      </c>
      <c r="E25" s="72"/>
      <c r="F25" s="34"/>
      <c r="G25" s="34">
        <f>SUM(G19:G24)</f>
        <v>37.631</v>
      </c>
      <c r="H25" s="34">
        <f t="shared" si="1"/>
        <v>0.75</v>
      </c>
      <c r="I25" s="35">
        <f t="shared" si="2"/>
        <v>2.0335674195385157E-2</v>
      </c>
      <c r="J25" s="35">
        <f>G25/$G$46</f>
        <v>0.25411931599733334</v>
      </c>
      <c r="K25" s="110">
        <f t="shared" si="4"/>
        <v>0.24860044742234316</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5.3348106518002003E-3</v>
      </c>
      <c r="K26" s="107">
        <f t="shared" si="4"/>
        <v>5.2189512227591908E-3</v>
      </c>
    </row>
    <row r="27" spans="1:11" s="1" customFormat="1" x14ac:dyDescent="0.2">
      <c r="A27" s="118" t="s">
        <v>75</v>
      </c>
      <c r="B27" s="119">
        <f>B8-B4</f>
        <v>43.034999999999968</v>
      </c>
      <c r="C27" s="120">
        <f>IF(B4&gt;B7,C13,C12)</f>
        <v>0.121</v>
      </c>
      <c r="D27" s="21">
        <f>B27*C27</f>
        <v>5.2072349999999963</v>
      </c>
      <c r="E27" s="72">
        <f>B27</f>
        <v>43.034999999999968</v>
      </c>
      <c r="F27" s="120">
        <f>C27</f>
        <v>0.121</v>
      </c>
      <c r="G27" s="21">
        <f>E27*F27</f>
        <v>5.2072349999999963</v>
      </c>
      <c r="H27" s="21">
        <f t="shared" si="1"/>
        <v>0</v>
      </c>
      <c r="I27" s="22">
        <f>IF(ISERROR(H27/D27),0,(H27/D27))</f>
        <v>0</v>
      </c>
      <c r="J27" s="22">
        <f t="shared" ref="J27:J46" si="10">G27/$G$46</f>
        <v>3.5164066765097209E-2</v>
      </c>
      <c r="K27" s="107">
        <f t="shared" ref="K27:K41" si="11">G27/$G$51</f>
        <v>3.4400386671448652E-2</v>
      </c>
    </row>
    <row r="28" spans="1:11" s="1" customFormat="1" x14ac:dyDescent="0.2">
      <c r="A28" s="118" t="s">
        <v>74</v>
      </c>
      <c r="B28" s="119">
        <f>B8-B4</f>
        <v>43.034999999999968</v>
      </c>
      <c r="C28" s="120">
        <f>0.65*C15+0.17*C16+0.18*C17</f>
        <v>0.11139</v>
      </c>
      <c r="D28" s="21">
        <f>B28*C28</f>
        <v>4.7936686499999963</v>
      </c>
      <c r="E28" s="72">
        <f>B28</f>
        <v>43.034999999999968</v>
      </c>
      <c r="F28" s="120">
        <f>C28</f>
        <v>0.11139</v>
      </c>
      <c r="G28" s="21">
        <f>E28*F28</f>
        <v>4.7936686499999963</v>
      </c>
      <c r="H28" s="21">
        <f t="shared" si="1"/>
        <v>0</v>
      </c>
      <c r="I28" s="22">
        <f>IF(ISERROR(H28/D28),0,(H28/D28))</f>
        <v>0</v>
      </c>
      <c r="J28" s="22">
        <f t="shared" si="10"/>
        <v>3.2371284272431224E-2</v>
      </c>
      <c r="K28" s="107">
        <f t="shared" si="11"/>
        <v>3.1668256787873265E-2</v>
      </c>
    </row>
    <row r="29" spans="1:11" s="1" customFormat="1" x14ac:dyDescent="0.2">
      <c r="A29" s="109" t="s">
        <v>78</v>
      </c>
      <c r="B29" s="73"/>
      <c r="C29" s="34"/>
      <c r="D29" s="34">
        <f>SUM(D25,D26:D27)</f>
        <v>42.878234999999997</v>
      </c>
      <c r="E29" s="72"/>
      <c r="F29" s="34"/>
      <c r="G29" s="34">
        <f>SUM(G25,G26:G27)</f>
        <v>43.628234999999997</v>
      </c>
      <c r="H29" s="34">
        <f t="shared" si="1"/>
        <v>0.75</v>
      </c>
      <c r="I29" s="35">
        <f>IF(ISERROR(H29/D29),0,(H29/D29))</f>
        <v>1.7491391611618345E-2</v>
      </c>
      <c r="J29" s="35">
        <f t="shared" si="10"/>
        <v>0.29461819341423073</v>
      </c>
      <c r="K29" s="110">
        <f t="shared" si="11"/>
        <v>0.28821978531655101</v>
      </c>
    </row>
    <row r="30" spans="1:11" s="1" customFormat="1" x14ac:dyDescent="0.2">
      <c r="A30" s="109" t="s">
        <v>77</v>
      </c>
      <c r="B30" s="73"/>
      <c r="C30" s="34"/>
      <c r="D30" s="34">
        <f>SUM(D25,D26,D28)</f>
        <v>42.464668649999993</v>
      </c>
      <c r="E30" s="72"/>
      <c r="F30" s="34"/>
      <c r="G30" s="34">
        <f>SUM(G25,G26,G28)</f>
        <v>43.214668649999993</v>
      </c>
      <c r="H30" s="34">
        <f t="shared" si="1"/>
        <v>0.75</v>
      </c>
      <c r="I30" s="35">
        <f>IF(ISERROR(H30/D30),0,(H30/D30))</f>
        <v>1.7661741486354448E-2</v>
      </c>
      <c r="J30" s="35">
        <f t="shared" si="10"/>
        <v>0.29182541092156472</v>
      </c>
      <c r="K30" s="110">
        <f t="shared" si="11"/>
        <v>0.28548765543297561</v>
      </c>
    </row>
    <row r="31" spans="1:11" x14ac:dyDescent="0.2">
      <c r="A31" s="106" t="s">
        <v>40</v>
      </c>
      <c r="B31" s="72">
        <f>B8</f>
        <v>798.03499999999997</v>
      </c>
      <c r="C31" s="125">
        <f>VLOOKUP($B$3,'Data for Bill Impacts'!$A$3:$Y$15,15,0)</f>
        <v>7.7000000000000002E-3</v>
      </c>
      <c r="D31" s="21">
        <f>B31*C31</f>
        <v>6.1448694999999995</v>
      </c>
      <c r="E31" s="72">
        <f t="shared" si="6"/>
        <v>798.03499999999997</v>
      </c>
      <c r="F31" s="77">
        <f>VLOOKUP($B$3,'Data for Bill Impacts'!$A$3:$Y$15,24,0)</f>
        <v>7.7000000000000002E-3</v>
      </c>
      <c r="G31" s="21">
        <f>E31*F31</f>
        <v>6.1448694999999995</v>
      </c>
      <c r="H31" s="21">
        <f t="shared" si="1"/>
        <v>0</v>
      </c>
      <c r="I31" s="22">
        <f t="shared" si="2"/>
        <v>0</v>
      </c>
      <c r="J31" s="22">
        <f t="shared" si="10"/>
        <v>4.149584210445844E-2</v>
      </c>
      <c r="K31" s="107">
        <f t="shared" si="11"/>
        <v>4.0594650874329945E-2</v>
      </c>
    </row>
    <row r="32" spans="1:11" x14ac:dyDescent="0.2">
      <c r="A32" s="106" t="s">
        <v>41</v>
      </c>
      <c r="B32" s="72">
        <f>B8</f>
        <v>798.03499999999997</v>
      </c>
      <c r="C32" s="125">
        <f>VLOOKUP($B$3,'Data for Bill Impacts'!$A$3:$Y$15,16,0)</f>
        <v>6.3E-3</v>
      </c>
      <c r="D32" s="21">
        <f>B32*C32</f>
        <v>5.0276205000000003</v>
      </c>
      <c r="E32" s="72">
        <f t="shared" si="6"/>
        <v>798.03499999999997</v>
      </c>
      <c r="F32" s="77">
        <f>VLOOKUP($B$3,'Data for Bill Impacts'!$A$3:$Y$15,25,0)</f>
        <v>6.3E-3</v>
      </c>
      <c r="G32" s="21">
        <f>E32*F32</f>
        <v>5.0276205000000003</v>
      </c>
      <c r="H32" s="21">
        <f t="shared" si="1"/>
        <v>0</v>
      </c>
      <c r="I32" s="22">
        <f t="shared" si="2"/>
        <v>0</v>
      </c>
      <c r="J32" s="22">
        <f t="shared" si="10"/>
        <v>3.3951143540011455E-2</v>
      </c>
      <c r="K32" s="107">
        <f t="shared" si="11"/>
        <v>3.321380526081541E-2</v>
      </c>
    </row>
    <row r="33" spans="1:11" s="1" customFormat="1" x14ac:dyDescent="0.2">
      <c r="A33" s="109" t="s">
        <v>76</v>
      </c>
      <c r="B33" s="73"/>
      <c r="C33" s="34"/>
      <c r="D33" s="34">
        <f>SUM(D31:D32)</f>
        <v>11.17249</v>
      </c>
      <c r="E33" s="72"/>
      <c r="F33" s="34"/>
      <c r="G33" s="34">
        <f>SUM(G31:G32)</f>
        <v>11.17249</v>
      </c>
      <c r="H33" s="34">
        <f t="shared" si="1"/>
        <v>0</v>
      </c>
      <c r="I33" s="35">
        <f t="shared" si="2"/>
        <v>0</v>
      </c>
      <c r="J33" s="35">
        <f t="shared" si="10"/>
        <v>7.5446985644469888E-2</v>
      </c>
      <c r="K33" s="110">
        <f t="shared" si="11"/>
        <v>7.3808456135145348E-2</v>
      </c>
    </row>
    <row r="34" spans="1:11" s="1" customFormat="1" x14ac:dyDescent="0.2">
      <c r="A34" s="109" t="s">
        <v>93</v>
      </c>
      <c r="B34" s="73"/>
      <c r="C34" s="34"/>
      <c r="D34" s="34">
        <f>D29+D33</f>
        <v>54.050725</v>
      </c>
      <c r="E34" s="72"/>
      <c r="F34" s="34"/>
      <c r="G34" s="34">
        <f>G29+G33</f>
        <v>54.800725</v>
      </c>
      <c r="H34" s="34">
        <f t="shared" si="1"/>
        <v>0.75</v>
      </c>
      <c r="I34" s="35">
        <f t="shared" si="2"/>
        <v>1.3875854579193896E-2</v>
      </c>
      <c r="J34" s="35">
        <f t="shared" si="10"/>
        <v>0.37006517905870062</v>
      </c>
      <c r="K34" s="110">
        <f t="shared" si="11"/>
        <v>0.36202824145169638</v>
      </c>
    </row>
    <row r="35" spans="1:11" s="1" customFormat="1" x14ac:dyDescent="0.2">
      <c r="A35" s="109" t="s">
        <v>94</v>
      </c>
      <c r="B35" s="73"/>
      <c r="C35" s="34"/>
      <c r="D35" s="34">
        <f>D30+D33</f>
        <v>53.637158649999989</v>
      </c>
      <c r="E35" s="72"/>
      <c r="F35" s="34"/>
      <c r="G35" s="34">
        <f>G30+G33</f>
        <v>54.387158649999989</v>
      </c>
      <c r="H35" s="34">
        <f t="shared" si="1"/>
        <v>0.75</v>
      </c>
      <c r="I35" s="35">
        <f t="shared" si="2"/>
        <v>1.3982843589720987E-2</v>
      </c>
      <c r="J35" s="35">
        <f t="shared" si="10"/>
        <v>0.36727239656603455</v>
      </c>
      <c r="K35" s="110">
        <f t="shared" si="11"/>
        <v>0.35929611156812091</v>
      </c>
    </row>
    <row r="36" spans="1:11" x14ac:dyDescent="0.2">
      <c r="A36" s="106" t="s">
        <v>42</v>
      </c>
      <c r="B36" s="72">
        <f>B8</f>
        <v>798.03499999999997</v>
      </c>
      <c r="C36" s="33">
        <v>3.5999999999999999E-3</v>
      </c>
      <c r="D36" s="21">
        <f>B36*C36</f>
        <v>2.8729259999999996</v>
      </c>
      <c r="E36" s="72">
        <f t="shared" si="6"/>
        <v>798.03499999999997</v>
      </c>
      <c r="F36" s="33">
        <v>3.5999999999999999E-3</v>
      </c>
      <c r="G36" s="21">
        <f>E36*F36</f>
        <v>2.8729259999999996</v>
      </c>
      <c r="H36" s="21">
        <f t="shared" si="1"/>
        <v>0</v>
      </c>
      <c r="I36" s="22">
        <f t="shared" si="2"/>
        <v>0</v>
      </c>
      <c r="J36" s="22">
        <f t="shared" si="10"/>
        <v>1.9400653451435112E-2</v>
      </c>
      <c r="K36" s="107">
        <f t="shared" si="11"/>
        <v>1.8979317291894518E-2</v>
      </c>
    </row>
    <row r="37" spans="1:11" x14ac:dyDescent="0.2">
      <c r="A37" s="106" t="s">
        <v>43</v>
      </c>
      <c r="B37" s="72">
        <f>B8</f>
        <v>798.03499999999997</v>
      </c>
      <c r="C37" s="33">
        <v>2.0999999999999999E-3</v>
      </c>
      <c r="D37" s="21">
        <f>B37*C37</f>
        <v>1.6758734999999998</v>
      </c>
      <c r="E37" s="72">
        <f t="shared" si="6"/>
        <v>798.03499999999997</v>
      </c>
      <c r="F37" s="33">
        <v>2.0999999999999999E-3</v>
      </c>
      <c r="G37" s="21">
        <f>E37*F37</f>
        <v>1.6758734999999998</v>
      </c>
      <c r="H37" s="21">
        <f>G37-D37</f>
        <v>0</v>
      </c>
      <c r="I37" s="22">
        <f t="shared" si="2"/>
        <v>0</v>
      </c>
      <c r="J37" s="22">
        <f t="shared" si="10"/>
        <v>1.1317047846670482E-2</v>
      </c>
      <c r="K37" s="107">
        <f t="shared" si="11"/>
        <v>1.1071268420271802E-2</v>
      </c>
    </row>
    <row r="38" spans="1:11" x14ac:dyDescent="0.2">
      <c r="A38" s="106" t="s">
        <v>99</v>
      </c>
      <c r="B38" s="72">
        <f>B8</f>
        <v>798.03499999999997</v>
      </c>
      <c r="C38" s="33">
        <v>1.1000000000000001E-3</v>
      </c>
      <c r="D38" s="21">
        <f>B38*C38</f>
        <v>0.87783849999999997</v>
      </c>
      <c r="E38" s="72">
        <f t="shared" si="6"/>
        <v>798.03499999999997</v>
      </c>
      <c r="F38" s="33">
        <v>1.1000000000000001E-3</v>
      </c>
      <c r="G38" s="21">
        <f>E38*F38</f>
        <v>0.87783849999999997</v>
      </c>
      <c r="H38" s="21">
        <f>G38-D38</f>
        <v>0</v>
      </c>
      <c r="I38" s="22">
        <f t="shared" si="2"/>
        <v>0</v>
      </c>
      <c r="J38" s="22">
        <f t="shared" si="10"/>
        <v>5.9279774434940627E-3</v>
      </c>
      <c r="K38" s="107">
        <f t="shared" si="11"/>
        <v>5.7992358391899916E-3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1.688231218924114E-3</v>
      </c>
      <c r="K39" s="107">
        <f t="shared" si="11"/>
        <v>1.6515668426453135E-3</v>
      </c>
    </row>
    <row r="40" spans="1:11" s="1" customFormat="1" x14ac:dyDescent="0.2">
      <c r="A40" s="109" t="s">
        <v>45</v>
      </c>
      <c r="B40" s="73"/>
      <c r="C40" s="34"/>
      <c r="D40" s="34">
        <f>SUM(D36:D39)</f>
        <v>5.6766379999999996</v>
      </c>
      <c r="E40" s="72"/>
      <c r="F40" s="34"/>
      <c r="G40" s="34">
        <f>SUM(G36:G39)</f>
        <v>5.6766379999999996</v>
      </c>
      <c r="H40" s="34">
        <f t="shared" si="1"/>
        <v>0</v>
      </c>
      <c r="I40" s="35">
        <f t="shared" si="2"/>
        <v>0</v>
      </c>
      <c r="J40" s="35">
        <f t="shared" si="10"/>
        <v>3.8333909960523771E-2</v>
      </c>
      <c r="K40" s="110">
        <f t="shared" si="11"/>
        <v>3.7501388394001627E-2</v>
      </c>
    </row>
    <row r="41" spans="1:11" s="1" customFormat="1" ht="13.5" thickBot="1" x14ac:dyDescent="0.25">
      <c r="A41" s="111" t="s">
        <v>46</v>
      </c>
      <c r="B41" s="112">
        <f>B4</f>
        <v>755</v>
      </c>
      <c r="C41" s="113">
        <v>0</v>
      </c>
      <c r="D41" s="114">
        <f>B41*C41</f>
        <v>0</v>
      </c>
      <c r="E41" s="115">
        <f t="shared" si="6"/>
        <v>755</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140.282363</v>
      </c>
      <c r="E42" s="37"/>
      <c r="F42" s="38"/>
      <c r="G42" s="38">
        <f>SUM(G14,G25,G26,G27,G33,G40,G41)</f>
        <v>141.032363</v>
      </c>
      <c r="H42" s="38">
        <f t="shared" si="1"/>
        <v>0.75</v>
      </c>
      <c r="I42" s="39">
        <f>IF(ISERROR(H42/D42),0,(H42/D42))</f>
        <v>5.3463598984285713E-3</v>
      </c>
      <c r="J42" s="39">
        <f t="shared" si="10"/>
        <v>0.95238095238095244</v>
      </c>
      <c r="K42" s="40"/>
    </row>
    <row r="43" spans="1:11" x14ac:dyDescent="0.2">
      <c r="A43" s="143" t="s">
        <v>108</v>
      </c>
      <c r="B43" s="42"/>
      <c r="C43" s="25">
        <v>0.13</v>
      </c>
      <c r="D43" s="25">
        <f>D42*C43</f>
        <v>18.236707190000001</v>
      </c>
      <c r="E43" s="25"/>
      <c r="F43" s="25">
        <f>C43</f>
        <v>0.13</v>
      </c>
      <c r="G43" s="25">
        <f>G42*F43</f>
        <v>18.334207190000001</v>
      </c>
      <c r="H43" s="25">
        <f t="shared" si="1"/>
        <v>9.7500000000000142E-2</v>
      </c>
      <c r="I43" s="43">
        <f t="shared" si="2"/>
        <v>5.3463598984285791E-3</v>
      </c>
      <c r="J43" s="43">
        <f t="shared" si="10"/>
        <v>0.12380952380952381</v>
      </c>
      <c r="K43" s="44"/>
    </row>
    <row r="44" spans="1:11" s="1" customFormat="1" x14ac:dyDescent="0.2">
      <c r="A44" s="45" t="s">
        <v>109</v>
      </c>
      <c r="B44" s="23"/>
      <c r="C44" s="24"/>
      <c r="D44" s="24">
        <f>SUM(D42:D43)</f>
        <v>158.51907019000001</v>
      </c>
      <c r="E44" s="24"/>
      <c r="F44" s="24"/>
      <c r="G44" s="24">
        <f>SUM(G42:G43)</f>
        <v>159.36657019</v>
      </c>
      <c r="H44" s="24">
        <f t="shared" si="1"/>
        <v>0.84749999999999659</v>
      </c>
      <c r="I44" s="26">
        <f t="shared" si="2"/>
        <v>5.3463598984285496E-3</v>
      </c>
      <c r="J44" s="26">
        <f t="shared" si="10"/>
        <v>1.0761904761904761</v>
      </c>
      <c r="K44" s="46"/>
    </row>
    <row r="45" spans="1:11" x14ac:dyDescent="0.2">
      <c r="A45" s="41" t="s">
        <v>110</v>
      </c>
      <c r="B45" s="42"/>
      <c r="C45" s="25">
        <v>-0.08</v>
      </c>
      <c r="D45" s="25">
        <f>D42*C45</f>
        <v>-11.222589040000001</v>
      </c>
      <c r="E45" s="25"/>
      <c r="F45" s="25">
        <f>C45</f>
        <v>-0.08</v>
      </c>
      <c r="G45" s="25">
        <f>G42*F45</f>
        <v>-11.282589040000001</v>
      </c>
      <c r="H45" s="25">
        <f t="shared" si="1"/>
        <v>-6.0000000000000497E-2</v>
      </c>
      <c r="I45" s="43">
        <f t="shared" si="2"/>
        <v>5.3463598984286155E-3</v>
      </c>
      <c r="J45" s="43">
        <f t="shared" si="10"/>
        <v>-7.6190476190476197E-2</v>
      </c>
      <c r="K45" s="44"/>
    </row>
    <row r="46" spans="1:11" s="1" customFormat="1" ht="13.5" thickBot="1" x14ac:dyDescent="0.25">
      <c r="A46" s="47" t="s">
        <v>111</v>
      </c>
      <c r="B46" s="48"/>
      <c r="C46" s="49"/>
      <c r="D46" s="49">
        <f>SUM(D44:D45)</f>
        <v>147.29648115000001</v>
      </c>
      <c r="E46" s="49"/>
      <c r="F46" s="49"/>
      <c r="G46" s="49">
        <f>SUM(G44:G45)</f>
        <v>148.08398115</v>
      </c>
      <c r="H46" s="49">
        <f t="shared" si="1"/>
        <v>0.78749999999999432</v>
      </c>
      <c r="I46" s="50">
        <f t="shared" si="2"/>
        <v>5.3463598984285331E-3</v>
      </c>
      <c r="J46" s="50">
        <f t="shared" si="10"/>
        <v>1</v>
      </c>
      <c r="K46" s="51"/>
    </row>
    <row r="47" spans="1:11" x14ac:dyDescent="0.2">
      <c r="A47" s="52" t="s">
        <v>112</v>
      </c>
      <c r="B47" s="53"/>
      <c r="C47" s="54"/>
      <c r="D47" s="54">
        <f>SUM(D18,D25,D26,D28,D33,D40,D41)</f>
        <v>143.41324665000002</v>
      </c>
      <c r="E47" s="54"/>
      <c r="F47" s="54"/>
      <c r="G47" s="54">
        <f>SUM(G18,G25,G26,G28,G33,G40,G41)</f>
        <v>144.16324665000002</v>
      </c>
      <c r="H47" s="54">
        <f>G47-D47</f>
        <v>0.75</v>
      </c>
      <c r="I47" s="55">
        <f>IF(ISERROR(H47/D47),0,(H47/D47))</f>
        <v>5.2296424320577217E-3</v>
      </c>
      <c r="J47" s="55"/>
      <c r="K47" s="56">
        <f>G47/$G$51</f>
        <v>0.95238095238095244</v>
      </c>
    </row>
    <row r="48" spans="1:11" x14ac:dyDescent="0.2">
      <c r="A48" s="57" t="s">
        <v>108</v>
      </c>
      <c r="B48" s="58"/>
      <c r="C48" s="30">
        <v>0.13</v>
      </c>
      <c r="D48" s="30">
        <f>D47*C48</f>
        <v>18.643722064500004</v>
      </c>
      <c r="E48" s="30"/>
      <c r="F48" s="30">
        <f>C48</f>
        <v>0.13</v>
      </c>
      <c r="G48" s="30">
        <f>G47*F48</f>
        <v>18.741222064500004</v>
      </c>
      <c r="H48" s="30">
        <f>G48-D48</f>
        <v>9.7500000000000142E-2</v>
      </c>
      <c r="I48" s="31">
        <f>IF(ISERROR(H48/D48),0,(H48/D48))</f>
        <v>5.2296424320577286E-3</v>
      </c>
      <c r="J48" s="31"/>
      <c r="K48" s="59">
        <f>G48/$G$51</f>
        <v>0.12380952380952383</v>
      </c>
    </row>
    <row r="49" spans="1:11" x14ac:dyDescent="0.2">
      <c r="A49" s="60" t="s">
        <v>113</v>
      </c>
      <c r="B49" s="28"/>
      <c r="C49" s="29"/>
      <c r="D49" s="29">
        <f>SUM(D47:D48)</f>
        <v>162.05696871450002</v>
      </c>
      <c r="E49" s="29"/>
      <c r="F49" s="29"/>
      <c r="G49" s="29">
        <f>SUM(G47:G48)</f>
        <v>162.90446871450001</v>
      </c>
      <c r="H49" s="29">
        <f>G49-D49</f>
        <v>0.84749999999999659</v>
      </c>
      <c r="I49" s="32">
        <f>IF(ISERROR(H49/D49),0,(H49/D49))</f>
        <v>5.2296424320577009E-3</v>
      </c>
      <c r="J49" s="32"/>
      <c r="K49" s="61">
        <f>G49/$G$51</f>
        <v>1.0761904761904761</v>
      </c>
    </row>
    <row r="50" spans="1:11" x14ac:dyDescent="0.2">
      <c r="A50" s="57" t="s">
        <v>110</v>
      </c>
      <c r="B50" s="58"/>
      <c r="C50" s="30">
        <v>-0.08</v>
      </c>
      <c r="D50" s="30">
        <f>D47*C50</f>
        <v>-11.473059732000001</v>
      </c>
      <c r="E50" s="30"/>
      <c r="F50" s="30">
        <f>C50</f>
        <v>-0.08</v>
      </c>
      <c r="G50" s="30">
        <f>G47*F50</f>
        <v>-11.533059732000002</v>
      </c>
      <c r="H50" s="30">
        <f>G50-D50</f>
        <v>-6.0000000000000497E-2</v>
      </c>
      <c r="I50" s="31">
        <f>IF(ISERROR(H50/D50),0,(H50/D50))</f>
        <v>5.2296424320577651E-3</v>
      </c>
      <c r="J50" s="31"/>
      <c r="K50" s="59">
        <f>G50/$G$51</f>
        <v>-7.6190476190476197E-2</v>
      </c>
    </row>
    <row r="51" spans="1:11" ht="13.5" thickBot="1" x14ac:dyDescent="0.25">
      <c r="A51" s="62" t="s">
        <v>114</v>
      </c>
      <c r="B51" s="63"/>
      <c r="C51" s="64"/>
      <c r="D51" s="64">
        <f>SUM(D49:D50)</f>
        <v>150.58390898250002</v>
      </c>
      <c r="E51" s="64"/>
      <c r="F51" s="64"/>
      <c r="G51" s="64">
        <f>SUM(G49:G50)</f>
        <v>151.37140898250001</v>
      </c>
      <c r="H51" s="64">
        <f>G51-D51</f>
        <v>0.78749999999999432</v>
      </c>
      <c r="I51" s="65">
        <f>IF(ISERROR(H51/D51),0,(H51/D51))</f>
        <v>5.2296424320576835E-3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tabColor theme="1" tint="0.499984740745262"/>
    <pageSetUpPr fitToPage="1"/>
  </sheetPr>
  <dimension ref="A1:K68"/>
  <sheetViews>
    <sheetView tabSelected="1" topLeftCell="A28"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131</v>
      </c>
    </row>
    <row r="4" spans="1:11" x14ac:dyDescent="0.2">
      <c r="A4" s="14" t="s">
        <v>62</v>
      </c>
      <c r="B4" s="14">
        <v>15000</v>
      </c>
    </row>
    <row r="5" spans="1:11" x14ac:dyDescent="0.2">
      <c r="A5" s="14" t="s">
        <v>16</v>
      </c>
      <c r="B5" s="14">
        <f>VLOOKUP($B$3,'Data for Bill Impacts'!$A$3:$Y$25,5,0)</f>
        <v>0</v>
      </c>
    </row>
    <row r="6" spans="1:11" x14ac:dyDescent="0.2">
      <c r="A6" s="14" t="s">
        <v>20</v>
      </c>
      <c r="B6" s="14">
        <f>VLOOKUP($B$3,'Data for Bill Impacts'!$A$3:$Y$25,2,0)</f>
        <v>1.0569999999999999</v>
      </c>
    </row>
    <row r="7" spans="1:11" x14ac:dyDescent="0.2">
      <c r="A7" s="14" t="s">
        <v>15</v>
      </c>
      <c r="B7" s="14">
        <f>VLOOKUP($B$3,'Data for Bill Impacts'!$A$3:$Y$25,4,0)</f>
        <v>750</v>
      </c>
    </row>
    <row r="8" spans="1:11" x14ac:dyDescent="0.2">
      <c r="A8" s="14" t="s">
        <v>82</v>
      </c>
      <c r="B8" s="14">
        <f>B4*B6</f>
        <v>15855</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2.8024968886842794E-2</v>
      </c>
      <c r="K12" s="105"/>
    </row>
    <row r="13" spans="1:11" x14ac:dyDescent="0.2">
      <c r="A13" s="106" t="s">
        <v>32</v>
      </c>
      <c r="B13" s="72">
        <f>IF(B4&gt;B7,(B4)-B7,0)</f>
        <v>14250</v>
      </c>
      <c r="C13" s="20">
        <v>0.121</v>
      </c>
      <c r="D13" s="21">
        <f>B13*C13</f>
        <v>1724.25</v>
      </c>
      <c r="E13" s="72">
        <f t="shared" ref="E13" si="0">B13</f>
        <v>14250</v>
      </c>
      <c r="F13" s="20">
        <f>C13</f>
        <v>0.121</v>
      </c>
      <c r="G13" s="21">
        <f>E13*F13</f>
        <v>1724.25</v>
      </c>
      <c r="H13" s="21">
        <f t="shared" ref="H13:H46" si="1">G13-D13</f>
        <v>0</v>
      </c>
      <c r="I13" s="22">
        <f t="shared" ref="I13:I46" si="2">IF(ISERROR(H13/D13),0,(H13/D13))</f>
        <v>0</v>
      </c>
      <c r="J13" s="22">
        <f>G13/$G$46</f>
        <v>0.62552818903739404</v>
      </c>
      <c r="K13" s="107"/>
    </row>
    <row r="14" spans="1:11" s="1" customFormat="1" x14ac:dyDescent="0.2">
      <c r="A14" s="45" t="s">
        <v>33</v>
      </c>
      <c r="B14" s="23"/>
      <c r="C14" s="24"/>
      <c r="D14" s="24">
        <f>SUM(D12:D13)</f>
        <v>1801.5</v>
      </c>
      <c r="E14" s="75"/>
      <c r="F14" s="24"/>
      <c r="G14" s="24">
        <f>SUM(G12:G13)</f>
        <v>1801.5</v>
      </c>
      <c r="H14" s="24">
        <f t="shared" si="1"/>
        <v>0</v>
      </c>
      <c r="I14" s="26">
        <f t="shared" si="2"/>
        <v>0</v>
      </c>
      <c r="J14" s="26">
        <f>G14/$G$46</f>
        <v>0.65355315792423685</v>
      </c>
      <c r="K14" s="107"/>
    </row>
    <row r="15" spans="1:11" s="1" customFormat="1" x14ac:dyDescent="0.2">
      <c r="A15" s="108" t="s">
        <v>34</v>
      </c>
      <c r="B15" s="74">
        <f>B4*0.65</f>
        <v>9750</v>
      </c>
      <c r="C15" s="27">
        <v>8.6999999999999994E-2</v>
      </c>
      <c r="D15" s="21">
        <f>B15*C15</f>
        <v>848.24999999999989</v>
      </c>
      <c r="E15" s="72">
        <f t="shared" ref="E15:F17" si="3">B15</f>
        <v>9750</v>
      </c>
      <c r="F15" s="27">
        <f t="shared" si="3"/>
        <v>8.6999999999999994E-2</v>
      </c>
      <c r="G15" s="21">
        <f>E15*F15</f>
        <v>848.24999999999989</v>
      </c>
      <c r="H15" s="21">
        <f t="shared" si="1"/>
        <v>0</v>
      </c>
      <c r="I15" s="22">
        <f t="shared" si="2"/>
        <v>0</v>
      </c>
      <c r="J15" s="22"/>
      <c r="K15" s="107">
        <f t="shared" ref="K15:K41" si="4">G15/$G$51</f>
        <v>0.32491775939367618</v>
      </c>
    </row>
    <row r="16" spans="1:11" s="1" customFormat="1" x14ac:dyDescent="0.2">
      <c r="A16" s="108" t="s">
        <v>35</v>
      </c>
      <c r="B16" s="74">
        <f>B4*0.17</f>
        <v>2550</v>
      </c>
      <c r="C16" s="27">
        <v>0.13200000000000001</v>
      </c>
      <c r="D16" s="21">
        <f>B16*C16</f>
        <v>336.6</v>
      </c>
      <c r="E16" s="72">
        <f t="shared" si="3"/>
        <v>2550</v>
      </c>
      <c r="F16" s="27">
        <f t="shared" si="3"/>
        <v>0.13200000000000001</v>
      </c>
      <c r="G16" s="21">
        <f>E16*F16</f>
        <v>336.6</v>
      </c>
      <c r="H16" s="21">
        <f t="shared" si="1"/>
        <v>0</v>
      </c>
      <c r="I16" s="22">
        <f t="shared" si="2"/>
        <v>0</v>
      </c>
      <c r="J16" s="22"/>
      <c r="K16" s="107">
        <f t="shared" si="4"/>
        <v>0.12893288277266304</v>
      </c>
    </row>
    <row r="17" spans="1:11" s="1" customFormat="1" x14ac:dyDescent="0.2">
      <c r="A17" s="108" t="s">
        <v>36</v>
      </c>
      <c r="B17" s="74">
        <f>B4*0.18</f>
        <v>2700</v>
      </c>
      <c r="C17" s="27">
        <v>0.18</v>
      </c>
      <c r="D17" s="21">
        <f>B17*C17</f>
        <v>486</v>
      </c>
      <c r="E17" s="72">
        <f t="shared" si="3"/>
        <v>2700</v>
      </c>
      <c r="F17" s="27">
        <f t="shared" si="3"/>
        <v>0.18</v>
      </c>
      <c r="G17" s="21">
        <f>E17*F17</f>
        <v>486</v>
      </c>
      <c r="H17" s="21">
        <f t="shared" si="1"/>
        <v>0</v>
      </c>
      <c r="I17" s="22">
        <f t="shared" si="2"/>
        <v>0</v>
      </c>
      <c r="J17" s="22"/>
      <c r="K17" s="107">
        <f t="shared" si="4"/>
        <v>0.18615977726534236</v>
      </c>
    </row>
    <row r="18" spans="1:11" s="1" customFormat="1" x14ac:dyDescent="0.2">
      <c r="A18" s="60" t="s">
        <v>37</v>
      </c>
      <c r="B18" s="28"/>
      <c r="C18" s="29"/>
      <c r="D18" s="29">
        <f>SUM(D15:D17)</f>
        <v>1670.85</v>
      </c>
      <c r="E18" s="76"/>
      <c r="F18" s="29"/>
      <c r="G18" s="29">
        <f>SUM(G15:G17)</f>
        <v>1670.85</v>
      </c>
      <c r="H18" s="30">
        <f t="shared" si="1"/>
        <v>0</v>
      </c>
      <c r="I18" s="31">
        <f t="shared" si="2"/>
        <v>0</v>
      </c>
      <c r="J18" s="32">
        <f t="shared" ref="J18:J24" si="5">G18/$G$46</f>
        <v>0.60615558918551826</v>
      </c>
      <c r="K18" s="61">
        <f t="shared" si="4"/>
        <v>0.64001041943168158</v>
      </c>
    </row>
    <row r="19" spans="1:11" x14ac:dyDescent="0.2">
      <c r="A19" s="106" t="s">
        <v>38</v>
      </c>
      <c r="B19" s="72">
        <v>1</v>
      </c>
      <c r="C19" s="77">
        <f>VLOOKUP($B$3,'Data for Bill Impacts'!$A$3:$Y$25,7,0)</f>
        <v>30.24</v>
      </c>
      <c r="D19" s="21">
        <f>B19*C19</f>
        <v>30.24</v>
      </c>
      <c r="E19" s="72">
        <f t="shared" ref="E19:E41" si="6">B19</f>
        <v>1</v>
      </c>
      <c r="F19" s="77">
        <f>VLOOKUP($B$3,'Data for Bill Impacts'!$A$3:$Y$25,17,0)</f>
        <v>35.68</v>
      </c>
      <c r="G19" s="21">
        <f>E19*F19</f>
        <v>35.68</v>
      </c>
      <c r="H19" s="21">
        <f t="shared" si="1"/>
        <v>5.4400000000000013</v>
      </c>
      <c r="I19" s="22">
        <f t="shared" si="2"/>
        <v>0.17989417989417994</v>
      </c>
      <c r="J19" s="22">
        <f t="shared" si="5"/>
        <v>1.2944089189418135E-2</v>
      </c>
      <c r="K19" s="107">
        <f t="shared" si="4"/>
        <v>1.3667038791825957E-2</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15000</v>
      </c>
      <c r="C23" s="125">
        <f>VLOOKUP($B$3,'Data for Bill Impacts'!$A$3:$Y$25,10,0)</f>
        <v>1.7399999999999999E-2</v>
      </c>
      <c r="D23" s="21">
        <f>B23*C23</f>
        <v>261</v>
      </c>
      <c r="E23" s="72">
        <f t="shared" si="6"/>
        <v>15000</v>
      </c>
      <c r="F23" s="77">
        <f>VLOOKUP($B$3,'Data for Bill Impacts'!$A$3:$Y$25,19,0)</f>
        <v>2.06E-2</v>
      </c>
      <c r="G23" s="21">
        <f>E23*F23</f>
        <v>309</v>
      </c>
      <c r="H23" s="21">
        <f t="shared" si="1"/>
        <v>48</v>
      </c>
      <c r="I23" s="22">
        <f t="shared" si="2"/>
        <v>0.18390804597701149</v>
      </c>
      <c r="J23" s="22">
        <f t="shared" si="5"/>
        <v>0.11209987554737118</v>
      </c>
      <c r="K23" s="107">
        <f t="shared" si="4"/>
        <v>0.11836084603907569</v>
      </c>
    </row>
    <row r="24" spans="1:11" x14ac:dyDescent="0.2">
      <c r="A24" s="106" t="s">
        <v>129</v>
      </c>
      <c r="B24" s="72">
        <f>IF($B$9="kWh",$B$4,$B$5)</f>
        <v>15000</v>
      </c>
      <c r="C24" s="77">
        <f>VLOOKUP($B$3,'Data for Bill Impacts'!$A$3:$Y$25,14,0)</f>
        <v>0</v>
      </c>
      <c r="D24" s="33">
        <f>B24*C24</f>
        <v>0</v>
      </c>
      <c r="E24" s="72">
        <f t="shared" si="6"/>
        <v>15000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291.24</v>
      </c>
      <c r="E25" s="72"/>
      <c r="F25" s="34"/>
      <c r="G25" s="34">
        <f>SUM(G19:G24)</f>
        <v>344.68</v>
      </c>
      <c r="H25" s="34">
        <f t="shared" si="1"/>
        <v>53.44</v>
      </c>
      <c r="I25" s="35">
        <f t="shared" si="2"/>
        <v>0.18349127867051229</v>
      </c>
      <c r="J25" s="35">
        <f>G25/$G$46</f>
        <v>0.12504396473678933</v>
      </c>
      <c r="K25" s="110">
        <f t="shared" si="4"/>
        <v>0.13202788483090164</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2.8659838732175805E-4</v>
      </c>
      <c r="K26" s="107">
        <f t="shared" si="4"/>
        <v>3.0260539925847834E-4</v>
      </c>
    </row>
    <row r="27" spans="1:11" s="1" customFormat="1" x14ac:dyDescent="0.2">
      <c r="A27" s="118" t="s">
        <v>75</v>
      </c>
      <c r="B27" s="119">
        <f>B8-B4</f>
        <v>855</v>
      </c>
      <c r="C27" s="120">
        <f>IF(B4&gt;B7,C13,C12)</f>
        <v>0.121</v>
      </c>
      <c r="D27" s="21">
        <f>B27*C27</f>
        <v>103.455</v>
      </c>
      <c r="E27" s="72">
        <f>B27</f>
        <v>855</v>
      </c>
      <c r="F27" s="120">
        <f>C27</f>
        <v>0.121</v>
      </c>
      <c r="G27" s="21">
        <f>E27*F27</f>
        <v>103.455</v>
      </c>
      <c r="H27" s="21">
        <f t="shared" si="1"/>
        <v>0</v>
      </c>
      <c r="I27" s="22">
        <f>IF(ISERROR(H27/D27),0,(H27/D27))</f>
        <v>0</v>
      </c>
      <c r="J27" s="22">
        <f t="shared" ref="J27:J46" si="9">G27/$G$46</f>
        <v>3.7531691342243642E-2</v>
      </c>
      <c r="K27" s="107">
        <f t="shared" si="4"/>
        <v>3.9627900734539076E-2</v>
      </c>
    </row>
    <row r="28" spans="1:11" s="1" customFormat="1" x14ac:dyDescent="0.2">
      <c r="A28" s="118" t="s">
        <v>74</v>
      </c>
      <c r="B28" s="119">
        <f>B8-B4</f>
        <v>855</v>
      </c>
      <c r="C28" s="120">
        <f>0.65*C15+0.17*C16+0.18*C17</f>
        <v>0.11139</v>
      </c>
      <c r="D28" s="21">
        <f>B28*C28</f>
        <v>95.23845</v>
      </c>
      <c r="E28" s="72">
        <f>B28</f>
        <v>855</v>
      </c>
      <c r="F28" s="120">
        <f>C28</f>
        <v>0.11139</v>
      </c>
      <c r="G28" s="21">
        <f>E28*F28</f>
        <v>95.23845</v>
      </c>
      <c r="H28" s="21">
        <f t="shared" si="1"/>
        <v>0</v>
      </c>
      <c r="I28" s="22">
        <f>IF(ISERROR(H28/D28),0,(H28/D28))</f>
        <v>0</v>
      </c>
      <c r="J28" s="22">
        <f t="shared" si="9"/>
        <v>3.4550868583574541E-2</v>
      </c>
      <c r="K28" s="107">
        <f t="shared" si="4"/>
        <v>3.648059390760585E-2</v>
      </c>
    </row>
    <row r="29" spans="1:11" s="1" customFormat="1" x14ac:dyDescent="0.2">
      <c r="A29" s="109" t="s">
        <v>78</v>
      </c>
      <c r="B29" s="73"/>
      <c r="C29" s="34"/>
      <c r="D29" s="34">
        <f>SUM(D25,D26:D27)</f>
        <v>395.48500000000001</v>
      </c>
      <c r="E29" s="72"/>
      <c r="F29" s="34"/>
      <c r="G29" s="34">
        <f>SUM(G25,G26:G27)</f>
        <v>448.92500000000001</v>
      </c>
      <c r="H29" s="34">
        <f t="shared" si="1"/>
        <v>53.44</v>
      </c>
      <c r="I29" s="35">
        <f>IF(ISERROR(H29/D29),0,(H29/D29))</f>
        <v>0.13512522598834342</v>
      </c>
      <c r="J29" s="35">
        <f t="shared" si="9"/>
        <v>0.16286225446635472</v>
      </c>
      <c r="K29" s="110">
        <f t="shared" si="4"/>
        <v>0.1719583909646992</v>
      </c>
    </row>
    <row r="30" spans="1:11" s="1" customFormat="1" x14ac:dyDescent="0.2">
      <c r="A30" s="109" t="s">
        <v>77</v>
      </c>
      <c r="B30" s="73"/>
      <c r="C30" s="34"/>
      <c r="D30" s="34">
        <f>SUM(D25,D26,D28)</f>
        <v>387.26845000000003</v>
      </c>
      <c r="E30" s="72"/>
      <c r="F30" s="34"/>
      <c r="G30" s="34">
        <f>SUM(G25,G26,G28)</f>
        <v>440.70845000000003</v>
      </c>
      <c r="H30" s="34">
        <f t="shared" si="1"/>
        <v>53.44</v>
      </c>
      <c r="I30" s="35">
        <f>IF(ISERROR(H30/D30),0,(H30/D30))</f>
        <v>0.13799213439669561</v>
      </c>
      <c r="J30" s="35">
        <f t="shared" si="9"/>
        <v>0.15988143170768562</v>
      </c>
      <c r="K30" s="110">
        <f t="shared" si="4"/>
        <v>0.16881108413776599</v>
      </c>
    </row>
    <row r="31" spans="1:11" x14ac:dyDescent="0.2">
      <c r="A31" s="106" t="s">
        <v>40</v>
      </c>
      <c r="B31" s="72">
        <f>B8</f>
        <v>15855</v>
      </c>
      <c r="C31" s="125">
        <f>VLOOKUP($B$3,'Data for Bill Impacts'!$A$3:$Y$25,15,0)</f>
        <v>5.5999999999999999E-3</v>
      </c>
      <c r="D31" s="21">
        <f>B31*C31</f>
        <v>88.787999999999997</v>
      </c>
      <c r="E31" s="72">
        <f t="shared" si="6"/>
        <v>15855</v>
      </c>
      <c r="F31" s="77">
        <f>VLOOKUP($B$3,'Data for Bill Impacts'!$A$3:$Y$25,24,0)</f>
        <v>5.5999999999999999E-3</v>
      </c>
      <c r="G31" s="21">
        <f>E31*F31</f>
        <v>88.787999999999997</v>
      </c>
      <c r="H31" s="21">
        <f t="shared" si="1"/>
        <v>0</v>
      </c>
      <c r="I31" s="22">
        <f t="shared" si="2"/>
        <v>0</v>
      </c>
      <c r="J31" s="22">
        <f t="shared" si="9"/>
        <v>3.2210756472815509E-2</v>
      </c>
      <c r="K31" s="107">
        <f t="shared" si="4"/>
        <v>3.4009782518179453E-2</v>
      </c>
    </row>
    <row r="32" spans="1:11" x14ac:dyDescent="0.2">
      <c r="A32" s="106" t="s">
        <v>41</v>
      </c>
      <c r="B32" s="72">
        <f>B8</f>
        <v>15855</v>
      </c>
      <c r="C32" s="125">
        <f>VLOOKUP($B$3,'Data for Bill Impacts'!$A$3:$Y$25,16,0)</f>
        <v>4.5999999999999999E-3</v>
      </c>
      <c r="D32" s="21">
        <f>B32*C32</f>
        <v>72.932999999999993</v>
      </c>
      <c r="E32" s="72">
        <f t="shared" si="6"/>
        <v>15855</v>
      </c>
      <c r="F32" s="77">
        <f>VLOOKUP($B$3,'Data for Bill Impacts'!$A$3:$Y$25,25,0)</f>
        <v>4.5999999999999999E-3</v>
      </c>
      <c r="G32" s="21">
        <f>E32*F32</f>
        <v>72.932999999999993</v>
      </c>
      <c r="H32" s="21">
        <f t="shared" si="1"/>
        <v>0</v>
      </c>
      <c r="I32" s="22">
        <f t="shared" si="2"/>
        <v>0</v>
      </c>
      <c r="J32" s="22">
        <f t="shared" si="9"/>
        <v>2.6458835674098451E-2</v>
      </c>
      <c r="K32" s="107">
        <f t="shared" si="4"/>
        <v>2.7936607068504551E-2</v>
      </c>
    </row>
    <row r="33" spans="1:11" s="1" customFormat="1" x14ac:dyDescent="0.2">
      <c r="A33" s="109" t="s">
        <v>76</v>
      </c>
      <c r="B33" s="73"/>
      <c r="C33" s="34"/>
      <c r="D33" s="34">
        <f>SUM(D31:D32)</f>
        <v>161.721</v>
      </c>
      <c r="E33" s="72"/>
      <c r="F33" s="34"/>
      <c r="G33" s="34">
        <f>SUM(G31:G32)</f>
        <v>161.721</v>
      </c>
      <c r="H33" s="34">
        <f t="shared" si="1"/>
        <v>0</v>
      </c>
      <c r="I33" s="35">
        <f t="shared" si="2"/>
        <v>0</v>
      </c>
      <c r="J33" s="35">
        <f t="shared" si="9"/>
        <v>5.8669592146913967E-2</v>
      </c>
      <c r="K33" s="110">
        <f t="shared" si="4"/>
        <v>6.1946389586684011E-2</v>
      </c>
    </row>
    <row r="34" spans="1:11" s="1" customFormat="1" ht="13.5" customHeight="1" x14ac:dyDescent="0.2">
      <c r="A34" s="109" t="s">
        <v>93</v>
      </c>
      <c r="B34" s="73"/>
      <c r="C34" s="34"/>
      <c r="D34" s="34">
        <f>D29+D33</f>
        <v>557.20600000000002</v>
      </c>
      <c r="E34" s="72"/>
      <c r="F34" s="34"/>
      <c r="G34" s="34">
        <f>G29+G33</f>
        <v>610.64599999999996</v>
      </c>
      <c r="H34" s="34">
        <f t="shared" si="1"/>
        <v>53.439999999999941</v>
      </c>
      <c r="I34" s="35">
        <f t="shared" si="2"/>
        <v>9.5907079248967061E-2</v>
      </c>
      <c r="J34" s="35">
        <f t="shared" si="9"/>
        <v>0.22153184661326866</v>
      </c>
      <c r="K34" s="110">
        <f t="shared" si="4"/>
        <v>0.2339047805513832</v>
      </c>
    </row>
    <row r="35" spans="1:11" s="1" customFormat="1" ht="13.5" customHeight="1" x14ac:dyDescent="0.2">
      <c r="A35" s="109" t="s">
        <v>94</v>
      </c>
      <c r="B35" s="73"/>
      <c r="C35" s="34"/>
      <c r="D35" s="34">
        <f>D30+D33</f>
        <v>548.98945000000003</v>
      </c>
      <c r="E35" s="72"/>
      <c r="F35" s="34"/>
      <c r="G35" s="34">
        <f>G30+G33</f>
        <v>602.42945000000009</v>
      </c>
      <c r="H35" s="34">
        <f t="shared" si="1"/>
        <v>53.440000000000055</v>
      </c>
      <c r="I35" s="35">
        <f t="shared" si="2"/>
        <v>9.7342489914879149E-2</v>
      </c>
      <c r="J35" s="35">
        <f t="shared" si="9"/>
        <v>0.2185510238545996</v>
      </c>
      <c r="K35" s="110">
        <f t="shared" si="4"/>
        <v>0.23075747372445002</v>
      </c>
    </row>
    <row r="36" spans="1:11" x14ac:dyDescent="0.2">
      <c r="A36" s="106" t="s">
        <v>42</v>
      </c>
      <c r="B36" s="72">
        <f>B8</f>
        <v>15855</v>
      </c>
      <c r="C36" s="33">
        <v>3.5999999999999999E-3</v>
      </c>
      <c r="D36" s="21">
        <f>B36*C36</f>
        <v>57.077999999999996</v>
      </c>
      <c r="E36" s="72">
        <f t="shared" si="6"/>
        <v>15855</v>
      </c>
      <c r="F36" s="33">
        <v>3.5999999999999999E-3</v>
      </c>
      <c r="G36" s="21">
        <f>E36*F36</f>
        <v>57.077999999999996</v>
      </c>
      <c r="H36" s="21">
        <f t="shared" si="1"/>
        <v>0</v>
      </c>
      <c r="I36" s="22">
        <f t="shared" si="2"/>
        <v>0</v>
      </c>
      <c r="J36" s="22">
        <f t="shared" si="9"/>
        <v>2.0706914875381396E-2</v>
      </c>
      <c r="K36" s="107">
        <f t="shared" si="4"/>
        <v>2.186343161882965E-2</v>
      </c>
    </row>
    <row r="37" spans="1:11" x14ac:dyDescent="0.2">
      <c r="A37" s="106" t="s">
        <v>43</v>
      </c>
      <c r="B37" s="72">
        <f>B8</f>
        <v>15855</v>
      </c>
      <c r="C37" s="33">
        <v>2.0999999999999999E-3</v>
      </c>
      <c r="D37" s="21">
        <f>B37*C37</f>
        <v>33.295499999999997</v>
      </c>
      <c r="E37" s="72">
        <f t="shared" si="6"/>
        <v>15855</v>
      </c>
      <c r="F37" s="33">
        <v>2.0999999999999999E-3</v>
      </c>
      <c r="G37" s="21">
        <f>E37*F37</f>
        <v>33.295499999999997</v>
      </c>
      <c r="H37" s="21">
        <f>G37-D37</f>
        <v>0</v>
      </c>
      <c r="I37" s="22">
        <f t="shared" si="2"/>
        <v>0</v>
      </c>
      <c r="J37" s="22">
        <f t="shared" si="9"/>
        <v>1.2079033677305815E-2</v>
      </c>
      <c r="K37" s="107">
        <f t="shared" si="4"/>
        <v>1.2753668444317296E-2</v>
      </c>
    </row>
    <row r="38" spans="1:11" x14ac:dyDescent="0.2">
      <c r="A38" s="106" t="s">
        <v>99</v>
      </c>
      <c r="B38" s="72">
        <f>B8</f>
        <v>15855</v>
      </c>
      <c r="C38" s="33">
        <v>1.1000000000000001E-3</v>
      </c>
      <c r="D38" s="21">
        <f>B38*C38</f>
        <v>17.4405</v>
      </c>
      <c r="E38" s="72">
        <f t="shared" si="6"/>
        <v>15855</v>
      </c>
      <c r="F38" s="33">
        <v>1.1000000000000001E-3</v>
      </c>
      <c r="G38" s="21">
        <f>E38*F38</f>
        <v>17.4405</v>
      </c>
      <c r="H38" s="21">
        <f>G38-D38</f>
        <v>0</v>
      </c>
      <c r="I38" s="22">
        <f t="shared" si="2"/>
        <v>0</v>
      </c>
      <c r="J38" s="22">
        <f t="shared" si="9"/>
        <v>6.327112878588761E-3</v>
      </c>
      <c r="K38" s="107">
        <f t="shared" si="4"/>
        <v>6.6804929946423933E-3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9.0695692190429755E-5</v>
      </c>
      <c r="K39" s="107">
        <f t="shared" si="4"/>
        <v>9.57612022969868E-5</v>
      </c>
    </row>
    <row r="40" spans="1:11" s="1" customFormat="1" x14ac:dyDescent="0.2">
      <c r="A40" s="109" t="s">
        <v>45</v>
      </c>
      <c r="B40" s="73"/>
      <c r="C40" s="34"/>
      <c r="D40" s="34">
        <f>SUM(D36:D39)</f>
        <v>108.06399999999999</v>
      </c>
      <c r="E40" s="72"/>
      <c r="F40" s="34"/>
      <c r="G40" s="34">
        <f>SUM(G36:G39)</f>
        <v>108.06399999999999</v>
      </c>
      <c r="H40" s="34">
        <f t="shared" si="1"/>
        <v>0</v>
      </c>
      <c r="I40" s="35">
        <f t="shared" si="2"/>
        <v>0</v>
      </c>
      <c r="J40" s="35">
        <f t="shared" si="9"/>
        <v>3.9203757123466403E-2</v>
      </c>
      <c r="K40" s="110">
        <f t="shared" si="4"/>
        <v>4.1393354260086328E-2</v>
      </c>
    </row>
    <row r="41" spans="1:11" s="1" customFormat="1" ht="13.5" thickBot="1" x14ac:dyDescent="0.25">
      <c r="A41" s="111" t="s">
        <v>46</v>
      </c>
      <c r="B41" s="112">
        <f>B4</f>
        <v>15000</v>
      </c>
      <c r="C41" s="113">
        <v>7.0000000000000001E-3</v>
      </c>
      <c r="D41" s="114">
        <f>B41*C41</f>
        <v>105</v>
      </c>
      <c r="E41" s="115">
        <f t="shared" si="6"/>
        <v>15000</v>
      </c>
      <c r="F41" s="113">
        <f>C41</f>
        <v>7.0000000000000001E-3</v>
      </c>
      <c r="G41" s="114">
        <f>E41*F41</f>
        <v>105</v>
      </c>
      <c r="H41" s="114">
        <f t="shared" si="1"/>
        <v>0</v>
      </c>
      <c r="I41" s="116">
        <f t="shared" si="2"/>
        <v>0</v>
      </c>
      <c r="J41" s="116">
        <f t="shared" si="9"/>
        <v>3.8092190719980497E-2</v>
      </c>
      <c r="K41" s="117">
        <f t="shared" si="4"/>
        <v>4.0219704964734454E-2</v>
      </c>
    </row>
    <row r="42" spans="1:11" s="1" customFormat="1" x14ac:dyDescent="0.2">
      <c r="A42" s="36" t="s">
        <v>107</v>
      </c>
      <c r="B42" s="37"/>
      <c r="C42" s="38"/>
      <c r="D42" s="38">
        <f>SUM(D14,D25,D26,D27,D33,D40,D41)</f>
        <v>2571.7699999999995</v>
      </c>
      <c r="E42" s="37"/>
      <c r="F42" s="38"/>
      <c r="G42" s="38">
        <f>SUM(G14,G25,G26,G27,G33,G40,G41)</f>
        <v>2625.2099999999996</v>
      </c>
      <c r="H42" s="38">
        <f t="shared" si="1"/>
        <v>53.440000000000055</v>
      </c>
      <c r="I42" s="39">
        <f>IF(ISERROR(H42/D42),0,(H42/D42))</f>
        <v>2.0779463171278951E-2</v>
      </c>
      <c r="J42" s="39">
        <f t="shared" si="9"/>
        <v>0.95238095238095222</v>
      </c>
      <c r="K42" s="40"/>
    </row>
    <row r="43" spans="1:11" x14ac:dyDescent="0.2">
      <c r="A43" s="143" t="s">
        <v>108</v>
      </c>
      <c r="B43" s="42"/>
      <c r="C43" s="25">
        <v>0.13</v>
      </c>
      <c r="D43" s="25">
        <f>D42*C43</f>
        <v>334.33009999999996</v>
      </c>
      <c r="E43" s="25"/>
      <c r="F43" s="25">
        <f>C43</f>
        <v>0.13</v>
      </c>
      <c r="G43" s="25">
        <f>G42*F43</f>
        <v>341.27729999999997</v>
      </c>
      <c r="H43" s="25">
        <f t="shared" si="1"/>
        <v>6.9472000000000094</v>
      </c>
      <c r="I43" s="43">
        <f t="shared" si="2"/>
        <v>2.0779463171278954E-2</v>
      </c>
      <c r="J43" s="43">
        <f t="shared" si="9"/>
        <v>0.1238095238095238</v>
      </c>
      <c r="K43" s="44"/>
    </row>
    <row r="44" spans="1:11" s="1" customFormat="1" x14ac:dyDescent="0.2">
      <c r="A44" s="45" t="s">
        <v>109</v>
      </c>
      <c r="B44" s="23"/>
      <c r="C44" s="24"/>
      <c r="D44" s="24">
        <f>SUM(D42:D43)</f>
        <v>2906.1000999999997</v>
      </c>
      <c r="E44" s="24"/>
      <c r="F44" s="24"/>
      <c r="G44" s="24">
        <f>SUM(G42:G43)</f>
        <v>2966.4872999999998</v>
      </c>
      <c r="H44" s="24">
        <f t="shared" si="1"/>
        <v>60.387200000000121</v>
      </c>
      <c r="I44" s="26">
        <f t="shared" si="2"/>
        <v>2.0779463171278968E-2</v>
      </c>
      <c r="J44" s="26">
        <f t="shared" si="9"/>
        <v>1.0761904761904761</v>
      </c>
      <c r="K44" s="46"/>
    </row>
    <row r="45" spans="1:11" x14ac:dyDescent="0.2">
      <c r="A45" s="41" t="s">
        <v>110</v>
      </c>
      <c r="B45" s="42"/>
      <c r="C45" s="25">
        <v>-0.08</v>
      </c>
      <c r="D45" s="25">
        <f>D42*C45</f>
        <v>-205.74159999999998</v>
      </c>
      <c r="E45" s="25"/>
      <c r="F45" s="25">
        <f>C45</f>
        <v>-0.08</v>
      </c>
      <c r="G45" s="25">
        <f>G42*F45</f>
        <v>-210.01679999999996</v>
      </c>
      <c r="H45" s="25">
        <f t="shared" si="1"/>
        <v>-4.2751999999999839</v>
      </c>
      <c r="I45" s="43">
        <f t="shared" si="2"/>
        <v>2.077946317127885E-2</v>
      </c>
      <c r="J45" s="43">
        <f t="shared" si="9"/>
        <v>-7.6190476190476183E-2</v>
      </c>
      <c r="K45" s="44"/>
    </row>
    <row r="46" spans="1:11" s="1" customFormat="1" ht="13.5" thickBot="1" x14ac:dyDescent="0.25">
      <c r="A46" s="47" t="s">
        <v>111</v>
      </c>
      <c r="B46" s="48"/>
      <c r="C46" s="49"/>
      <c r="D46" s="49">
        <f>SUM(D44:D45)</f>
        <v>2700.3584999999998</v>
      </c>
      <c r="E46" s="49"/>
      <c r="F46" s="49"/>
      <c r="G46" s="49">
        <f>SUM(G44:G45)</f>
        <v>2756.4704999999999</v>
      </c>
      <c r="H46" s="49">
        <f t="shared" si="1"/>
        <v>56.11200000000008</v>
      </c>
      <c r="I46" s="50">
        <f t="shared" si="2"/>
        <v>2.0779463171278954E-2</v>
      </c>
      <c r="J46" s="50">
        <f t="shared" si="9"/>
        <v>1</v>
      </c>
      <c r="K46" s="51"/>
    </row>
    <row r="47" spans="1:11" x14ac:dyDescent="0.2">
      <c r="A47" s="52" t="s">
        <v>112</v>
      </c>
      <c r="B47" s="53"/>
      <c r="C47" s="54"/>
      <c r="D47" s="54">
        <f>SUM(D18,D25,D26,D28,D33,D40,D41)</f>
        <v>2432.9034499999998</v>
      </c>
      <c r="E47" s="54"/>
      <c r="F47" s="54"/>
      <c r="G47" s="54">
        <f>SUM(G18,G25,G26,G28,G33,G40,G41)</f>
        <v>2486.3434499999998</v>
      </c>
      <c r="H47" s="54">
        <f>G47-D47</f>
        <v>53.440000000000055</v>
      </c>
      <c r="I47" s="55">
        <f>IF(ISERROR(H47/D47),0,(H47/D47))</f>
        <v>2.1965524361437384E-2</v>
      </c>
      <c r="J47" s="55"/>
      <c r="K47" s="56">
        <f>G47/$G$51</f>
        <v>0.95238095238095233</v>
      </c>
    </row>
    <row r="48" spans="1:11" x14ac:dyDescent="0.2">
      <c r="A48" s="57" t="s">
        <v>108</v>
      </c>
      <c r="B48" s="58"/>
      <c r="C48" s="30">
        <v>0.13</v>
      </c>
      <c r="D48" s="30">
        <f>D47*C48</f>
        <v>316.27744849999999</v>
      </c>
      <c r="E48" s="30"/>
      <c r="F48" s="30">
        <f>C48</f>
        <v>0.13</v>
      </c>
      <c r="G48" s="30">
        <f>G47*F48</f>
        <v>323.2246485</v>
      </c>
      <c r="H48" s="30">
        <f>G48-D48</f>
        <v>6.9472000000000094</v>
      </c>
      <c r="I48" s="31">
        <f>IF(ISERROR(H48/D48),0,(H48/D48))</f>
        <v>2.1965524361437391E-2</v>
      </c>
      <c r="J48" s="31"/>
      <c r="K48" s="59">
        <f>G48/$G$51</f>
        <v>0.12380952380952381</v>
      </c>
    </row>
    <row r="49" spans="1:11" x14ac:dyDescent="0.2">
      <c r="A49" s="136" t="s">
        <v>113</v>
      </c>
      <c r="B49" s="28"/>
      <c r="C49" s="29"/>
      <c r="D49" s="29">
        <f>SUM(D47:D48)</f>
        <v>2749.1808984999998</v>
      </c>
      <c r="E49" s="29"/>
      <c r="F49" s="29"/>
      <c r="G49" s="29">
        <f>SUM(G47:G48)</f>
        <v>2809.5680984999999</v>
      </c>
      <c r="H49" s="29">
        <f>G49-D49</f>
        <v>60.387200000000121</v>
      </c>
      <c r="I49" s="32">
        <f>IF(ISERROR(H49/D49),0,(H49/D49))</f>
        <v>2.1965524361437404E-2</v>
      </c>
      <c r="J49" s="32"/>
      <c r="K49" s="61">
        <f>G49/$G$51</f>
        <v>1.0761904761904761</v>
      </c>
    </row>
    <row r="50" spans="1:11" x14ac:dyDescent="0.2">
      <c r="A50" s="57" t="s">
        <v>110</v>
      </c>
      <c r="B50" s="58"/>
      <c r="C50" s="30">
        <v>-0.08</v>
      </c>
      <c r="D50" s="30">
        <f>D47*C50</f>
        <v>-194.63227599999999</v>
      </c>
      <c r="E50" s="30"/>
      <c r="F50" s="30">
        <f>C50</f>
        <v>-0.08</v>
      </c>
      <c r="G50" s="30">
        <f>G47*F50</f>
        <v>-198.907476</v>
      </c>
      <c r="H50" s="30">
        <f>G50-D50</f>
        <v>-4.2752000000000123</v>
      </c>
      <c r="I50" s="31">
        <f>IF(ISERROR(H50/D50),0,(H50/D50))</f>
        <v>2.1965524361437425E-2</v>
      </c>
      <c r="J50" s="31"/>
      <c r="K50" s="59">
        <f>G50/$G$51</f>
        <v>-7.6190476190476183E-2</v>
      </c>
    </row>
    <row r="51" spans="1:11" ht="13.5" thickBot="1" x14ac:dyDescent="0.25">
      <c r="A51" s="62" t="s">
        <v>114</v>
      </c>
      <c r="B51" s="63"/>
      <c r="C51" s="64"/>
      <c r="D51" s="64">
        <f>SUM(D49:D50)</f>
        <v>2554.5486225</v>
      </c>
      <c r="E51" s="64"/>
      <c r="F51" s="64"/>
      <c r="G51" s="64">
        <f>SUM(G49:G50)</f>
        <v>2610.6606225</v>
      </c>
      <c r="H51" s="64">
        <f>G51-D51</f>
        <v>56.11200000000008</v>
      </c>
      <c r="I51" s="65">
        <f>IF(ISERROR(H51/D51),0,(H51/D51))</f>
        <v>2.1965524361437391E-2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1" tint="0.499984740745262"/>
    <pageSetUpPr fitToPage="1"/>
  </sheetPr>
  <dimension ref="A1:K68"/>
  <sheetViews>
    <sheetView tabSelected="1" topLeftCell="A13"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120</v>
      </c>
    </row>
    <row r="4" spans="1:11" x14ac:dyDescent="0.2">
      <c r="A4" s="14" t="s">
        <v>62</v>
      </c>
      <c r="B4" s="14">
        <v>1000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750</v>
      </c>
    </row>
    <row r="8" spans="1:11" x14ac:dyDescent="0.2">
      <c r="A8" s="14" t="s">
        <v>82</v>
      </c>
      <c r="B8" s="14">
        <f>B4*B6</f>
        <v>1066.7</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0.36058902041441476</v>
      </c>
      <c r="K12" s="105"/>
    </row>
    <row r="13" spans="1:11" x14ac:dyDescent="0.2">
      <c r="A13" s="106" t="s">
        <v>32</v>
      </c>
      <c r="B13" s="72">
        <f>IF(B4&gt;B7,(B4)-B7,0)</f>
        <v>250</v>
      </c>
      <c r="C13" s="20">
        <v>0.121</v>
      </c>
      <c r="D13" s="21">
        <f>B13*C13</f>
        <v>30.25</v>
      </c>
      <c r="E13" s="72">
        <f t="shared" ref="E13" si="0">B13</f>
        <v>250</v>
      </c>
      <c r="F13" s="20">
        <f>C13</f>
        <v>0.121</v>
      </c>
      <c r="G13" s="21">
        <f>E13*F13</f>
        <v>30.25</v>
      </c>
      <c r="H13" s="21">
        <f t="shared" ref="H13:H46" si="1">G13-D13</f>
        <v>0</v>
      </c>
      <c r="I13" s="22">
        <f t="shared" ref="I13:I46" si="2">IF(ISERROR(H13/D13),0,(H13/D13))</f>
        <v>0</v>
      </c>
      <c r="J13" s="22">
        <f>G13/$G$46</f>
        <v>0.14120152579334688</v>
      </c>
      <c r="K13" s="107"/>
    </row>
    <row r="14" spans="1:11" s="1" customFormat="1" x14ac:dyDescent="0.2">
      <c r="A14" s="45" t="s">
        <v>33</v>
      </c>
      <c r="B14" s="23"/>
      <c r="C14" s="24"/>
      <c r="D14" s="24">
        <f>SUM(D12:D13)</f>
        <v>107.5</v>
      </c>
      <c r="E14" s="75"/>
      <c r="F14" s="24"/>
      <c r="G14" s="24">
        <f>SUM(G12:G13)</f>
        <v>107.5</v>
      </c>
      <c r="H14" s="24">
        <f t="shared" si="1"/>
        <v>0</v>
      </c>
      <c r="I14" s="26">
        <f t="shared" si="2"/>
        <v>0</v>
      </c>
      <c r="J14" s="26">
        <f>G14/$G$46</f>
        <v>0.50179054620776165</v>
      </c>
      <c r="K14" s="107"/>
    </row>
    <row r="15" spans="1:11" s="1" customFormat="1" x14ac:dyDescent="0.2">
      <c r="A15" s="108" t="s">
        <v>34</v>
      </c>
      <c r="B15" s="74">
        <f>B4*0.65</f>
        <v>650</v>
      </c>
      <c r="C15" s="27">
        <v>8.6999999999999994E-2</v>
      </c>
      <c r="D15" s="21">
        <f>B15*C15</f>
        <v>56.55</v>
      </c>
      <c r="E15" s="72">
        <f t="shared" ref="E15:F17" si="3">B15</f>
        <v>650</v>
      </c>
      <c r="F15" s="27">
        <f t="shared" si="3"/>
        <v>8.6999999999999994E-2</v>
      </c>
      <c r="G15" s="21">
        <f>E15*F15</f>
        <v>56.55</v>
      </c>
      <c r="H15" s="21">
        <f t="shared" si="1"/>
        <v>0</v>
      </c>
      <c r="I15" s="22">
        <f t="shared" si="2"/>
        <v>0</v>
      </c>
      <c r="J15" s="22"/>
      <c r="K15" s="107">
        <f t="shared" ref="K15:K41" si="4">G15/$G$51</f>
        <v>0.25982764628749466</v>
      </c>
    </row>
    <row r="16" spans="1:11" s="1" customFormat="1" x14ac:dyDescent="0.2">
      <c r="A16" s="108" t="s">
        <v>35</v>
      </c>
      <c r="B16" s="74">
        <f>B4*0.17</f>
        <v>170</v>
      </c>
      <c r="C16" s="27">
        <v>0.13200000000000001</v>
      </c>
      <c r="D16" s="21">
        <f>B16*C16</f>
        <v>22.44</v>
      </c>
      <c r="E16" s="72">
        <f t="shared" si="3"/>
        <v>170</v>
      </c>
      <c r="F16" s="27">
        <f t="shared" si="3"/>
        <v>0.13200000000000001</v>
      </c>
      <c r="G16" s="21">
        <f>E16*F16</f>
        <v>22.44</v>
      </c>
      <c r="H16" s="21">
        <f t="shared" si="1"/>
        <v>0</v>
      </c>
      <c r="I16" s="22">
        <f t="shared" si="2"/>
        <v>0</v>
      </c>
      <c r="J16" s="22"/>
      <c r="K16" s="107">
        <f t="shared" si="4"/>
        <v>0.10310402091408276</v>
      </c>
    </row>
    <row r="17" spans="1:11" s="1" customFormat="1" x14ac:dyDescent="0.2">
      <c r="A17" s="108" t="s">
        <v>36</v>
      </c>
      <c r="B17" s="74">
        <f>B4*0.18</f>
        <v>180</v>
      </c>
      <c r="C17" s="27">
        <v>0.18</v>
      </c>
      <c r="D17" s="21">
        <f>B17*C17</f>
        <v>32.4</v>
      </c>
      <c r="E17" s="72">
        <f t="shared" si="3"/>
        <v>180</v>
      </c>
      <c r="F17" s="27">
        <f t="shared" si="3"/>
        <v>0.18</v>
      </c>
      <c r="G17" s="21">
        <f>E17*F17</f>
        <v>32.4</v>
      </c>
      <c r="H17" s="21">
        <f t="shared" si="1"/>
        <v>0</v>
      </c>
      <c r="I17" s="22">
        <f t="shared" si="2"/>
        <v>0</v>
      </c>
      <c r="J17" s="22"/>
      <c r="K17" s="107">
        <f t="shared" si="4"/>
        <v>0.14886676816471842</v>
      </c>
    </row>
    <row r="18" spans="1:11" s="1" customFormat="1" x14ac:dyDescent="0.2">
      <c r="A18" s="60" t="s">
        <v>37</v>
      </c>
      <c r="B18" s="28"/>
      <c r="C18" s="29"/>
      <c r="D18" s="29">
        <f>SUM(D15:D17)</f>
        <v>111.38999999999999</v>
      </c>
      <c r="E18" s="76"/>
      <c r="F18" s="29"/>
      <c r="G18" s="29">
        <f>SUM(G15:G17)</f>
        <v>111.38999999999999</v>
      </c>
      <c r="H18" s="30">
        <f t="shared" si="1"/>
        <v>0</v>
      </c>
      <c r="I18" s="31">
        <f t="shared" si="2"/>
        <v>0</v>
      </c>
      <c r="J18" s="32">
        <f t="shared" ref="J18:J24" si="5">G18/$G$46</f>
        <v>0.51994836225193086</v>
      </c>
      <c r="K18" s="61">
        <f t="shared" si="4"/>
        <v>0.51179843536629577</v>
      </c>
    </row>
    <row r="19" spans="1:11" x14ac:dyDescent="0.2">
      <c r="A19" s="106" t="s">
        <v>38</v>
      </c>
      <c r="B19" s="72">
        <v>1</v>
      </c>
      <c r="C19" s="77">
        <f>VLOOKUP($B$3,'Data for Bill Impacts'!$A$3:$Y$25,7,0)</f>
        <v>40.82</v>
      </c>
      <c r="D19" s="21">
        <f>B19*C19</f>
        <v>40.82</v>
      </c>
      <c r="E19" s="72">
        <f t="shared" ref="E19:E41" si="6">B19</f>
        <v>1</v>
      </c>
      <c r="F19" s="77">
        <f>VLOOKUP($B$3,'Data for Bill Impacts'!$A$3:$Y$25,17,0)</f>
        <v>42.92</v>
      </c>
      <c r="G19" s="21">
        <f>E19*F19</f>
        <v>42.92</v>
      </c>
      <c r="H19" s="21">
        <f t="shared" si="1"/>
        <v>2.1000000000000014</v>
      </c>
      <c r="I19" s="22">
        <f t="shared" si="2"/>
        <v>5.1445369916707534E-2</v>
      </c>
      <c r="J19" s="22">
        <f t="shared" si="5"/>
        <v>0.20034279296034541</v>
      </c>
      <c r="K19" s="107">
        <f t="shared" si="4"/>
        <v>0.19720252128486773</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1000</v>
      </c>
      <c r="C23" s="125">
        <f>VLOOKUP($B$3,'Data for Bill Impacts'!$A$3:$Y$25,10,0)</f>
        <v>1.8700000000000001E-2</v>
      </c>
      <c r="D23" s="21">
        <f>B23*C23</f>
        <v>18.700000000000003</v>
      </c>
      <c r="E23" s="72">
        <f t="shared" si="6"/>
        <v>1000</v>
      </c>
      <c r="F23" s="77">
        <f>VLOOKUP($B$3,'Data for Bill Impacts'!$A$3:$Y$25,19,0)</f>
        <v>1.9900000000000001E-2</v>
      </c>
      <c r="G23" s="21">
        <f>E23*F23</f>
        <v>19.900000000000002</v>
      </c>
      <c r="H23" s="21">
        <f t="shared" si="1"/>
        <v>1.1999999999999993</v>
      </c>
      <c r="I23" s="22">
        <f t="shared" si="2"/>
        <v>6.4171122994652358E-2</v>
      </c>
      <c r="J23" s="22">
        <f t="shared" si="5"/>
        <v>9.2889598786367045E-2</v>
      </c>
      <c r="K23" s="107">
        <f t="shared" si="4"/>
        <v>9.1433601434502992E-2</v>
      </c>
    </row>
    <row r="24" spans="1:11" x14ac:dyDescent="0.2">
      <c r="A24" s="106" t="s">
        <v>129</v>
      </c>
      <c r="B24" s="72">
        <f>IF($B$9="kWh",$B$4,$B$5)</f>
        <v>1000</v>
      </c>
      <c r="C24" s="77">
        <f>VLOOKUP($B$3,'Data for Bill Impacts'!$A$3:$Y$25,14,0)</f>
        <v>0</v>
      </c>
      <c r="D24" s="33">
        <f>B24*C24</f>
        <v>0</v>
      </c>
      <c r="E24" s="72">
        <f t="shared" si="6"/>
        <v>1000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59.52</v>
      </c>
      <c r="E25" s="72"/>
      <c r="F25" s="34"/>
      <c r="G25" s="34">
        <f>SUM(G19:G24)</f>
        <v>62.820000000000007</v>
      </c>
      <c r="H25" s="34">
        <f t="shared" si="1"/>
        <v>3.3000000000000043</v>
      </c>
      <c r="I25" s="35">
        <f t="shared" si="2"/>
        <v>5.5443548387096843E-2</v>
      </c>
      <c r="J25" s="35">
        <f>G25/$G$46</f>
        <v>0.29323239174671245</v>
      </c>
      <c r="K25" s="110">
        <f t="shared" si="4"/>
        <v>0.28863612271937072</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3.6875770372477371E-3</v>
      </c>
      <c r="K26" s="107">
        <f t="shared" si="4"/>
        <v>3.629776137349616E-3</v>
      </c>
    </row>
    <row r="27" spans="1:11" s="1" customFormat="1" x14ac:dyDescent="0.2">
      <c r="A27" s="118" t="s">
        <v>75</v>
      </c>
      <c r="B27" s="119">
        <f>B8-B4</f>
        <v>66.700000000000045</v>
      </c>
      <c r="C27" s="120">
        <f>IF(B4&gt;B7,C13,C12)</f>
        <v>0.121</v>
      </c>
      <c r="D27" s="21">
        <f>B27*C27</f>
        <v>8.0707000000000058</v>
      </c>
      <c r="E27" s="72">
        <f>B27</f>
        <v>66.700000000000045</v>
      </c>
      <c r="F27" s="120">
        <f>C27</f>
        <v>0.121</v>
      </c>
      <c r="G27" s="21">
        <f>E27*F27</f>
        <v>8.0707000000000058</v>
      </c>
      <c r="H27" s="21">
        <f t="shared" si="1"/>
        <v>0</v>
      </c>
      <c r="I27" s="22">
        <f>IF(ISERROR(H27/D27),0,(H27/D27))</f>
        <v>0</v>
      </c>
      <c r="J27" s="22">
        <f t="shared" ref="J27:J46" si="9">G27/$G$46</f>
        <v>3.7672567081664977E-2</v>
      </c>
      <c r="K27" s="107">
        <f t="shared" si="4"/>
        <v>3.7082068698364008E-2</v>
      </c>
    </row>
    <row r="28" spans="1:11" s="1" customFormat="1" x14ac:dyDescent="0.2">
      <c r="A28" s="118" t="s">
        <v>74</v>
      </c>
      <c r="B28" s="119">
        <f>B8-B4</f>
        <v>66.700000000000045</v>
      </c>
      <c r="C28" s="120">
        <f>0.65*C15+0.17*C16+0.18*C17</f>
        <v>0.11139</v>
      </c>
      <c r="D28" s="21">
        <f>B28*C28</f>
        <v>7.4297130000000049</v>
      </c>
      <c r="E28" s="72">
        <f>B28</f>
        <v>66.700000000000045</v>
      </c>
      <c r="F28" s="120">
        <f>C28</f>
        <v>0.11139</v>
      </c>
      <c r="G28" s="21">
        <f>E28*F28</f>
        <v>7.4297130000000049</v>
      </c>
      <c r="H28" s="21">
        <f t="shared" si="1"/>
        <v>0</v>
      </c>
      <c r="I28" s="22">
        <f>IF(ISERROR(H28/D28),0,(H28/D28))</f>
        <v>0</v>
      </c>
      <c r="J28" s="22">
        <f t="shared" si="9"/>
        <v>3.4680555762203816E-2</v>
      </c>
      <c r="K28" s="107">
        <f t="shared" si="4"/>
        <v>3.4136955638931953E-2</v>
      </c>
    </row>
    <row r="29" spans="1:11" s="1" customFormat="1" x14ac:dyDescent="0.2">
      <c r="A29" s="109" t="s">
        <v>78</v>
      </c>
      <c r="B29" s="73"/>
      <c r="C29" s="34"/>
      <c r="D29" s="34">
        <f>SUM(D25,D26:D27)</f>
        <v>68.380700000000004</v>
      </c>
      <c r="E29" s="72"/>
      <c r="F29" s="34"/>
      <c r="G29" s="34">
        <f>SUM(G25,G26:G27)</f>
        <v>71.680700000000016</v>
      </c>
      <c r="H29" s="34">
        <f t="shared" si="1"/>
        <v>3.3000000000000114</v>
      </c>
      <c r="I29" s="35">
        <f>IF(ISERROR(H29/D29),0,(H29/D29))</f>
        <v>4.8259231040337566E-2</v>
      </c>
      <c r="J29" s="35">
        <f t="shared" si="9"/>
        <v>0.33459253586562521</v>
      </c>
      <c r="K29" s="110">
        <f t="shared" si="4"/>
        <v>0.32934796755508439</v>
      </c>
    </row>
    <row r="30" spans="1:11" s="1" customFormat="1" x14ac:dyDescent="0.2">
      <c r="A30" s="109" t="s">
        <v>77</v>
      </c>
      <c r="B30" s="73"/>
      <c r="C30" s="34"/>
      <c r="D30" s="34">
        <f>SUM(D25,D26,D28)</f>
        <v>67.739713000000009</v>
      </c>
      <c r="E30" s="72"/>
      <c r="F30" s="34"/>
      <c r="G30" s="34">
        <f>SUM(G25,G26,G28)</f>
        <v>71.039713000000006</v>
      </c>
      <c r="H30" s="34">
        <f t="shared" si="1"/>
        <v>3.2999999999999972</v>
      </c>
      <c r="I30" s="35">
        <f>IF(ISERROR(H30/D30),0,(H30/D30))</f>
        <v>4.8715883989647206E-2</v>
      </c>
      <c r="J30" s="35">
        <f t="shared" si="9"/>
        <v>0.33160052454616401</v>
      </c>
      <c r="K30" s="110">
        <f t="shared" si="4"/>
        <v>0.32640285449565232</v>
      </c>
    </row>
    <row r="31" spans="1:11" x14ac:dyDescent="0.2">
      <c r="A31" s="106" t="s">
        <v>40</v>
      </c>
      <c r="B31" s="72">
        <f>B8</f>
        <v>1066.7</v>
      </c>
      <c r="C31" s="125">
        <f>VLOOKUP($B$3,'Data for Bill Impacts'!$A$3:$Y$25,15,0)</f>
        <v>5.3E-3</v>
      </c>
      <c r="D31" s="21">
        <f>B31*C31</f>
        <v>5.6535100000000007</v>
      </c>
      <c r="E31" s="72">
        <f t="shared" si="6"/>
        <v>1066.7</v>
      </c>
      <c r="F31" s="77">
        <f>VLOOKUP($B$3,'Data for Bill Impacts'!$A$3:$Y$25,24,0)</f>
        <v>5.3E-3</v>
      </c>
      <c r="G31" s="21">
        <f>E31*F31</f>
        <v>5.6535100000000007</v>
      </c>
      <c r="H31" s="21">
        <f t="shared" si="1"/>
        <v>0</v>
      </c>
      <c r="I31" s="22">
        <f t="shared" si="2"/>
        <v>0</v>
      </c>
      <c r="J31" s="22">
        <f t="shared" si="9"/>
        <v>2.638956158968412E-2</v>
      </c>
      <c r="K31" s="107">
        <f t="shared" si="4"/>
        <v>2.5975918595275226E-2</v>
      </c>
    </row>
    <row r="32" spans="1:11" x14ac:dyDescent="0.2">
      <c r="A32" s="106" t="s">
        <v>41</v>
      </c>
      <c r="B32" s="72">
        <f>B8</f>
        <v>1066.7</v>
      </c>
      <c r="C32" s="125">
        <f>VLOOKUP($B$3,'Data for Bill Impacts'!$A$3:$Y$25,16,0)</f>
        <v>4.4000000000000003E-3</v>
      </c>
      <c r="D32" s="21">
        <f>B32*C32</f>
        <v>4.6934800000000001</v>
      </c>
      <c r="E32" s="72">
        <f t="shared" si="6"/>
        <v>1066.7</v>
      </c>
      <c r="F32" s="77">
        <f>VLOOKUP($B$3,'Data for Bill Impacts'!$A$3:$Y$25,25,0)</f>
        <v>4.4000000000000003E-3</v>
      </c>
      <c r="G32" s="21">
        <f>E32*F32</f>
        <v>4.6934800000000001</v>
      </c>
      <c r="H32" s="21">
        <f t="shared" si="1"/>
        <v>0</v>
      </c>
      <c r="I32" s="22">
        <f t="shared" si="2"/>
        <v>0</v>
      </c>
      <c r="J32" s="22">
        <f t="shared" si="9"/>
        <v>2.1908315282001909E-2</v>
      </c>
      <c r="K32" s="107">
        <f t="shared" si="4"/>
        <v>2.1564913550794526E-2</v>
      </c>
    </row>
    <row r="33" spans="1:11" s="1" customFormat="1" x14ac:dyDescent="0.2">
      <c r="A33" s="109" t="s">
        <v>76</v>
      </c>
      <c r="B33" s="73"/>
      <c r="C33" s="34"/>
      <c r="D33" s="34">
        <f>SUM(D31:D32)</f>
        <v>10.346990000000002</v>
      </c>
      <c r="E33" s="72"/>
      <c r="F33" s="34"/>
      <c r="G33" s="34">
        <f>SUM(G31:G32)</f>
        <v>10.346990000000002</v>
      </c>
      <c r="H33" s="34">
        <f t="shared" si="1"/>
        <v>0</v>
      </c>
      <c r="I33" s="35">
        <f t="shared" si="2"/>
        <v>0</v>
      </c>
      <c r="J33" s="35">
        <f t="shared" si="9"/>
        <v>4.8297876871686032E-2</v>
      </c>
      <c r="K33" s="110">
        <f t="shared" si="4"/>
        <v>4.7540832146069759E-2</v>
      </c>
    </row>
    <row r="34" spans="1:11" s="1" customFormat="1" x14ac:dyDescent="0.2">
      <c r="A34" s="109" t="s">
        <v>93</v>
      </c>
      <c r="B34" s="73"/>
      <c r="C34" s="34"/>
      <c r="D34" s="34">
        <f>D29+D33</f>
        <v>78.72769000000001</v>
      </c>
      <c r="E34" s="72"/>
      <c r="F34" s="34"/>
      <c r="G34" s="34">
        <f>G29+G33</f>
        <v>82.027690000000021</v>
      </c>
      <c r="H34" s="34">
        <f t="shared" si="1"/>
        <v>3.3000000000000114</v>
      </c>
      <c r="I34" s="35">
        <f t="shared" si="2"/>
        <v>4.1916636954545609E-2</v>
      </c>
      <c r="J34" s="35">
        <f t="shared" si="9"/>
        <v>0.38289041273731123</v>
      </c>
      <c r="K34" s="110">
        <f t="shared" si="4"/>
        <v>0.37688879970115419</v>
      </c>
    </row>
    <row r="35" spans="1:11" s="1" customFormat="1" x14ac:dyDescent="0.2">
      <c r="A35" s="109" t="s">
        <v>94</v>
      </c>
      <c r="B35" s="73"/>
      <c r="C35" s="34"/>
      <c r="D35" s="34">
        <f>D30+D33</f>
        <v>78.086703000000014</v>
      </c>
      <c r="E35" s="72"/>
      <c r="F35" s="34"/>
      <c r="G35" s="34">
        <f>G30+G33</f>
        <v>81.386703000000011</v>
      </c>
      <c r="H35" s="34">
        <f t="shared" si="1"/>
        <v>3.2999999999999972</v>
      </c>
      <c r="I35" s="35">
        <f t="shared" si="2"/>
        <v>4.2260716270733016E-2</v>
      </c>
      <c r="J35" s="35">
        <f t="shared" si="9"/>
        <v>0.37989840141785003</v>
      </c>
      <c r="K35" s="110">
        <f t="shared" si="4"/>
        <v>0.37394368664172206</v>
      </c>
    </row>
    <row r="36" spans="1:11" x14ac:dyDescent="0.2">
      <c r="A36" s="106" t="s">
        <v>42</v>
      </c>
      <c r="B36" s="72">
        <f>B8</f>
        <v>1066.7</v>
      </c>
      <c r="C36" s="33">
        <v>3.5999999999999999E-3</v>
      </c>
      <c r="D36" s="21">
        <f>B36*C36</f>
        <v>3.8401200000000002</v>
      </c>
      <c r="E36" s="72">
        <f t="shared" si="6"/>
        <v>1066.7</v>
      </c>
      <c r="F36" s="33">
        <v>3.5999999999999999E-3</v>
      </c>
      <c r="G36" s="21">
        <f>E36*F36</f>
        <v>3.8401200000000002</v>
      </c>
      <c r="H36" s="21">
        <f t="shared" si="1"/>
        <v>0</v>
      </c>
      <c r="I36" s="22">
        <f t="shared" si="2"/>
        <v>0</v>
      </c>
      <c r="J36" s="22">
        <f t="shared" si="9"/>
        <v>1.7924985230728836E-2</v>
      </c>
      <c r="K36" s="107">
        <f t="shared" si="4"/>
        <v>1.7644020177922794E-2</v>
      </c>
    </row>
    <row r="37" spans="1:11" x14ac:dyDescent="0.2">
      <c r="A37" s="106" t="s">
        <v>43</v>
      </c>
      <c r="B37" s="72">
        <f>B8</f>
        <v>1066.7</v>
      </c>
      <c r="C37" s="33">
        <v>2.0999999999999999E-3</v>
      </c>
      <c r="D37" s="21">
        <f>B37*C37</f>
        <v>2.2400699999999998</v>
      </c>
      <c r="E37" s="72">
        <f t="shared" si="6"/>
        <v>1066.7</v>
      </c>
      <c r="F37" s="33">
        <v>2.0999999999999999E-3</v>
      </c>
      <c r="G37" s="21">
        <f>E37*F37</f>
        <v>2.2400699999999998</v>
      </c>
      <c r="H37" s="21">
        <f>G37-D37</f>
        <v>0</v>
      </c>
      <c r="I37" s="22">
        <f t="shared" si="2"/>
        <v>0</v>
      </c>
      <c r="J37" s="22">
        <f t="shared" si="9"/>
        <v>1.0456241384591818E-2</v>
      </c>
      <c r="K37" s="107">
        <f t="shared" si="4"/>
        <v>1.0292345103788295E-2</v>
      </c>
    </row>
    <row r="38" spans="1:11" x14ac:dyDescent="0.2">
      <c r="A38" s="106" t="s">
        <v>99</v>
      </c>
      <c r="B38" s="72">
        <f>B8</f>
        <v>1066.7</v>
      </c>
      <c r="C38" s="33">
        <v>1.1000000000000001E-3</v>
      </c>
      <c r="D38" s="21">
        <f>B38*C38</f>
        <v>1.17337</v>
      </c>
      <c r="E38" s="72">
        <f t="shared" si="6"/>
        <v>1066.7</v>
      </c>
      <c r="F38" s="33">
        <v>1.1000000000000001E-3</v>
      </c>
      <c r="G38" s="21">
        <f>E38*F38</f>
        <v>1.17337</v>
      </c>
      <c r="H38" s="21">
        <f>G38-D38</f>
        <v>0</v>
      </c>
      <c r="I38" s="22">
        <f t="shared" si="2"/>
        <v>0</v>
      </c>
      <c r="J38" s="22">
        <f t="shared" si="9"/>
        <v>5.4770788205004773E-3</v>
      </c>
      <c r="K38" s="107">
        <f t="shared" si="4"/>
        <v>5.3912283876986315E-3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1.1669547586227015E-3</v>
      </c>
      <c r="K39" s="107">
        <f t="shared" si="4"/>
        <v>1.1486633346043087E-3</v>
      </c>
    </row>
    <row r="40" spans="1:11" s="1" customFormat="1" x14ac:dyDescent="0.2">
      <c r="A40" s="109" t="s">
        <v>45</v>
      </c>
      <c r="B40" s="73"/>
      <c r="C40" s="34"/>
      <c r="D40" s="34">
        <f>SUM(D36:D39)</f>
        <v>7.5035600000000002</v>
      </c>
      <c r="E40" s="72"/>
      <c r="F40" s="34"/>
      <c r="G40" s="34">
        <f>SUM(G36:G39)</f>
        <v>7.5035600000000002</v>
      </c>
      <c r="H40" s="34">
        <f t="shared" si="1"/>
        <v>0</v>
      </c>
      <c r="I40" s="35">
        <f t="shared" si="2"/>
        <v>0</v>
      </c>
      <c r="J40" s="35">
        <f t="shared" si="9"/>
        <v>3.5025260194443832E-2</v>
      </c>
      <c r="K40" s="110">
        <f t="shared" si="4"/>
        <v>3.4476257004014028E-2</v>
      </c>
    </row>
    <row r="41" spans="1:11" s="1" customFormat="1" ht="13.5" thickBot="1" x14ac:dyDescent="0.25">
      <c r="A41" s="111" t="s">
        <v>46</v>
      </c>
      <c r="B41" s="112">
        <f>B4</f>
        <v>1000</v>
      </c>
      <c r="C41" s="113">
        <v>7.0000000000000001E-3</v>
      </c>
      <c r="D41" s="114">
        <f>B41*C41</f>
        <v>7</v>
      </c>
      <c r="E41" s="115">
        <f t="shared" si="6"/>
        <v>1000</v>
      </c>
      <c r="F41" s="113">
        <f>C41</f>
        <v>7.0000000000000001E-3</v>
      </c>
      <c r="G41" s="114">
        <f>E41*F41</f>
        <v>7</v>
      </c>
      <c r="H41" s="114">
        <f t="shared" si="1"/>
        <v>0</v>
      </c>
      <c r="I41" s="116">
        <f t="shared" si="2"/>
        <v>0</v>
      </c>
      <c r="J41" s="116">
        <f t="shared" si="9"/>
        <v>3.267473324143564E-2</v>
      </c>
      <c r="K41" s="117">
        <f t="shared" si="4"/>
        <v>3.2162573368920644E-2</v>
      </c>
    </row>
    <row r="42" spans="1:11" s="1" customFormat="1" x14ac:dyDescent="0.2">
      <c r="A42" s="36" t="s">
        <v>107</v>
      </c>
      <c r="B42" s="37"/>
      <c r="C42" s="38"/>
      <c r="D42" s="38">
        <f>SUM(D14,D25,D26,D27,D33,D40,D41)</f>
        <v>200.73125000000002</v>
      </c>
      <c r="E42" s="37"/>
      <c r="F42" s="38"/>
      <c r="G42" s="38">
        <f>SUM(G14,G25,G26,G27,G33,G40,G41)</f>
        <v>204.03125</v>
      </c>
      <c r="H42" s="38">
        <f t="shared" si="1"/>
        <v>3.2999999999999829</v>
      </c>
      <c r="I42" s="39">
        <f>IF(ISERROR(H42/D42),0,(H42/D42))</f>
        <v>1.643989164616861E-2</v>
      </c>
      <c r="J42" s="39">
        <f t="shared" si="9"/>
        <v>0.95238095238095233</v>
      </c>
      <c r="K42" s="40"/>
    </row>
    <row r="43" spans="1:11" x14ac:dyDescent="0.2">
      <c r="A43" s="143" t="s">
        <v>108</v>
      </c>
      <c r="B43" s="42"/>
      <c r="C43" s="25">
        <v>0.13</v>
      </c>
      <c r="D43" s="25">
        <f>D42*C43</f>
        <v>26.095062500000004</v>
      </c>
      <c r="E43" s="25"/>
      <c r="F43" s="25">
        <f>C43</f>
        <v>0.13</v>
      </c>
      <c r="G43" s="25">
        <f>G42*F43</f>
        <v>26.524062499999999</v>
      </c>
      <c r="H43" s="25">
        <f t="shared" si="1"/>
        <v>0.42899999999999494</v>
      </c>
      <c r="I43" s="43">
        <f t="shared" si="2"/>
        <v>1.6439891646168499E-2</v>
      </c>
      <c r="J43" s="43">
        <f t="shared" si="9"/>
        <v>0.1238095238095238</v>
      </c>
      <c r="K43" s="44"/>
    </row>
    <row r="44" spans="1:11" s="1" customFormat="1" x14ac:dyDescent="0.2">
      <c r="A44" s="45" t="s">
        <v>109</v>
      </c>
      <c r="B44" s="23"/>
      <c r="C44" s="24"/>
      <c r="D44" s="24">
        <f>SUM(D42:D43)</f>
        <v>226.82631250000003</v>
      </c>
      <c r="E44" s="24"/>
      <c r="F44" s="24"/>
      <c r="G44" s="24">
        <f>SUM(G42:G43)</f>
        <v>230.55531250000001</v>
      </c>
      <c r="H44" s="24">
        <f t="shared" si="1"/>
        <v>3.728999999999985</v>
      </c>
      <c r="I44" s="26">
        <f t="shared" si="2"/>
        <v>1.6439891646168627E-2</v>
      </c>
      <c r="J44" s="26">
        <f t="shared" si="9"/>
        <v>1.0761904761904761</v>
      </c>
      <c r="K44" s="46"/>
    </row>
    <row r="45" spans="1:11" x14ac:dyDescent="0.2">
      <c r="A45" s="41" t="s">
        <v>110</v>
      </c>
      <c r="B45" s="42"/>
      <c r="C45" s="25">
        <v>-0.08</v>
      </c>
      <c r="D45" s="25">
        <f>D42*C45</f>
        <v>-16.058500000000002</v>
      </c>
      <c r="E45" s="25"/>
      <c r="F45" s="25">
        <f>C45</f>
        <v>-0.08</v>
      </c>
      <c r="G45" s="25">
        <f>G42*F45</f>
        <v>-16.322500000000002</v>
      </c>
      <c r="H45" s="25">
        <f t="shared" si="1"/>
        <v>-0.26399999999999935</v>
      </c>
      <c r="I45" s="43">
        <f t="shared" si="2"/>
        <v>1.6439891646168651E-2</v>
      </c>
      <c r="J45" s="43">
        <f t="shared" si="9"/>
        <v>-7.6190476190476183E-2</v>
      </c>
      <c r="K45" s="44"/>
    </row>
    <row r="46" spans="1:11" s="1" customFormat="1" ht="13.5" thickBot="1" x14ac:dyDescent="0.25">
      <c r="A46" s="47" t="s">
        <v>111</v>
      </c>
      <c r="B46" s="48"/>
      <c r="C46" s="49"/>
      <c r="D46" s="49">
        <f>SUM(D44:D45)</f>
        <v>210.76781250000002</v>
      </c>
      <c r="E46" s="49"/>
      <c r="F46" s="49"/>
      <c r="G46" s="49">
        <f>SUM(G44:G45)</f>
        <v>214.23281250000002</v>
      </c>
      <c r="H46" s="49">
        <f t="shared" si="1"/>
        <v>3.4650000000000034</v>
      </c>
      <c r="I46" s="50">
        <f t="shared" si="2"/>
        <v>1.643989164616871E-2</v>
      </c>
      <c r="J46" s="50">
        <f t="shared" si="9"/>
        <v>1</v>
      </c>
      <c r="K46" s="51"/>
    </row>
    <row r="47" spans="1:11" x14ac:dyDescent="0.2">
      <c r="A47" s="52" t="s">
        <v>112</v>
      </c>
      <c r="B47" s="53"/>
      <c r="C47" s="54"/>
      <c r="D47" s="54">
        <f>SUM(D18,D25,D26,D28,D33,D40,D41)</f>
        <v>203.98026299999998</v>
      </c>
      <c r="E47" s="54"/>
      <c r="F47" s="54"/>
      <c r="G47" s="54">
        <f>SUM(G18,G25,G26,G28,G33,G40,G41)</f>
        <v>207.28026299999996</v>
      </c>
      <c r="H47" s="54">
        <f>G47-D47</f>
        <v>3.2999999999999829</v>
      </c>
      <c r="I47" s="55">
        <f>IF(ISERROR(H47/D47),0,(H47/D47))</f>
        <v>1.617803581320014E-2</v>
      </c>
      <c r="J47" s="55"/>
      <c r="K47" s="56">
        <f>G47/$G$51</f>
        <v>0.95238095238095233</v>
      </c>
    </row>
    <row r="48" spans="1:11" x14ac:dyDescent="0.2">
      <c r="A48" s="144" t="s">
        <v>108</v>
      </c>
      <c r="B48" s="58"/>
      <c r="C48" s="30">
        <v>0.13</v>
      </c>
      <c r="D48" s="30">
        <f>D47*C48</f>
        <v>26.517434189999999</v>
      </c>
      <c r="E48" s="30"/>
      <c r="F48" s="30">
        <f>C48</f>
        <v>0.13</v>
      </c>
      <c r="G48" s="30">
        <f>G47*F48</f>
        <v>26.946434189999994</v>
      </c>
      <c r="H48" s="30">
        <f>G48-D48</f>
        <v>0.42899999999999494</v>
      </c>
      <c r="I48" s="31">
        <f>IF(ISERROR(H48/D48),0,(H48/D48))</f>
        <v>1.6178035813200032E-2</v>
      </c>
      <c r="J48" s="31"/>
      <c r="K48" s="59">
        <f>G48/$G$51</f>
        <v>0.1238095238095238</v>
      </c>
    </row>
    <row r="49" spans="1:11" x14ac:dyDescent="0.2">
      <c r="A49" s="136" t="s">
        <v>113</v>
      </c>
      <c r="B49" s="28"/>
      <c r="C49" s="29"/>
      <c r="D49" s="29">
        <f>SUM(D47:D48)</f>
        <v>230.49769718999997</v>
      </c>
      <c r="E49" s="29"/>
      <c r="F49" s="29"/>
      <c r="G49" s="29">
        <f>SUM(G47:G48)</f>
        <v>234.22669718999995</v>
      </c>
      <c r="H49" s="29">
        <f>G49-D49</f>
        <v>3.728999999999985</v>
      </c>
      <c r="I49" s="32">
        <f>IF(ISERROR(H49/D49),0,(H49/D49))</f>
        <v>1.6178035813200157E-2</v>
      </c>
      <c r="J49" s="32"/>
      <c r="K49" s="61">
        <f>G49/$G$51</f>
        <v>1.0761904761904761</v>
      </c>
    </row>
    <row r="50" spans="1:11" x14ac:dyDescent="0.2">
      <c r="A50" s="57" t="s">
        <v>110</v>
      </c>
      <c r="B50" s="58"/>
      <c r="C50" s="30">
        <v>-0.08</v>
      </c>
      <c r="D50" s="30">
        <f>D47*C50</f>
        <v>-16.318421039999997</v>
      </c>
      <c r="E50" s="30"/>
      <c r="F50" s="30">
        <f>C50</f>
        <v>-0.08</v>
      </c>
      <c r="G50" s="30">
        <f>G47*F50</f>
        <v>-16.582421039999996</v>
      </c>
      <c r="H50" s="30">
        <f>G50-D50</f>
        <v>-0.26399999999999935</v>
      </c>
      <c r="I50" s="31">
        <f>IF(ISERROR(H50/D50),0,(H50/D50))</f>
        <v>1.6178035813200185E-2</v>
      </c>
      <c r="J50" s="31"/>
      <c r="K50" s="59">
        <f>G50/$G$51</f>
        <v>-7.6190476190476183E-2</v>
      </c>
    </row>
    <row r="51" spans="1:11" ht="13.5" thickBot="1" x14ac:dyDescent="0.25">
      <c r="A51" s="62" t="s">
        <v>114</v>
      </c>
      <c r="B51" s="63"/>
      <c r="C51" s="64"/>
      <c r="D51" s="64">
        <f>SUM(D49:D50)</f>
        <v>214.17927614999996</v>
      </c>
      <c r="E51" s="64"/>
      <c r="F51" s="64"/>
      <c r="G51" s="64">
        <f>SUM(G49:G50)</f>
        <v>217.64427614999997</v>
      </c>
      <c r="H51" s="64">
        <f>G51-D51</f>
        <v>3.4650000000000034</v>
      </c>
      <c r="I51" s="65">
        <f>IF(ISERROR(H51/D51),0,(H51/D51))</f>
        <v>1.617803581320024E-2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120</v>
      </c>
    </row>
    <row r="4" spans="1:11" x14ac:dyDescent="0.2">
      <c r="A4" s="14" t="s">
        <v>62</v>
      </c>
      <c r="B4" s="14">
        <v>2000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750</v>
      </c>
    </row>
    <row r="8" spans="1:11" x14ac:dyDescent="0.2">
      <c r="A8" s="14" t="s">
        <v>82</v>
      </c>
      <c r="B8" s="14">
        <f>B4*B6</f>
        <v>2133.4</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0.19483829839958303</v>
      </c>
      <c r="K12" s="105"/>
    </row>
    <row r="13" spans="1:11" x14ac:dyDescent="0.2">
      <c r="A13" s="106" t="s">
        <v>32</v>
      </c>
      <c r="B13" s="72">
        <f>IF(B4&gt;B7,(B4)-B7,0)</f>
        <v>1250</v>
      </c>
      <c r="C13" s="20">
        <v>0.121</v>
      </c>
      <c r="D13" s="21">
        <f>B13*C13</f>
        <v>151.25</v>
      </c>
      <c r="E13" s="72">
        <f t="shared" ref="E13" si="0">B13</f>
        <v>1250</v>
      </c>
      <c r="F13" s="20">
        <f>C13</f>
        <v>0.121</v>
      </c>
      <c r="G13" s="21">
        <f>E13*F13</f>
        <v>151.25</v>
      </c>
      <c r="H13" s="21">
        <f t="shared" ref="H13:H46" si="1">G13-D13</f>
        <v>0</v>
      </c>
      <c r="I13" s="22">
        <f t="shared" ref="I13:I46" si="2">IF(ISERROR(H13/D13),0,(H13/D13))</f>
        <v>0</v>
      </c>
      <c r="J13" s="22">
        <f>G13/$G$46</f>
        <v>0.38147951628397325</v>
      </c>
      <c r="K13" s="107"/>
    </row>
    <row r="14" spans="1:11" s="1" customFormat="1" x14ac:dyDescent="0.2">
      <c r="A14" s="45" t="s">
        <v>33</v>
      </c>
      <c r="B14" s="23"/>
      <c r="C14" s="24"/>
      <c r="D14" s="24">
        <f>SUM(D12:D13)</f>
        <v>228.5</v>
      </c>
      <c r="E14" s="75"/>
      <c r="F14" s="24"/>
      <c r="G14" s="24">
        <f>SUM(G12:G13)</f>
        <v>228.5</v>
      </c>
      <c r="H14" s="24">
        <f t="shared" si="1"/>
        <v>0</v>
      </c>
      <c r="I14" s="26">
        <f t="shared" si="2"/>
        <v>0</v>
      </c>
      <c r="J14" s="26">
        <f>G14/$G$46</f>
        <v>0.57631781468355625</v>
      </c>
      <c r="K14" s="107"/>
    </row>
    <row r="15" spans="1:11" s="1" customFormat="1" x14ac:dyDescent="0.2">
      <c r="A15" s="108" t="s">
        <v>34</v>
      </c>
      <c r="B15" s="74">
        <f>B4*0.65</f>
        <v>1300</v>
      </c>
      <c r="C15" s="27">
        <v>8.6999999999999994E-2</v>
      </c>
      <c r="D15" s="21">
        <f>B15*C15</f>
        <v>113.1</v>
      </c>
      <c r="E15" s="72">
        <f t="shared" ref="E15:F17" si="3">B15</f>
        <v>1300</v>
      </c>
      <c r="F15" s="27">
        <f t="shared" si="3"/>
        <v>8.6999999999999994E-2</v>
      </c>
      <c r="G15" s="21">
        <f>E15*F15</f>
        <v>113.1</v>
      </c>
      <c r="H15" s="21">
        <f t="shared" si="1"/>
        <v>0</v>
      </c>
      <c r="I15" s="22">
        <f t="shared" si="2"/>
        <v>0</v>
      </c>
      <c r="J15" s="22"/>
      <c r="K15" s="107">
        <f t="shared" ref="K15:K41" si="4">G15/$G$51</f>
        <v>0.29064795691705442</v>
      </c>
    </row>
    <row r="16" spans="1:11" s="1" customFormat="1" x14ac:dyDescent="0.2">
      <c r="A16" s="108" t="s">
        <v>35</v>
      </c>
      <c r="B16" s="74">
        <f>B4*0.17</f>
        <v>340</v>
      </c>
      <c r="C16" s="27">
        <v>0.13200000000000001</v>
      </c>
      <c r="D16" s="21">
        <f>B16*C16</f>
        <v>44.88</v>
      </c>
      <c r="E16" s="72">
        <f t="shared" si="3"/>
        <v>340</v>
      </c>
      <c r="F16" s="27">
        <f t="shared" si="3"/>
        <v>0.13200000000000001</v>
      </c>
      <c r="G16" s="21">
        <f>E16*F16</f>
        <v>44.88</v>
      </c>
      <c r="H16" s="21">
        <f t="shared" si="1"/>
        <v>0</v>
      </c>
      <c r="I16" s="22">
        <f t="shared" si="2"/>
        <v>0</v>
      </c>
      <c r="J16" s="22"/>
      <c r="K16" s="107">
        <f t="shared" si="4"/>
        <v>0.1153340433814094</v>
      </c>
    </row>
    <row r="17" spans="1:11" s="1" customFormat="1" x14ac:dyDescent="0.2">
      <c r="A17" s="108" t="s">
        <v>36</v>
      </c>
      <c r="B17" s="74">
        <f>B4*0.18</f>
        <v>360</v>
      </c>
      <c r="C17" s="27">
        <v>0.18</v>
      </c>
      <c r="D17" s="21">
        <f>B17*C17</f>
        <v>64.8</v>
      </c>
      <c r="E17" s="72">
        <f t="shared" si="3"/>
        <v>360</v>
      </c>
      <c r="F17" s="27">
        <f t="shared" si="3"/>
        <v>0.18</v>
      </c>
      <c r="G17" s="21">
        <f>E17*F17</f>
        <v>64.8</v>
      </c>
      <c r="H17" s="21">
        <f t="shared" si="1"/>
        <v>0</v>
      </c>
      <c r="I17" s="22">
        <f t="shared" si="2"/>
        <v>0</v>
      </c>
      <c r="J17" s="22"/>
      <c r="K17" s="107">
        <f t="shared" si="4"/>
        <v>0.16652508937422747</v>
      </c>
    </row>
    <row r="18" spans="1:11" s="1" customFormat="1" x14ac:dyDescent="0.2">
      <c r="A18" s="60" t="s">
        <v>37</v>
      </c>
      <c r="B18" s="28"/>
      <c r="C18" s="29"/>
      <c r="D18" s="29">
        <f>SUM(D15:D17)</f>
        <v>222.77999999999997</v>
      </c>
      <c r="E18" s="76"/>
      <c r="F18" s="29"/>
      <c r="G18" s="29">
        <f>SUM(G15:G17)</f>
        <v>222.77999999999997</v>
      </c>
      <c r="H18" s="30">
        <f t="shared" si="1"/>
        <v>0</v>
      </c>
      <c r="I18" s="31">
        <f t="shared" si="2"/>
        <v>0</v>
      </c>
      <c r="J18" s="32">
        <f t="shared" ref="J18:J24" si="5">G18/$G$46</f>
        <v>0.5618909529768169</v>
      </c>
      <c r="K18" s="61">
        <f t="shared" si="4"/>
        <v>0.57250708967269115</v>
      </c>
    </row>
    <row r="19" spans="1:11" x14ac:dyDescent="0.2">
      <c r="A19" s="106" t="s">
        <v>38</v>
      </c>
      <c r="B19" s="72">
        <v>1</v>
      </c>
      <c r="C19" s="77">
        <f>VLOOKUP($B$3,'Data for Bill Impacts'!$A$3:$Y$25,7,0)</f>
        <v>40.82</v>
      </c>
      <c r="D19" s="21">
        <f>B19*C19</f>
        <v>40.82</v>
      </c>
      <c r="E19" s="72">
        <f t="shared" ref="E19:E41" si="6">B19</f>
        <v>1</v>
      </c>
      <c r="F19" s="77">
        <f>VLOOKUP($B$3,'Data for Bill Impacts'!$A$3:$Y$25,17,0)</f>
        <v>42.92</v>
      </c>
      <c r="G19" s="21">
        <f>E19*F19</f>
        <v>42.92</v>
      </c>
      <c r="H19" s="21">
        <f t="shared" si="1"/>
        <v>2.1000000000000014</v>
      </c>
      <c r="I19" s="22">
        <f t="shared" si="2"/>
        <v>5.1445369916707534E-2</v>
      </c>
      <c r="J19" s="22">
        <f t="shared" si="5"/>
        <v>0.10825190637294634</v>
      </c>
      <c r="K19" s="107">
        <f t="shared" si="4"/>
        <v>0.11029717339416424</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2000</v>
      </c>
      <c r="C23" s="125">
        <f>VLOOKUP($B$3,'Data for Bill Impacts'!$A$3:$Y$25,10,0)</f>
        <v>1.8700000000000001E-2</v>
      </c>
      <c r="D23" s="21">
        <f>B23*C23</f>
        <v>37.400000000000006</v>
      </c>
      <c r="E23" s="72">
        <f t="shared" si="6"/>
        <v>2000</v>
      </c>
      <c r="F23" s="77">
        <f>VLOOKUP($B$3,'Data for Bill Impacts'!$A$3:$Y$25,19,0)</f>
        <v>1.9900000000000001E-2</v>
      </c>
      <c r="G23" s="21">
        <f>E23*F23</f>
        <v>39.800000000000004</v>
      </c>
      <c r="H23" s="21">
        <f t="shared" si="1"/>
        <v>2.3999999999999986</v>
      </c>
      <c r="I23" s="22">
        <f t="shared" si="2"/>
        <v>6.4171122994652358E-2</v>
      </c>
      <c r="J23" s="22">
        <f t="shared" si="5"/>
        <v>0.10038270907836123</v>
      </c>
      <c r="K23" s="107">
        <f t="shared" si="4"/>
        <v>0.10227929872059034</v>
      </c>
    </row>
    <row r="24" spans="1:11" x14ac:dyDescent="0.2">
      <c r="A24" s="106" t="s">
        <v>129</v>
      </c>
      <c r="B24" s="72">
        <f>IF($B$9="kWh",$B$4,$B$5)</f>
        <v>2000</v>
      </c>
      <c r="C24" s="77">
        <f>VLOOKUP($B$3,'Data for Bill Impacts'!$A$3:$Y$25,14,0)</f>
        <v>0</v>
      </c>
      <c r="D24" s="33">
        <f>B24*C24</f>
        <v>0</v>
      </c>
      <c r="E24" s="72">
        <f t="shared" si="6"/>
        <v>2000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78.22</v>
      </c>
      <c r="E25" s="72"/>
      <c r="F25" s="34"/>
      <c r="G25" s="34">
        <f>SUM(G19:G24)</f>
        <v>82.72</v>
      </c>
      <c r="H25" s="34">
        <f t="shared" si="1"/>
        <v>4.5</v>
      </c>
      <c r="I25" s="35">
        <f t="shared" si="2"/>
        <v>5.7530043467143951E-2</v>
      </c>
      <c r="J25" s="35">
        <f>G25/$G$46</f>
        <v>0.20863461545130754</v>
      </c>
      <c r="K25" s="110">
        <f t="shared" si="4"/>
        <v>0.21257647211475456</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1.9925211098468687E-3</v>
      </c>
      <c r="K26" s="107">
        <f t="shared" si="4"/>
        <v>2.0301669846549339E-3</v>
      </c>
    </row>
    <row r="27" spans="1:11" s="1" customFormat="1" x14ac:dyDescent="0.2">
      <c r="A27" s="118" t="s">
        <v>75</v>
      </c>
      <c r="B27" s="119">
        <f>B8-B4</f>
        <v>133.40000000000009</v>
      </c>
      <c r="C27" s="120">
        <f>IF(B4&gt;B7,C13,C12)</f>
        <v>0.121</v>
      </c>
      <c r="D27" s="21">
        <f>B27*C27</f>
        <v>16.141400000000012</v>
      </c>
      <c r="E27" s="72">
        <f>B27</f>
        <v>133.40000000000009</v>
      </c>
      <c r="F27" s="120">
        <f>C27</f>
        <v>0.121</v>
      </c>
      <c r="G27" s="21">
        <f>E27*F27</f>
        <v>16.141400000000012</v>
      </c>
      <c r="H27" s="21">
        <f t="shared" si="1"/>
        <v>0</v>
      </c>
      <c r="I27" s="22">
        <f>IF(ISERROR(H27/D27),0,(H27/D27))</f>
        <v>0</v>
      </c>
      <c r="J27" s="22">
        <f t="shared" ref="J27:J46" si="9">G27/$G$46</f>
        <v>4.0711493977825655E-2</v>
      </c>
      <c r="K27" s="107">
        <f t="shared" si="4"/>
        <v>4.148068021026477E-2</v>
      </c>
    </row>
    <row r="28" spans="1:11" s="1" customFormat="1" x14ac:dyDescent="0.2">
      <c r="A28" s="118" t="s">
        <v>74</v>
      </c>
      <c r="B28" s="119">
        <f>B8-B4</f>
        <v>133.40000000000009</v>
      </c>
      <c r="C28" s="120">
        <f>0.65*C15+0.17*C16+0.18*C17</f>
        <v>0.11139</v>
      </c>
      <c r="D28" s="21">
        <f>B28*C28</f>
        <v>14.85942600000001</v>
      </c>
      <c r="E28" s="72">
        <f>B28</f>
        <v>133.40000000000009</v>
      </c>
      <c r="F28" s="120">
        <f>C28</f>
        <v>0.11139</v>
      </c>
      <c r="G28" s="21">
        <f>E28*F28</f>
        <v>14.85942600000001</v>
      </c>
      <c r="H28" s="21">
        <f t="shared" si="1"/>
        <v>0</v>
      </c>
      <c r="I28" s="22">
        <f>IF(ISERROR(H28/D28),0,(H28/D28))</f>
        <v>0</v>
      </c>
      <c r="J28" s="22">
        <f t="shared" si="9"/>
        <v>3.7478126563553718E-2</v>
      </c>
      <c r="K28" s="107">
        <f t="shared" si="4"/>
        <v>3.8186222881168533E-2</v>
      </c>
    </row>
    <row r="29" spans="1:11" s="1" customFormat="1" x14ac:dyDescent="0.2">
      <c r="A29" s="109" t="s">
        <v>78</v>
      </c>
      <c r="B29" s="73"/>
      <c r="C29" s="34"/>
      <c r="D29" s="34">
        <f>SUM(D25,D26:D27)</f>
        <v>95.151400000000024</v>
      </c>
      <c r="E29" s="72"/>
      <c r="F29" s="34"/>
      <c r="G29" s="34">
        <f>SUM(G25,G26:G27)</f>
        <v>99.651400000000024</v>
      </c>
      <c r="H29" s="34">
        <f t="shared" si="1"/>
        <v>4.5</v>
      </c>
      <c r="I29" s="35">
        <f>IF(ISERROR(H29/D29),0,(H29/D29))</f>
        <v>4.7293050864201672E-2</v>
      </c>
      <c r="J29" s="35">
        <f t="shared" si="9"/>
        <v>0.25133863053898009</v>
      </c>
      <c r="K29" s="110">
        <f t="shared" si="4"/>
        <v>0.25608731930967432</v>
      </c>
    </row>
    <row r="30" spans="1:11" s="1" customFormat="1" x14ac:dyDescent="0.2">
      <c r="A30" s="109" t="s">
        <v>77</v>
      </c>
      <c r="B30" s="73"/>
      <c r="C30" s="34"/>
      <c r="D30" s="34">
        <f>SUM(D25,D26,D28)</f>
        <v>93.869426000000018</v>
      </c>
      <c r="E30" s="72"/>
      <c r="F30" s="34"/>
      <c r="G30" s="34">
        <f>SUM(G25,G26,G28)</f>
        <v>98.369426000000018</v>
      </c>
      <c r="H30" s="34">
        <f t="shared" si="1"/>
        <v>4.5</v>
      </c>
      <c r="I30" s="35">
        <f>IF(ISERROR(H30/D30),0,(H30/D30))</f>
        <v>4.7938931681546657E-2</v>
      </c>
      <c r="J30" s="35">
        <f t="shared" si="9"/>
        <v>0.24810526312470815</v>
      </c>
      <c r="K30" s="110">
        <f t="shared" si="4"/>
        <v>0.25279286198057804</v>
      </c>
    </row>
    <row r="31" spans="1:11" x14ac:dyDescent="0.2">
      <c r="A31" s="106" t="s">
        <v>40</v>
      </c>
      <c r="B31" s="72">
        <f>B8</f>
        <v>2133.4</v>
      </c>
      <c r="C31" s="125">
        <f>VLOOKUP($B$3,'Data for Bill Impacts'!$A$3:$Y$25,15,0)</f>
        <v>5.3E-3</v>
      </c>
      <c r="D31" s="21">
        <f>B31*C31</f>
        <v>11.307020000000001</v>
      </c>
      <c r="E31" s="72">
        <f t="shared" si="6"/>
        <v>2133.4</v>
      </c>
      <c r="F31" s="77">
        <f>VLOOKUP($B$3,'Data for Bill Impacts'!$A$3:$Y$25,24,0)</f>
        <v>5.3E-3</v>
      </c>
      <c r="G31" s="21">
        <f>E31*F31</f>
        <v>11.307020000000001</v>
      </c>
      <c r="H31" s="21">
        <f t="shared" si="1"/>
        <v>0</v>
      </c>
      <c r="I31" s="22">
        <f t="shared" si="2"/>
        <v>0</v>
      </c>
      <c r="J31" s="22">
        <f t="shared" si="9"/>
        <v>2.851832410058322E-2</v>
      </c>
      <c r="K31" s="107">
        <f t="shared" si="4"/>
        <v>2.9057137593459532E-2</v>
      </c>
    </row>
    <row r="32" spans="1:11" x14ac:dyDescent="0.2">
      <c r="A32" s="106" t="s">
        <v>41</v>
      </c>
      <c r="B32" s="72">
        <f>B8</f>
        <v>2133.4</v>
      </c>
      <c r="C32" s="125">
        <f>VLOOKUP($B$3,'Data for Bill Impacts'!$A$3:$Y$25,16,0)</f>
        <v>4.4000000000000003E-3</v>
      </c>
      <c r="D32" s="21">
        <f>B32*C32</f>
        <v>9.3869600000000002</v>
      </c>
      <c r="E32" s="72">
        <f t="shared" si="6"/>
        <v>2133.4</v>
      </c>
      <c r="F32" s="77">
        <f>VLOOKUP($B$3,'Data for Bill Impacts'!$A$3:$Y$25,25,0)</f>
        <v>4.4000000000000003E-3</v>
      </c>
      <c r="G32" s="21">
        <f>E32*F32</f>
        <v>9.3869600000000002</v>
      </c>
      <c r="H32" s="21">
        <f t="shared" si="1"/>
        <v>0</v>
      </c>
      <c r="I32" s="22">
        <f t="shared" si="2"/>
        <v>0</v>
      </c>
      <c r="J32" s="22">
        <f t="shared" si="9"/>
        <v>2.3675589819352104E-2</v>
      </c>
      <c r="K32" s="107">
        <f t="shared" si="4"/>
        <v>2.4122906681362629E-2</v>
      </c>
    </row>
    <row r="33" spans="1:11" s="1" customFormat="1" x14ac:dyDescent="0.2">
      <c r="A33" s="109" t="s">
        <v>76</v>
      </c>
      <c r="B33" s="73"/>
      <c r="C33" s="34"/>
      <c r="D33" s="34">
        <f>SUM(D31:D32)</f>
        <v>20.693980000000003</v>
      </c>
      <c r="E33" s="72"/>
      <c r="F33" s="34"/>
      <c r="G33" s="34">
        <f>SUM(G31:G32)</f>
        <v>20.693980000000003</v>
      </c>
      <c r="H33" s="34">
        <f t="shared" si="1"/>
        <v>0</v>
      </c>
      <c r="I33" s="35">
        <f t="shared" si="2"/>
        <v>0</v>
      </c>
      <c r="J33" s="35">
        <f t="shared" si="9"/>
        <v>5.2193913919935324E-2</v>
      </c>
      <c r="K33" s="110">
        <f t="shared" si="4"/>
        <v>5.3180044274822161E-2</v>
      </c>
    </row>
    <row r="34" spans="1:11" s="1" customFormat="1" x14ac:dyDescent="0.2">
      <c r="A34" s="109" t="s">
        <v>93</v>
      </c>
      <c r="B34" s="73"/>
      <c r="C34" s="34"/>
      <c r="D34" s="34">
        <f>D29+D33</f>
        <v>115.84538000000003</v>
      </c>
      <c r="E34" s="72"/>
      <c r="F34" s="34"/>
      <c r="G34" s="34">
        <f>G29+G33</f>
        <v>120.34538000000003</v>
      </c>
      <c r="H34" s="34">
        <f t="shared" si="1"/>
        <v>4.5</v>
      </c>
      <c r="I34" s="35">
        <f t="shared" si="2"/>
        <v>3.8844880995685789E-2</v>
      </c>
      <c r="J34" s="35">
        <f t="shared" si="9"/>
        <v>0.30353254445891548</v>
      </c>
      <c r="K34" s="110">
        <f t="shared" si="4"/>
        <v>0.30926736358449647</v>
      </c>
    </row>
    <row r="35" spans="1:11" s="1" customFormat="1" x14ac:dyDescent="0.2">
      <c r="A35" s="109" t="s">
        <v>94</v>
      </c>
      <c r="B35" s="73"/>
      <c r="C35" s="34"/>
      <c r="D35" s="34">
        <f>D30+D33</f>
        <v>114.56340600000001</v>
      </c>
      <c r="E35" s="72"/>
      <c r="F35" s="34"/>
      <c r="G35" s="34">
        <f>G30+G33</f>
        <v>119.06340600000001</v>
      </c>
      <c r="H35" s="34">
        <f t="shared" si="1"/>
        <v>4.5</v>
      </c>
      <c r="I35" s="35">
        <f t="shared" si="2"/>
        <v>3.9279558430726121E-2</v>
      </c>
      <c r="J35" s="35">
        <f t="shared" si="9"/>
        <v>0.30029917704464348</v>
      </c>
      <c r="K35" s="110">
        <f t="shared" si="4"/>
        <v>0.30597290625540019</v>
      </c>
    </row>
    <row r="36" spans="1:11" x14ac:dyDescent="0.2">
      <c r="A36" s="106" t="s">
        <v>42</v>
      </c>
      <c r="B36" s="72">
        <f>B8</f>
        <v>2133.4</v>
      </c>
      <c r="C36" s="33">
        <v>3.5999999999999999E-3</v>
      </c>
      <c r="D36" s="21">
        <f>B36*C36</f>
        <v>7.6802400000000004</v>
      </c>
      <c r="E36" s="72">
        <f t="shared" si="6"/>
        <v>2133.4</v>
      </c>
      <c r="F36" s="33">
        <v>3.5999999999999999E-3</v>
      </c>
      <c r="G36" s="21">
        <f>E36*F36</f>
        <v>7.6802400000000004</v>
      </c>
      <c r="H36" s="21">
        <f t="shared" si="1"/>
        <v>0</v>
      </c>
      <c r="I36" s="22">
        <f t="shared" si="2"/>
        <v>0</v>
      </c>
      <c r="J36" s="22">
        <f t="shared" si="9"/>
        <v>1.9370937124924451E-2</v>
      </c>
      <c r="K36" s="107">
        <f t="shared" si="4"/>
        <v>1.9736923648387604E-2</v>
      </c>
    </row>
    <row r="37" spans="1:11" x14ac:dyDescent="0.2">
      <c r="A37" s="106" t="s">
        <v>43</v>
      </c>
      <c r="B37" s="72">
        <f>B8</f>
        <v>2133.4</v>
      </c>
      <c r="C37" s="33">
        <v>2.0999999999999999E-3</v>
      </c>
      <c r="D37" s="21">
        <f>B37*C37</f>
        <v>4.4801399999999996</v>
      </c>
      <c r="E37" s="72">
        <f t="shared" si="6"/>
        <v>2133.4</v>
      </c>
      <c r="F37" s="33">
        <v>2.0999999999999999E-3</v>
      </c>
      <c r="G37" s="21">
        <f>E37*F37</f>
        <v>4.4801399999999996</v>
      </c>
      <c r="H37" s="21">
        <f>G37-D37</f>
        <v>0</v>
      </c>
      <c r="I37" s="22">
        <f t="shared" si="2"/>
        <v>0</v>
      </c>
      <c r="J37" s="22">
        <f t="shared" si="9"/>
        <v>1.1299713322872594E-2</v>
      </c>
      <c r="K37" s="107">
        <f t="shared" si="4"/>
        <v>1.1513205461559435E-2</v>
      </c>
    </row>
    <row r="38" spans="1:11" x14ac:dyDescent="0.2">
      <c r="A38" s="106" t="s">
        <v>99</v>
      </c>
      <c r="B38" s="72">
        <f>B8</f>
        <v>2133.4</v>
      </c>
      <c r="C38" s="33">
        <v>1.1000000000000001E-3</v>
      </c>
      <c r="D38" s="21">
        <f>B38*C38</f>
        <v>2.34674</v>
      </c>
      <c r="E38" s="72">
        <f t="shared" si="6"/>
        <v>2133.4</v>
      </c>
      <c r="F38" s="33">
        <v>1.1000000000000001E-3</v>
      </c>
      <c r="G38" s="21">
        <f>E38*F38</f>
        <v>2.34674</v>
      </c>
      <c r="H38" s="21">
        <f>G38-D38</f>
        <v>0</v>
      </c>
      <c r="I38" s="22">
        <f t="shared" si="2"/>
        <v>0</v>
      </c>
      <c r="J38" s="22">
        <f t="shared" si="9"/>
        <v>5.918897454838026E-3</v>
      </c>
      <c r="K38" s="107">
        <f t="shared" si="4"/>
        <v>6.0307266703406573E-3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6.3054465501483179E-4</v>
      </c>
      <c r="K39" s="107">
        <f t="shared" si="4"/>
        <v>6.4245790653637139E-4</v>
      </c>
    </row>
    <row r="40" spans="1:11" s="1" customFormat="1" x14ac:dyDescent="0.2">
      <c r="A40" s="109" t="s">
        <v>45</v>
      </c>
      <c r="B40" s="73"/>
      <c r="C40" s="34"/>
      <c r="D40" s="34">
        <f>SUM(D36:D39)</f>
        <v>14.75712</v>
      </c>
      <c r="E40" s="72"/>
      <c r="F40" s="34"/>
      <c r="G40" s="34">
        <f>SUM(G36:G39)</f>
        <v>14.75712</v>
      </c>
      <c r="H40" s="34">
        <f t="shared" si="1"/>
        <v>0</v>
      </c>
      <c r="I40" s="35">
        <f t="shared" si="2"/>
        <v>0</v>
      </c>
      <c r="J40" s="35">
        <f t="shared" si="9"/>
        <v>3.7220092557649902E-2</v>
      </c>
      <c r="K40" s="110">
        <f t="shared" si="4"/>
        <v>3.792331368682407E-2</v>
      </c>
    </row>
    <row r="41" spans="1:11" s="1" customFormat="1" ht="13.5" thickBot="1" x14ac:dyDescent="0.25">
      <c r="A41" s="111" t="s">
        <v>46</v>
      </c>
      <c r="B41" s="112">
        <f>B4</f>
        <v>2000</v>
      </c>
      <c r="C41" s="113">
        <v>7.0000000000000001E-3</v>
      </c>
      <c r="D41" s="114">
        <f>B41*C41</f>
        <v>14</v>
      </c>
      <c r="E41" s="115">
        <f t="shared" si="6"/>
        <v>2000</v>
      </c>
      <c r="F41" s="113">
        <f>C41</f>
        <v>7.0000000000000001E-3</v>
      </c>
      <c r="G41" s="114">
        <f>E41*F41</f>
        <v>14</v>
      </c>
      <c r="H41" s="114">
        <f t="shared" si="1"/>
        <v>0</v>
      </c>
      <c r="I41" s="116">
        <f t="shared" si="2"/>
        <v>0</v>
      </c>
      <c r="J41" s="116">
        <f t="shared" si="9"/>
        <v>3.5310500680830581E-2</v>
      </c>
      <c r="K41" s="117">
        <f t="shared" si="4"/>
        <v>3.5977642766036801E-2</v>
      </c>
    </row>
    <row r="42" spans="1:11" s="1" customFormat="1" x14ac:dyDescent="0.2">
      <c r="A42" s="36" t="s">
        <v>107</v>
      </c>
      <c r="B42" s="37"/>
      <c r="C42" s="38"/>
      <c r="D42" s="38">
        <f>SUM(D14,D25,D26,D27,D33,D40,D41)</f>
        <v>373.10250000000008</v>
      </c>
      <c r="E42" s="37"/>
      <c r="F42" s="38"/>
      <c r="G42" s="38">
        <f>SUM(G14,G25,G26,G27,G33,G40,G41)</f>
        <v>377.60250000000008</v>
      </c>
      <c r="H42" s="38">
        <f t="shared" si="1"/>
        <v>4.5</v>
      </c>
      <c r="I42" s="39">
        <f>IF(ISERROR(H42/D42),0,(H42/D42))</f>
        <v>1.2061028805757129E-2</v>
      </c>
      <c r="J42" s="39">
        <f t="shared" si="9"/>
        <v>0.95238095238095233</v>
      </c>
      <c r="K42" s="40"/>
    </row>
    <row r="43" spans="1:11" x14ac:dyDescent="0.2">
      <c r="A43" s="143" t="s">
        <v>108</v>
      </c>
      <c r="B43" s="42"/>
      <c r="C43" s="25">
        <v>0.13</v>
      </c>
      <c r="D43" s="25">
        <f>D42*C43</f>
        <v>48.503325000000011</v>
      </c>
      <c r="E43" s="25"/>
      <c r="F43" s="25">
        <f>C43</f>
        <v>0.13</v>
      </c>
      <c r="G43" s="25">
        <f>G42*F43</f>
        <v>49.088325000000012</v>
      </c>
      <c r="H43" s="25">
        <f t="shared" si="1"/>
        <v>0.58500000000000085</v>
      </c>
      <c r="I43" s="43">
        <f t="shared" si="2"/>
        <v>1.2061028805757146E-2</v>
      </c>
      <c r="J43" s="43">
        <f t="shared" si="9"/>
        <v>0.12380952380952381</v>
      </c>
      <c r="K43" s="44"/>
    </row>
    <row r="44" spans="1:11" s="1" customFormat="1" x14ac:dyDescent="0.2">
      <c r="A44" s="45" t="s">
        <v>109</v>
      </c>
      <c r="B44" s="23"/>
      <c r="C44" s="24"/>
      <c r="D44" s="24">
        <f>SUM(D42:D43)</f>
        <v>421.6058250000001</v>
      </c>
      <c r="E44" s="24"/>
      <c r="F44" s="24"/>
      <c r="G44" s="24">
        <f>SUM(G42:G43)</f>
        <v>426.69082500000007</v>
      </c>
      <c r="H44" s="24">
        <f t="shared" si="1"/>
        <v>5.0849999999999795</v>
      </c>
      <c r="I44" s="26">
        <f t="shared" si="2"/>
        <v>1.2061028805757081E-2</v>
      </c>
      <c r="J44" s="26">
        <f t="shared" si="9"/>
        <v>1.0761904761904761</v>
      </c>
      <c r="K44" s="46"/>
    </row>
    <row r="45" spans="1:11" x14ac:dyDescent="0.2">
      <c r="A45" s="41" t="s">
        <v>110</v>
      </c>
      <c r="B45" s="42"/>
      <c r="C45" s="25">
        <v>-0.08</v>
      </c>
      <c r="D45" s="25">
        <f>D42*C45</f>
        <v>-29.848200000000006</v>
      </c>
      <c r="E45" s="25"/>
      <c r="F45" s="25">
        <f>C45</f>
        <v>-0.08</v>
      </c>
      <c r="G45" s="25">
        <f>G42*F45</f>
        <v>-30.208200000000005</v>
      </c>
      <c r="H45" s="25">
        <f t="shared" si="1"/>
        <v>-0.35999999999999943</v>
      </c>
      <c r="I45" s="43">
        <f t="shared" si="2"/>
        <v>1.206102880575711E-2</v>
      </c>
      <c r="J45" s="43">
        <f t="shared" si="9"/>
        <v>-7.6190476190476183E-2</v>
      </c>
      <c r="K45" s="44"/>
    </row>
    <row r="46" spans="1:11" s="1" customFormat="1" ht="13.5" thickBot="1" x14ac:dyDescent="0.25">
      <c r="A46" s="47" t="s">
        <v>111</v>
      </c>
      <c r="B46" s="48"/>
      <c r="C46" s="49"/>
      <c r="D46" s="49">
        <f>SUM(D44:D45)</f>
        <v>391.75762500000008</v>
      </c>
      <c r="E46" s="49"/>
      <c r="F46" s="49"/>
      <c r="G46" s="49">
        <f>SUM(G44:G45)</f>
        <v>396.4826250000001</v>
      </c>
      <c r="H46" s="49">
        <f t="shared" si="1"/>
        <v>4.7250000000000227</v>
      </c>
      <c r="I46" s="50">
        <f t="shared" si="2"/>
        <v>1.2061028805757186E-2</v>
      </c>
      <c r="J46" s="50">
        <f t="shared" si="9"/>
        <v>1</v>
      </c>
      <c r="K46" s="51"/>
    </row>
    <row r="47" spans="1:11" x14ac:dyDescent="0.2">
      <c r="A47" s="52" t="s">
        <v>112</v>
      </c>
      <c r="B47" s="53"/>
      <c r="C47" s="54"/>
      <c r="D47" s="54">
        <f>SUM(D18,D25,D26,D28,D33,D40,D41)</f>
        <v>366.100526</v>
      </c>
      <c r="E47" s="54"/>
      <c r="F47" s="54"/>
      <c r="G47" s="54">
        <f>SUM(G18,G25,G26,G28,G33,G40,G41)</f>
        <v>370.600526</v>
      </c>
      <c r="H47" s="54">
        <f>G47-D47</f>
        <v>4.5</v>
      </c>
      <c r="I47" s="55">
        <f>IF(ISERROR(H47/D47),0,(H47/D47))</f>
        <v>1.2291705912490276E-2</v>
      </c>
      <c r="J47" s="55"/>
      <c r="K47" s="56">
        <f>G47/$G$51</f>
        <v>0.95238095238095233</v>
      </c>
    </row>
    <row r="48" spans="1:11" x14ac:dyDescent="0.2">
      <c r="A48" s="57" t="s">
        <v>108</v>
      </c>
      <c r="B48" s="58"/>
      <c r="C48" s="30">
        <v>0.13</v>
      </c>
      <c r="D48" s="30">
        <f>D47*C48</f>
        <v>47.593068380000005</v>
      </c>
      <c r="E48" s="30"/>
      <c r="F48" s="30">
        <f>C48</f>
        <v>0.13</v>
      </c>
      <c r="G48" s="30">
        <f>G47*F48</f>
        <v>48.178068379999999</v>
      </c>
      <c r="H48" s="30">
        <f>G48-D48</f>
        <v>0.58499999999999375</v>
      </c>
      <c r="I48" s="31">
        <f>IF(ISERROR(H48/D48),0,(H48/D48))</f>
        <v>1.2291705912490142E-2</v>
      </c>
      <c r="J48" s="31"/>
      <c r="K48" s="59">
        <f>G48/$G$51</f>
        <v>0.1238095238095238</v>
      </c>
    </row>
    <row r="49" spans="1:11" x14ac:dyDescent="0.2">
      <c r="A49" s="136" t="s">
        <v>113</v>
      </c>
      <c r="B49" s="28"/>
      <c r="C49" s="29"/>
      <c r="D49" s="29">
        <f>SUM(D47:D48)</f>
        <v>413.69359438000004</v>
      </c>
      <c r="E49" s="29"/>
      <c r="F49" s="29"/>
      <c r="G49" s="29">
        <f>SUM(G47:G48)</f>
        <v>418.77859438000002</v>
      </c>
      <c r="H49" s="29">
        <f>G49-D49</f>
        <v>5.0849999999999795</v>
      </c>
      <c r="I49" s="32">
        <f>IF(ISERROR(H49/D49),0,(H49/D49))</f>
        <v>1.2291705912490226E-2</v>
      </c>
      <c r="J49" s="32"/>
      <c r="K49" s="61">
        <f>G49/$G$51</f>
        <v>1.0761904761904761</v>
      </c>
    </row>
    <row r="50" spans="1:11" x14ac:dyDescent="0.2">
      <c r="A50" s="57" t="s">
        <v>110</v>
      </c>
      <c r="B50" s="58"/>
      <c r="C50" s="30">
        <v>-0.08</v>
      </c>
      <c r="D50" s="30">
        <f>D47*C50</f>
        <v>-29.28804208</v>
      </c>
      <c r="E50" s="30"/>
      <c r="F50" s="30">
        <f>C50</f>
        <v>-0.08</v>
      </c>
      <c r="G50" s="30">
        <f>G47*F50</f>
        <v>-29.64804208</v>
      </c>
      <c r="H50" s="30">
        <f>G50-D50</f>
        <v>-0.35999999999999943</v>
      </c>
      <c r="I50" s="31">
        <f>IF(ISERROR(H50/D50),0,(H50/D50))</f>
        <v>1.2291705912490257E-2</v>
      </c>
      <c r="J50" s="31"/>
      <c r="K50" s="59">
        <f>G50/$G$51</f>
        <v>-7.6190476190476183E-2</v>
      </c>
    </row>
    <row r="51" spans="1:11" ht="13.5" thickBot="1" x14ac:dyDescent="0.25">
      <c r="A51" s="62" t="s">
        <v>114</v>
      </c>
      <c r="B51" s="63"/>
      <c r="C51" s="64"/>
      <c r="D51" s="64">
        <f>SUM(D49:D50)</f>
        <v>384.40555230000001</v>
      </c>
      <c r="E51" s="64"/>
      <c r="F51" s="64"/>
      <c r="G51" s="64">
        <f>SUM(G49:G50)</f>
        <v>389.13055230000003</v>
      </c>
      <c r="H51" s="64">
        <f>G51-D51</f>
        <v>4.7250000000000227</v>
      </c>
      <c r="I51" s="65">
        <f>IF(ISERROR(H51/D51),0,(H51/D51))</f>
        <v>1.2291705912490335E-2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1" tint="0.499984740745262"/>
    <pageSetUpPr fitToPage="1"/>
  </sheetPr>
  <dimension ref="A1:K68"/>
  <sheetViews>
    <sheetView tabSelected="1" zoomScaleNormal="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127</v>
      </c>
      <c r="B1" s="204"/>
      <c r="C1" s="204"/>
      <c r="D1" s="204"/>
      <c r="E1" s="204"/>
      <c r="F1" s="204"/>
      <c r="G1" s="204"/>
      <c r="H1" s="204"/>
      <c r="I1" s="204"/>
      <c r="J1" s="204"/>
      <c r="K1" s="205"/>
    </row>
    <row r="3" spans="1:11" x14ac:dyDescent="0.2">
      <c r="A3" s="12" t="s">
        <v>13</v>
      </c>
      <c r="B3" s="12" t="s">
        <v>120</v>
      </c>
    </row>
    <row r="4" spans="1:11" x14ac:dyDescent="0.2">
      <c r="A4" s="14" t="s">
        <v>62</v>
      </c>
      <c r="B4" s="78">
        <f>VLOOKUP(B3,'Data for Bill Impacts_HONI Avg '!A2:F21,3,FALSE)</f>
        <v>1988</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750</v>
      </c>
    </row>
    <row r="8" spans="1:11" x14ac:dyDescent="0.2">
      <c r="A8" s="14" t="s">
        <v>82</v>
      </c>
      <c r="B8" s="149">
        <f>B4*B6</f>
        <v>2120.5996</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0.19591898733135141</v>
      </c>
      <c r="K12" s="105"/>
    </row>
    <row r="13" spans="1:11" x14ac:dyDescent="0.2">
      <c r="A13" s="106" t="s">
        <v>32</v>
      </c>
      <c r="B13" s="72">
        <f>IF(B4&gt;B7,(B4)-B7,0)</f>
        <v>1238</v>
      </c>
      <c r="C13" s="20">
        <v>0.121</v>
      </c>
      <c r="D13" s="21">
        <f>B13*C13</f>
        <v>149.798</v>
      </c>
      <c r="E13" s="72">
        <f t="shared" ref="E13" si="0">B13</f>
        <v>1238</v>
      </c>
      <c r="F13" s="20">
        <f>C13</f>
        <v>0.121</v>
      </c>
      <c r="G13" s="21">
        <f>E13*F13</f>
        <v>149.798</v>
      </c>
      <c r="H13" s="21">
        <f t="shared" ref="H13:H46" si="1">G13-D13</f>
        <v>0</v>
      </c>
      <c r="I13" s="22">
        <f t="shared" ref="I13:I46" si="2">IF(ISERROR(H13/D13),0,(H13/D13))</f>
        <v>0</v>
      </c>
      <c r="J13" s="22">
        <f>G13/$G$46</f>
        <v>0.37991291215872858</v>
      </c>
      <c r="K13" s="107"/>
    </row>
    <row r="14" spans="1:11" s="1" customFormat="1" x14ac:dyDescent="0.2">
      <c r="A14" s="45" t="s">
        <v>33</v>
      </c>
      <c r="B14" s="23"/>
      <c r="C14" s="24"/>
      <c r="D14" s="24">
        <f>SUM(D12:D13)</f>
        <v>227.048</v>
      </c>
      <c r="E14" s="75"/>
      <c r="F14" s="24"/>
      <c r="G14" s="24">
        <f>SUM(G12:G13)</f>
        <v>227.048</v>
      </c>
      <c r="H14" s="24">
        <f t="shared" si="1"/>
        <v>0</v>
      </c>
      <c r="I14" s="26">
        <f t="shared" si="2"/>
        <v>0</v>
      </c>
      <c r="J14" s="26">
        <f>G14/$G$46</f>
        <v>0.57583189949007996</v>
      </c>
      <c r="K14" s="107"/>
    </row>
    <row r="15" spans="1:11" s="1" customFormat="1" x14ac:dyDescent="0.2">
      <c r="A15" s="108" t="s">
        <v>34</v>
      </c>
      <c r="B15" s="74">
        <f>B4*0.65</f>
        <v>1292.2</v>
      </c>
      <c r="C15" s="27">
        <v>8.6999999999999994E-2</v>
      </c>
      <c r="D15" s="21">
        <f>B15*C15</f>
        <v>112.42139999999999</v>
      </c>
      <c r="E15" s="72">
        <f t="shared" ref="E15:F17" si="3">B15</f>
        <v>1292.2</v>
      </c>
      <c r="F15" s="27">
        <f t="shared" si="3"/>
        <v>8.6999999999999994E-2</v>
      </c>
      <c r="G15" s="21">
        <f>E15*F15</f>
        <v>112.42139999999999</v>
      </c>
      <c r="H15" s="21">
        <f t="shared" si="1"/>
        <v>0</v>
      </c>
      <c r="I15" s="22">
        <f t="shared" si="2"/>
        <v>0</v>
      </c>
      <c r="J15" s="22"/>
      <c r="K15" s="107">
        <f t="shared" ref="K15:K41" si="4">G15/$G$51</f>
        <v>0.2904400002028768</v>
      </c>
    </row>
    <row r="16" spans="1:11" s="1" customFormat="1" x14ac:dyDescent="0.2">
      <c r="A16" s="108" t="s">
        <v>35</v>
      </c>
      <c r="B16" s="74">
        <f>B4*0.17</f>
        <v>337.96000000000004</v>
      </c>
      <c r="C16" s="27">
        <v>0.13200000000000001</v>
      </c>
      <c r="D16" s="21">
        <f>B16*C16</f>
        <v>44.610720000000008</v>
      </c>
      <c r="E16" s="72">
        <f t="shared" si="3"/>
        <v>337.96000000000004</v>
      </c>
      <c r="F16" s="27">
        <f t="shared" si="3"/>
        <v>0.13200000000000001</v>
      </c>
      <c r="G16" s="21">
        <f>E16*F16</f>
        <v>44.610720000000008</v>
      </c>
      <c r="H16" s="21">
        <f t="shared" si="1"/>
        <v>0</v>
      </c>
      <c r="I16" s="22">
        <f t="shared" si="2"/>
        <v>0</v>
      </c>
      <c r="J16" s="22"/>
      <c r="K16" s="107">
        <f t="shared" si="4"/>
        <v>0.11525152262692409</v>
      </c>
    </row>
    <row r="17" spans="1:11" s="1" customFormat="1" x14ac:dyDescent="0.2">
      <c r="A17" s="108" t="s">
        <v>36</v>
      </c>
      <c r="B17" s="74">
        <f>B4*0.18</f>
        <v>357.84</v>
      </c>
      <c r="C17" s="27">
        <v>0.18</v>
      </c>
      <c r="D17" s="21">
        <f>B17*C17</f>
        <v>64.411199999999994</v>
      </c>
      <c r="E17" s="72">
        <f t="shared" si="3"/>
        <v>357.84</v>
      </c>
      <c r="F17" s="27">
        <f t="shared" si="3"/>
        <v>0.18</v>
      </c>
      <c r="G17" s="21">
        <f>E17*F17</f>
        <v>64.411199999999994</v>
      </c>
      <c r="H17" s="21">
        <f t="shared" si="1"/>
        <v>0</v>
      </c>
      <c r="I17" s="22">
        <f t="shared" si="2"/>
        <v>0</v>
      </c>
      <c r="J17" s="22"/>
      <c r="K17" s="107">
        <f t="shared" si="4"/>
        <v>0.16640594176079943</v>
      </c>
    </row>
    <row r="18" spans="1:11" s="1" customFormat="1" x14ac:dyDescent="0.2">
      <c r="A18" s="60" t="s">
        <v>37</v>
      </c>
      <c r="B18" s="28"/>
      <c r="C18" s="29"/>
      <c r="D18" s="29">
        <f>SUM(D15:D17)</f>
        <v>221.44331999999997</v>
      </c>
      <c r="E18" s="76"/>
      <c r="F18" s="29"/>
      <c r="G18" s="29">
        <f>SUM(G15:G17)</f>
        <v>221.44331999999997</v>
      </c>
      <c r="H18" s="30">
        <f t="shared" si="1"/>
        <v>0</v>
      </c>
      <c r="I18" s="31">
        <f t="shared" si="2"/>
        <v>0</v>
      </c>
      <c r="J18" s="32">
        <f t="shared" ref="J18:J24" si="5">G18/$G$46</f>
        <v>0.56161748874682704</v>
      </c>
      <c r="K18" s="61">
        <f t="shared" si="4"/>
        <v>0.57209746459060029</v>
      </c>
    </row>
    <row r="19" spans="1:11" x14ac:dyDescent="0.2">
      <c r="A19" s="106" t="s">
        <v>38</v>
      </c>
      <c r="B19" s="72">
        <v>1</v>
      </c>
      <c r="C19" s="77">
        <f>VLOOKUP($B$3,'Data for Bill Impacts'!$A$3:$Y$25,7,0)</f>
        <v>40.82</v>
      </c>
      <c r="D19" s="21">
        <f>B19*C19</f>
        <v>40.82</v>
      </c>
      <c r="E19" s="72">
        <f t="shared" ref="E19:E41" si="6">B19</f>
        <v>1</v>
      </c>
      <c r="F19" s="77">
        <f>VLOOKUP($B$3,'Data for Bill Impacts'!$A$3:$Y$25,17,0)</f>
        <v>42.92</v>
      </c>
      <c r="G19" s="21">
        <f>E19*F19</f>
        <v>42.92</v>
      </c>
      <c r="H19" s="21">
        <f t="shared" si="1"/>
        <v>2.1000000000000014</v>
      </c>
      <c r="I19" s="22">
        <f t="shared" si="2"/>
        <v>5.1445369916707534E-2</v>
      </c>
      <c r="J19" s="22">
        <f t="shared" si="5"/>
        <v>0.10885233574448677</v>
      </c>
      <c r="K19" s="107">
        <f t="shared" si="4"/>
        <v>0.11088355783425108</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1988</v>
      </c>
      <c r="C23" s="125">
        <f>VLOOKUP($B$3,'Data for Bill Impacts'!$A$3:$Y$25,10,0)</f>
        <v>1.8700000000000001E-2</v>
      </c>
      <c r="D23" s="21">
        <f>B23*C23</f>
        <v>37.175600000000003</v>
      </c>
      <c r="E23" s="72">
        <f t="shared" si="6"/>
        <v>1988</v>
      </c>
      <c r="F23" s="77">
        <f>VLOOKUP($B$3,'Data for Bill Impacts'!$A$3:$Y$25,19,0)</f>
        <v>1.9900000000000001E-2</v>
      </c>
      <c r="G23" s="21">
        <f>E23*F23</f>
        <v>39.561199999999999</v>
      </c>
      <c r="H23" s="21">
        <f t="shared" si="1"/>
        <v>2.3855999999999966</v>
      </c>
      <c r="I23" s="22">
        <f t="shared" si="2"/>
        <v>6.4171122994652316E-2</v>
      </c>
      <c r="J23" s="22">
        <f t="shared" si="5"/>
        <v>0.10033385426036323</v>
      </c>
      <c r="K23" s="107">
        <f t="shared" si="4"/>
        <v>0.10220611855061448</v>
      </c>
    </row>
    <row r="24" spans="1:11" x14ac:dyDescent="0.2">
      <c r="A24" s="106" t="s">
        <v>129</v>
      </c>
      <c r="B24" s="72">
        <f>IF($B$9="kWh",$B$4,$B$5)</f>
        <v>1988</v>
      </c>
      <c r="C24" s="77">
        <f>VLOOKUP($B$3,'Data for Bill Impacts'!$A$3:$Y$25,14,0)</f>
        <v>0</v>
      </c>
      <c r="D24" s="33">
        <f>B24*C24</f>
        <v>0</v>
      </c>
      <c r="E24" s="72">
        <f t="shared" si="6"/>
        <v>1988</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77.995599999999996</v>
      </c>
      <c r="E25" s="72"/>
      <c r="F25" s="34"/>
      <c r="G25" s="34">
        <f>SUM(G19:G24)</f>
        <v>82.481200000000001</v>
      </c>
      <c r="H25" s="34">
        <f t="shared" si="1"/>
        <v>4.4856000000000051</v>
      </c>
      <c r="I25" s="35">
        <f t="shared" si="2"/>
        <v>5.7510936514367547E-2</v>
      </c>
      <c r="J25" s="35">
        <f>G25/$G$46</f>
        <v>0.20918619000485</v>
      </c>
      <c r="K25" s="110">
        <f t="shared" si="4"/>
        <v>0.21308967638486556</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2.0035728154274126E-3</v>
      </c>
      <c r="K26" s="107">
        <f t="shared" si="4"/>
        <v>2.0409601744887781E-3</v>
      </c>
    </row>
    <row r="27" spans="1:11" s="1" customFormat="1" x14ac:dyDescent="0.2">
      <c r="A27" s="118" t="s">
        <v>75</v>
      </c>
      <c r="B27" s="119">
        <f>B8-B4</f>
        <v>132.59960000000001</v>
      </c>
      <c r="C27" s="120">
        <f>IF(B4&gt;B7,C13,C12)</f>
        <v>0.121</v>
      </c>
      <c r="D27" s="21">
        <f>B27*C27</f>
        <v>16.044551600000002</v>
      </c>
      <c r="E27" s="72">
        <f>B27</f>
        <v>132.59960000000001</v>
      </c>
      <c r="F27" s="120">
        <f>C27</f>
        <v>0.121</v>
      </c>
      <c r="G27" s="21">
        <f>E27*F27</f>
        <v>16.044551600000002</v>
      </c>
      <c r="H27" s="21">
        <f t="shared" si="1"/>
        <v>0</v>
      </c>
      <c r="I27" s="22">
        <f>IF(ISERROR(H27/D27),0,(H27/D27))</f>
        <v>0</v>
      </c>
      <c r="J27" s="22">
        <f t="shared" ref="J27:J46" si="9">G27/$G$46</f>
        <v>4.0691680280357467E-2</v>
      </c>
      <c r="K27" s="107">
        <f t="shared" si="4"/>
        <v>4.1451001054595198E-2</v>
      </c>
    </row>
    <row r="28" spans="1:11" s="1" customFormat="1" x14ac:dyDescent="0.2">
      <c r="A28" s="118" t="s">
        <v>74</v>
      </c>
      <c r="B28" s="119">
        <f>B8-B4</f>
        <v>132.59960000000001</v>
      </c>
      <c r="C28" s="120">
        <f>0.65*C15+0.17*C16+0.18*C17</f>
        <v>0.11139</v>
      </c>
      <c r="D28" s="21">
        <f>B28*C28</f>
        <v>14.770269444000002</v>
      </c>
      <c r="E28" s="72">
        <f>B28</f>
        <v>132.59960000000001</v>
      </c>
      <c r="F28" s="120">
        <f>C28</f>
        <v>0.11139</v>
      </c>
      <c r="G28" s="21">
        <f>E28*F28</f>
        <v>14.770269444000002</v>
      </c>
      <c r="H28" s="21">
        <f t="shared" si="1"/>
        <v>0</v>
      </c>
      <c r="I28" s="22">
        <f>IF(ISERROR(H28/D28),0,(H28/D28))</f>
        <v>0</v>
      </c>
      <c r="J28" s="22">
        <f t="shared" si="9"/>
        <v>3.7459886499413377E-2</v>
      </c>
      <c r="K28" s="107">
        <f t="shared" si="4"/>
        <v>3.8158900888193049E-2</v>
      </c>
    </row>
    <row r="29" spans="1:11" s="1" customFormat="1" x14ac:dyDescent="0.2">
      <c r="A29" s="109" t="s">
        <v>78</v>
      </c>
      <c r="B29" s="73"/>
      <c r="C29" s="34"/>
      <c r="D29" s="34">
        <f>SUM(D25,D26:D27)</f>
        <v>94.830151600000008</v>
      </c>
      <c r="E29" s="72"/>
      <c r="F29" s="34"/>
      <c r="G29" s="34">
        <f>SUM(G25,G26:G27)</f>
        <v>99.315751600000013</v>
      </c>
      <c r="H29" s="34">
        <f t="shared" si="1"/>
        <v>4.4856000000000051</v>
      </c>
      <c r="I29" s="35">
        <f>IF(ISERROR(H29/D29),0,(H29/D29))</f>
        <v>4.7301411252832E-2</v>
      </c>
      <c r="J29" s="35">
        <f t="shared" si="9"/>
        <v>0.25188144310063493</v>
      </c>
      <c r="K29" s="110">
        <f t="shared" si="4"/>
        <v>0.25658163761394953</v>
      </c>
    </row>
    <row r="30" spans="1:11" s="1" customFormat="1" x14ac:dyDescent="0.2">
      <c r="A30" s="109" t="s">
        <v>77</v>
      </c>
      <c r="B30" s="73"/>
      <c r="C30" s="34"/>
      <c r="D30" s="34">
        <f>SUM(D25,D26,D28)</f>
        <v>93.55586944400001</v>
      </c>
      <c r="E30" s="72"/>
      <c r="F30" s="34"/>
      <c r="G30" s="34">
        <f>SUM(G25,G26,G28)</f>
        <v>98.041469444000015</v>
      </c>
      <c r="H30" s="34">
        <f t="shared" si="1"/>
        <v>4.4856000000000051</v>
      </c>
      <c r="I30" s="35">
        <f>IF(ISERROR(H30/D30),0,(H30/D30))</f>
        <v>4.7945682367742444E-2</v>
      </c>
      <c r="J30" s="35">
        <f t="shared" si="9"/>
        <v>0.24864964931969083</v>
      </c>
      <c r="K30" s="110">
        <f t="shared" si="4"/>
        <v>0.2532895374475474</v>
      </c>
    </row>
    <row r="31" spans="1:11" x14ac:dyDescent="0.2">
      <c r="A31" s="106" t="s">
        <v>40</v>
      </c>
      <c r="B31" s="72">
        <f>B8</f>
        <v>2120.5996</v>
      </c>
      <c r="C31" s="125">
        <f>VLOOKUP($B$3,'Data for Bill Impacts'!$A$3:$Y$25,15,0)</f>
        <v>5.3E-3</v>
      </c>
      <c r="D31" s="21">
        <f>B31*C31</f>
        <v>11.23917788</v>
      </c>
      <c r="E31" s="72">
        <f t="shared" si="6"/>
        <v>2120.5996</v>
      </c>
      <c r="F31" s="77">
        <f>VLOOKUP($B$3,'Data for Bill Impacts'!$A$3:$Y$25,24,0)</f>
        <v>5.3E-3</v>
      </c>
      <c r="G31" s="21">
        <f>E31*F31</f>
        <v>11.23917788</v>
      </c>
      <c r="H31" s="21">
        <f t="shared" si="1"/>
        <v>0</v>
      </c>
      <c r="I31" s="22">
        <f t="shared" si="2"/>
        <v>0</v>
      </c>
      <c r="J31" s="22">
        <f t="shared" si="9"/>
        <v>2.8504444643191264E-2</v>
      </c>
      <c r="K31" s="107">
        <f t="shared" si="4"/>
        <v>2.9036347401361028E-2</v>
      </c>
    </row>
    <row r="32" spans="1:11" x14ac:dyDescent="0.2">
      <c r="A32" s="106" t="s">
        <v>41</v>
      </c>
      <c r="B32" s="72">
        <f>B8</f>
        <v>2120.5996</v>
      </c>
      <c r="C32" s="125">
        <f>VLOOKUP($B$3,'Data for Bill Impacts'!$A$3:$Y$25,16,0)</f>
        <v>4.4000000000000003E-3</v>
      </c>
      <c r="D32" s="21">
        <f>B32*C32</f>
        <v>9.3306382400000007</v>
      </c>
      <c r="E32" s="72">
        <f t="shared" si="6"/>
        <v>2120.5996</v>
      </c>
      <c r="F32" s="77">
        <f>VLOOKUP($B$3,'Data for Bill Impacts'!$A$3:$Y$25,25,0)</f>
        <v>4.4000000000000003E-3</v>
      </c>
      <c r="G32" s="21">
        <f>E32*F32</f>
        <v>9.3306382400000007</v>
      </c>
      <c r="H32" s="21">
        <f t="shared" si="1"/>
        <v>0</v>
      </c>
      <c r="I32" s="22">
        <f t="shared" si="2"/>
        <v>0</v>
      </c>
      <c r="J32" s="22">
        <f t="shared" si="9"/>
        <v>2.3664067250951239E-2</v>
      </c>
      <c r="K32" s="107">
        <f t="shared" si="4"/>
        <v>2.4105646899243119E-2</v>
      </c>
    </row>
    <row r="33" spans="1:11" s="1" customFormat="1" x14ac:dyDescent="0.2">
      <c r="A33" s="109" t="s">
        <v>76</v>
      </c>
      <c r="B33" s="73"/>
      <c r="C33" s="34"/>
      <c r="D33" s="34">
        <f>SUM(D31:D32)</f>
        <v>20.569816119999999</v>
      </c>
      <c r="E33" s="72"/>
      <c r="F33" s="34"/>
      <c r="G33" s="34">
        <f>SUM(G31:G32)</f>
        <v>20.569816119999999</v>
      </c>
      <c r="H33" s="34">
        <f t="shared" si="1"/>
        <v>0</v>
      </c>
      <c r="I33" s="35">
        <f t="shared" si="2"/>
        <v>0</v>
      </c>
      <c r="J33" s="35">
        <f t="shared" si="9"/>
        <v>5.2168511894142497E-2</v>
      </c>
      <c r="K33" s="110">
        <f t="shared" si="4"/>
        <v>5.3141994300604144E-2</v>
      </c>
    </row>
    <row r="34" spans="1:11" s="1" customFormat="1" x14ac:dyDescent="0.2">
      <c r="A34" s="109" t="s">
        <v>93</v>
      </c>
      <c r="B34" s="73"/>
      <c r="C34" s="34"/>
      <c r="D34" s="34">
        <f>D29+D33</f>
        <v>115.39996772000001</v>
      </c>
      <c r="E34" s="72"/>
      <c r="F34" s="34"/>
      <c r="G34" s="34">
        <f>G29+G33</f>
        <v>119.88556772000001</v>
      </c>
      <c r="H34" s="34">
        <f t="shared" si="1"/>
        <v>4.4856000000000051</v>
      </c>
      <c r="I34" s="35">
        <f t="shared" si="2"/>
        <v>3.887002820385195E-2</v>
      </c>
      <c r="J34" s="35">
        <f t="shared" si="9"/>
        <v>0.30404995499477744</v>
      </c>
      <c r="K34" s="110">
        <f t="shared" si="4"/>
        <v>0.30972363191455371</v>
      </c>
    </row>
    <row r="35" spans="1:11" s="1" customFormat="1" x14ac:dyDescent="0.2">
      <c r="A35" s="109" t="s">
        <v>94</v>
      </c>
      <c r="B35" s="73"/>
      <c r="C35" s="34"/>
      <c r="D35" s="34">
        <f>D30+D33</f>
        <v>114.12568556400001</v>
      </c>
      <c r="E35" s="72"/>
      <c r="F35" s="34"/>
      <c r="G35" s="34">
        <f>G30+G33</f>
        <v>118.61128556400001</v>
      </c>
      <c r="H35" s="34">
        <f t="shared" si="1"/>
        <v>4.4856000000000051</v>
      </c>
      <c r="I35" s="35">
        <f t="shared" si="2"/>
        <v>3.9304035527432134E-2</v>
      </c>
      <c r="J35" s="35">
        <f t="shared" si="9"/>
        <v>0.30081816121383331</v>
      </c>
      <c r="K35" s="110">
        <f t="shared" si="4"/>
        <v>0.30643153174815158</v>
      </c>
    </row>
    <row r="36" spans="1:11" x14ac:dyDescent="0.2">
      <c r="A36" s="106" t="s">
        <v>42</v>
      </c>
      <c r="B36" s="72">
        <f>B8</f>
        <v>2120.5996</v>
      </c>
      <c r="C36" s="33">
        <v>3.5999999999999999E-3</v>
      </c>
      <c r="D36" s="21">
        <f>B36*C36</f>
        <v>7.6341585599999995</v>
      </c>
      <c r="E36" s="72">
        <f t="shared" si="6"/>
        <v>2120.5996</v>
      </c>
      <c r="F36" s="33">
        <v>3.5999999999999999E-3</v>
      </c>
      <c r="G36" s="21">
        <f>E36*F36</f>
        <v>7.6341585599999995</v>
      </c>
      <c r="H36" s="21">
        <f t="shared" si="1"/>
        <v>0</v>
      </c>
      <c r="I36" s="22">
        <f t="shared" si="2"/>
        <v>0</v>
      </c>
      <c r="J36" s="22">
        <f t="shared" si="9"/>
        <v>1.9361509568960104E-2</v>
      </c>
      <c r="K36" s="107">
        <f t="shared" si="4"/>
        <v>1.9722802008471641E-2</v>
      </c>
    </row>
    <row r="37" spans="1:11" x14ac:dyDescent="0.2">
      <c r="A37" s="106" t="s">
        <v>43</v>
      </c>
      <c r="B37" s="72">
        <f>B8</f>
        <v>2120.5996</v>
      </c>
      <c r="C37" s="33">
        <v>2.0999999999999999E-3</v>
      </c>
      <c r="D37" s="21">
        <f>B37*C37</f>
        <v>4.45325916</v>
      </c>
      <c r="E37" s="72">
        <f t="shared" si="6"/>
        <v>2120.5996</v>
      </c>
      <c r="F37" s="33">
        <v>2.0999999999999999E-3</v>
      </c>
      <c r="G37" s="21">
        <f>E37*F37</f>
        <v>4.45325916</v>
      </c>
      <c r="H37" s="21">
        <f>G37-D37</f>
        <v>0</v>
      </c>
      <c r="I37" s="22">
        <f t="shared" si="2"/>
        <v>0</v>
      </c>
      <c r="J37" s="22">
        <f t="shared" si="9"/>
        <v>1.1294213915226727E-2</v>
      </c>
      <c r="K37" s="107">
        <f t="shared" si="4"/>
        <v>1.1504967838275124E-2</v>
      </c>
    </row>
    <row r="38" spans="1:11" x14ac:dyDescent="0.2">
      <c r="A38" s="106" t="s">
        <v>99</v>
      </c>
      <c r="B38" s="72">
        <f>B8</f>
        <v>2120.5996</v>
      </c>
      <c r="C38" s="33">
        <v>1.1000000000000001E-3</v>
      </c>
      <c r="D38" s="21">
        <f>B38*C38</f>
        <v>2.3326595600000002</v>
      </c>
      <c r="E38" s="72">
        <f t="shared" si="6"/>
        <v>2120.5996</v>
      </c>
      <c r="F38" s="33">
        <v>1.1000000000000001E-3</v>
      </c>
      <c r="G38" s="21">
        <f>E38*F38</f>
        <v>2.3326595600000002</v>
      </c>
      <c r="H38" s="21">
        <f>G38-D38</f>
        <v>0</v>
      </c>
      <c r="I38" s="22">
        <f t="shared" si="2"/>
        <v>0</v>
      </c>
      <c r="J38" s="22">
        <f t="shared" si="9"/>
        <v>5.9160168127378098E-3</v>
      </c>
      <c r="K38" s="107">
        <f t="shared" si="4"/>
        <v>6.0264117248107797E-3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6.3404203019854833E-4</v>
      </c>
      <c r="K39" s="107">
        <f t="shared" si="4"/>
        <v>6.4587347293948666E-4</v>
      </c>
    </row>
    <row r="40" spans="1:11" s="1" customFormat="1" x14ac:dyDescent="0.2">
      <c r="A40" s="109" t="s">
        <v>45</v>
      </c>
      <c r="B40" s="73"/>
      <c r="C40" s="34"/>
      <c r="D40" s="34">
        <f>SUM(D36:D39)</f>
        <v>14.670077279999999</v>
      </c>
      <c r="E40" s="72"/>
      <c r="F40" s="34"/>
      <c r="G40" s="34">
        <f>SUM(G36:G39)</f>
        <v>14.670077279999999</v>
      </c>
      <c r="H40" s="34">
        <f t="shared" si="1"/>
        <v>0</v>
      </c>
      <c r="I40" s="35">
        <f t="shared" si="2"/>
        <v>0</v>
      </c>
      <c r="J40" s="35">
        <f t="shared" si="9"/>
        <v>3.7205782327123189E-2</v>
      </c>
      <c r="K40" s="110">
        <f t="shared" si="4"/>
        <v>3.7900055044497033E-2</v>
      </c>
    </row>
    <row r="41" spans="1:11" s="1" customFormat="1" ht="13.5" thickBot="1" x14ac:dyDescent="0.25">
      <c r="A41" s="111" t="s">
        <v>46</v>
      </c>
      <c r="B41" s="112">
        <f>B4</f>
        <v>1988</v>
      </c>
      <c r="C41" s="113">
        <v>7.0000000000000001E-3</v>
      </c>
      <c r="D41" s="114">
        <f>B41*C41</f>
        <v>13.916</v>
      </c>
      <c r="E41" s="115">
        <f t="shared" si="6"/>
        <v>1988</v>
      </c>
      <c r="F41" s="113">
        <f>C41</f>
        <v>7.0000000000000001E-3</v>
      </c>
      <c r="G41" s="114">
        <f>E41*F41</f>
        <v>13.916</v>
      </c>
      <c r="H41" s="114">
        <f t="shared" si="1"/>
        <v>0</v>
      </c>
      <c r="I41" s="116">
        <f t="shared" si="2"/>
        <v>0</v>
      </c>
      <c r="J41" s="116">
        <f t="shared" si="9"/>
        <v>3.5293315568971993E-2</v>
      </c>
      <c r="K41" s="117">
        <f t="shared" si="4"/>
        <v>3.5951900997703588E-2</v>
      </c>
    </row>
    <row r="42" spans="1:11" s="1" customFormat="1" x14ac:dyDescent="0.2">
      <c r="A42" s="36" t="s">
        <v>107</v>
      </c>
      <c r="B42" s="37"/>
      <c r="C42" s="38"/>
      <c r="D42" s="38">
        <f>SUM(D14,D25,D26,D27,D33,D40,D41)</f>
        <v>371.03404499999994</v>
      </c>
      <c r="E42" s="37"/>
      <c r="F42" s="38"/>
      <c r="G42" s="38">
        <f>SUM(G14,G25,G26,G27,G33,G40,G41)</f>
        <v>375.51964499999997</v>
      </c>
      <c r="H42" s="38">
        <f t="shared" si="1"/>
        <v>4.4856000000000336</v>
      </c>
      <c r="I42" s="39">
        <f>IF(ISERROR(H42/D42),0,(H42/D42))</f>
        <v>1.2089456642718687E-2</v>
      </c>
      <c r="J42" s="39">
        <f t="shared" si="9"/>
        <v>0.95238095238095244</v>
      </c>
      <c r="K42" s="40"/>
    </row>
    <row r="43" spans="1:11" x14ac:dyDescent="0.2">
      <c r="A43" s="143" t="s">
        <v>108</v>
      </c>
      <c r="B43" s="42"/>
      <c r="C43" s="25">
        <v>0.13</v>
      </c>
      <c r="D43" s="25">
        <f>D42*C43</f>
        <v>48.234425849999994</v>
      </c>
      <c r="E43" s="25"/>
      <c r="F43" s="25">
        <f>C43</f>
        <v>0.13</v>
      </c>
      <c r="G43" s="25">
        <f>G42*F43</f>
        <v>48.817553849999996</v>
      </c>
      <c r="H43" s="25">
        <f t="shared" si="1"/>
        <v>0.58312800000000209</v>
      </c>
      <c r="I43" s="43">
        <f t="shared" si="2"/>
        <v>1.2089456642718639E-2</v>
      </c>
      <c r="J43" s="43">
        <f t="shared" si="9"/>
        <v>0.12380952380952381</v>
      </c>
      <c r="K43" s="44"/>
    </row>
    <row r="44" spans="1:11" s="1" customFormat="1" x14ac:dyDescent="0.2">
      <c r="A44" s="45" t="s">
        <v>109</v>
      </c>
      <c r="B44" s="23"/>
      <c r="C44" s="24"/>
      <c r="D44" s="24">
        <f>SUM(D42:D43)</f>
        <v>419.26847084999991</v>
      </c>
      <c r="E44" s="24"/>
      <c r="F44" s="24"/>
      <c r="G44" s="24">
        <f>SUM(G42:G43)</f>
        <v>424.33719884999994</v>
      </c>
      <c r="H44" s="24">
        <f t="shared" si="1"/>
        <v>5.0687280000000214</v>
      </c>
      <c r="I44" s="26">
        <f t="shared" si="2"/>
        <v>1.2089456642718648E-2</v>
      </c>
      <c r="J44" s="26">
        <f t="shared" si="9"/>
        <v>1.0761904761904761</v>
      </c>
      <c r="K44" s="46"/>
    </row>
    <row r="45" spans="1:11" x14ac:dyDescent="0.2">
      <c r="A45" s="41" t="s">
        <v>110</v>
      </c>
      <c r="B45" s="42"/>
      <c r="C45" s="25">
        <v>-0.08</v>
      </c>
      <c r="D45" s="25">
        <f>D42*C45</f>
        <v>-29.682723599999996</v>
      </c>
      <c r="E45" s="25"/>
      <c r="F45" s="25">
        <f>C45</f>
        <v>-0.08</v>
      </c>
      <c r="G45" s="25">
        <f>G42*F45</f>
        <v>-30.041571599999997</v>
      </c>
      <c r="H45" s="25">
        <f t="shared" si="1"/>
        <v>-0.35884800000000183</v>
      </c>
      <c r="I45" s="43">
        <f t="shared" si="2"/>
        <v>1.2089456642718658E-2</v>
      </c>
      <c r="J45" s="43">
        <f t="shared" si="9"/>
        <v>-7.6190476190476197E-2</v>
      </c>
      <c r="K45" s="44"/>
    </row>
    <row r="46" spans="1:11" s="1" customFormat="1" ht="13.5" thickBot="1" x14ac:dyDescent="0.25">
      <c r="A46" s="47" t="s">
        <v>111</v>
      </c>
      <c r="B46" s="48"/>
      <c r="C46" s="49"/>
      <c r="D46" s="49">
        <f>SUM(D44:D45)</f>
        <v>389.58574724999994</v>
      </c>
      <c r="E46" s="49"/>
      <c r="F46" s="49"/>
      <c r="G46" s="49">
        <f>SUM(G44:G45)</f>
        <v>394.29562724999994</v>
      </c>
      <c r="H46" s="49">
        <f t="shared" si="1"/>
        <v>4.7098799999999983</v>
      </c>
      <c r="I46" s="50">
        <f t="shared" si="2"/>
        <v>1.2089456642718592E-2</v>
      </c>
      <c r="J46" s="50">
        <f t="shared" si="9"/>
        <v>1</v>
      </c>
      <c r="K46" s="51"/>
    </row>
    <row r="47" spans="1:11" x14ac:dyDescent="0.2">
      <c r="A47" s="52" t="s">
        <v>112</v>
      </c>
      <c r="B47" s="53"/>
      <c r="C47" s="54"/>
      <c r="D47" s="54">
        <f>SUM(D18,D25,D26,D28,D33,D40,D41)</f>
        <v>364.15508284399993</v>
      </c>
      <c r="E47" s="54"/>
      <c r="F47" s="54"/>
      <c r="G47" s="54">
        <f>SUM(G18,G25,G26,G28,G33,G40,G41)</f>
        <v>368.64068284399997</v>
      </c>
      <c r="H47" s="54">
        <f>G47-D47</f>
        <v>4.4856000000000336</v>
      </c>
      <c r="I47" s="55">
        <f>IF(ISERROR(H47/D47),0,(H47/D47))</f>
        <v>1.231782889028523E-2</v>
      </c>
      <c r="J47" s="55"/>
      <c r="K47" s="56">
        <f>G47/$G$51</f>
        <v>0.95238095238095244</v>
      </c>
    </row>
    <row r="48" spans="1:11" x14ac:dyDescent="0.2">
      <c r="A48" s="57" t="s">
        <v>108</v>
      </c>
      <c r="B48" s="58"/>
      <c r="C48" s="30">
        <v>0.13</v>
      </c>
      <c r="D48" s="30">
        <f>D47*C48</f>
        <v>47.340160769719994</v>
      </c>
      <c r="E48" s="30"/>
      <c r="F48" s="30">
        <f>C48</f>
        <v>0.13</v>
      </c>
      <c r="G48" s="30">
        <f>G47*F48</f>
        <v>47.923288769719996</v>
      </c>
      <c r="H48" s="30">
        <f>G48-D48</f>
        <v>0.58312800000000209</v>
      </c>
      <c r="I48" s="31">
        <f>IF(ISERROR(H48/D48),0,(H48/D48))</f>
        <v>1.2317828890285182E-2</v>
      </c>
      <c r="J48" s="31"/>
      <c r="K48" s="59">
        <f>G48/$G$51</f>
        <v>0.12380952380952381</v>
      </c>
    </row>
    <row r="49" spans="1:11" x14ac:dyDescent="0.2">
      <c r="A49" s="136" t="s">
        <v>113</v>
      </c>
      <c r="B49" s="28"/>
      <c r="C49" s="29"/>
      <c r="D49" s="29">
        <f>SUM(D47:D48)</f>
        <v>411.49524361371994</v>
      </c>
      <c r="E49" s="29"/>
      <c r="F49" s="29"/>
      <c r="G49" s="29">
        <f>SUM(G47:G48)</f>
        <v>416.56397161371996</v>
      </c>
      <c r="H49" s="29">
        <f>G49-D49</f>
        <v>5.0687280000000214</v>
      </c>
      <c r="I49" s="32">
        <f>IF(ISERROR(H49/D49),0,(H49/D49))</f>
        <v>1.2317828890285189E-2</v>
      </c>
      <c r="J49" s="32"/>
      <c r="K49" s="61">
        <f>G49/$G$51</f>
        <v>1.0761904761904761</v>
      </c>
    </row>
    <row r="50" spans="1:11" x14ac:dyDescent="0.2">
      <c r="A50" s="57" t="s">
        <v>110</v>
      </c>
      <c r="B50" s="58"/>
      <c r="C50" s="30">
        <v>-0.08</v>
      </c>
      <c r="D50" s="30">
        <f>D47*C50</f>
        <v>-29.132406627519995</v>
      </c>
      <c r="E50" s="30"/>
      <c r="F50" s="30">
        <f>C50</f>
        <v>-0.08</v>
      </c>
      <c r="G50" s="30">
        <f>G47*F50</f>
        <v>-29.491254627519996</v>
      </c>
      <c r="H50" s="30">
        <f>G50-D50</f>
        <v>-0.35884800000000183</v>
      </c>
      <c r="I50" s="31">
        <f>IF(ISERROR(H50/D50),0,(H50/D50))</f>
        <v>1.2317828890285201E-2</v>
      </c>
      <c r="J50" s="31"/>
      <c r="K50" s="59">
        <f>G50/$G$51</f>
        <v>-7.6190476190476183E-2</v>
      </c>
    </row>
    <row r="51" spans="1:11" ht="13.5" thickBot="1" x14ac:dyDescent="0.25">
      <c r="A51" s="62" t="s">
        <v>114</v>
      </c>
      <c r="B51" s="63"/>
      <c r="C51" s="64"/>
      <c r="D51" s="64">
        <f>SUM(D49:D50)</f>
        <v>382.36283698619997</v>
      </c>
      <c r="E51" s="64"/>
      <c r="F51" s="64"/>
      <c r="G51" s="64">
        <f>SUM(G49:G50)</f>
        <v>387.07271698619996</v>
      </c>
      <c r="H51" s="64">
        <f>G51-D51</f>
        <v>4.7098799999999983</v>
      </c>
      <c r="I51" s="65">
        <f>IF(ISERROR(H51/D51),0,(H51/D51))</f>
        <v>1.2317828890285131E-2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tabColor theme="1" tint="0.499984740745262"/>
    <pageSetUpPr fitToPage="1"/>
  </sheetPr>
  <dimension ref="A1:K68"/>
  <sheetViews>
    <sheetView tabSelected="1" topLeftCell="A16"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8.8554687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x14ac:dyDescent="0.2">
      <c r="A3" s="12" t="s">
        <v>13</v>
      </c>
      <c r="B3" s="12" t="s">
        <v>120</v>
      </c>
    </row>
    <row r="4" spans="1:11" x14ac:dyDescent="0.2">
      <c r="A4" s="14" t="s">
        <v>62</v>
      </c>
      <c r="B4" s="148">
        <v>15000</v>
      </c>
    </row>
    <row r="5" spans="1:11" x14ac:dyDescent="0.2">
      <c r="A5" s="14" t="s">
        <v>16</v>
      </c>
      <c r="B5" s="14">
        <f>VLOOKUP($B$3,'Data for Bill Impacts'!$A$3:$Y$25,5,0)</f>
        <v>0</v>
      </c>
    </row>
    <row r="6" spans="1:11" x14ac:dyDescent="0.2">
      <c r="A6" s="14" t="s">
        <v>20</v>
      </c>
      <c r="B6" s="14">
        <f>VLOOKUP($B$3,'Data for Bill Impacts'!$A$3:$Y$25,2,0)</f>
        <v>1.0667</v>
      </c>
    </row>
    <row r="7" spans="1:11" x14ac:dyDescent="0.2">
      <c r="A7" s="14" t="s">
        <v>15</v>
      </c>
      <c r="B7" s="14">
        <f>VLOOKUP($B$3,'Data for Bill Impacts'!$A$3:$Y$25,4,0)</f>
        <v>750</v>
      </c>
    </row>
    <row r="8" spans="1:11" x14ac:dyDescent="0.2">
      <c r="A8" s="14" t="s">
        <v>82</v>
      </c>
      <c r="B8" s="14">
        <f>B4*B6</f>
        <v>16000.5</v>
      </c>
    </row>
    <row r="9" spans="1:11" x14ac:dyDescent="0.2">
      <c r="A9" s="14" t="s">
        <v>21</v>
      </c>
      <c r="B9" s="15" t="str">
        <f>VLOOKUP($B$3,'Data for Bill Impacts'!$A$3:$Y$25,6,0)</f>
        <v>kWh</v>
      </c>
    </row>
    <row r="10" spans="1:11" ht="13.5" thickBot="1" x14ac:dyDescent="0.25"/>
    <row r="11" spans="1:11" s="19" customFormat="1" ht="51.75"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750</v>
      </c>
      <c r="C12" s="102">
        <v>0.10299999999999999</v>
      </c>
      <c r="D12" s="103">
        <f>B12*C12</f>
        <v>77.25</v>
      </c>
      <c r="E12" s="101">
        <f>B12</f>
        <v>750</v>
      </c>
      <c r="F12" s="102">
        <f>C12</f>
        <v>0.10299999999999999</v>
      </c>
      <c r="G12" s="103">
        <f>E12*F12</f>
        <v>77.25</v>
      </c>
      <c r="H12" s="103">
        <f>G12-D12</f>
        <v>0</v>
      </c>
      <c r="I12" s="104">
        <f>IF(ISERROR(H12/D12),0,(H12/D12))</f>
        <v>0</v>
      </c>
      <c r="J12" s="104">
        <f>G12/$G$46</f>
        <v>2.7931141059651901E-2</v>
      </c>
      <c r="K12" s="105"/>
    </row>
    <row r="13" spans="1:11" x14ac:dyDescent="0.2">
      <c r="A13" s="106" t="s">
        <v>32</v>
      </c>
      <c r="B13" s="72">
        <f>IF(B4&gt;B7,(B4)-B7,0)</f>
        <v>14250</v>
      </c>
      <c r="C13" s="20">
        <v>0.121</v>
      </c>
      <c r="D13" s="21">
        <f>B13*C13</f>
        <v>1724.25</v>
      </c>
      <c r="E13" s="72">
        <f t="shared" ref="E13" si="0">B13</f>
        <v>14250</v>
      </c>
      <c r="F13" s="20">
        <f>C13</f>
        <v>0.121</v>
      </c>
      <c r="G13" s="21">
        <f>E13*F13</f>
        <v>1724.25</v>
      </c>
      <c r="H13" s="21">
        <f t="shared" ref="H13:H46" si="1">G13-D13</f>
        <v>0</v>
      </c>
      <c r="I13" s="22">
        <f t="shared" ref="I13:I46" si="2">IF(ISERROR(H13/D13),0,(H13/D13))</f>
        <v>0</v>
      </c>
      <c r="J13" s="22">
        <f>G13/$G$46</f>
        <v>0.62343391549650218</v>
      </c>
      <c r="K13" s="107"/>
    </row>
    <row r="14" spans="1:11" s="1" customFormat="1" x14ac:dyDescent="0.2">
      <c r="A14" s="45" t="s">
        <v>33</v>
      </c>
      <c r="B14" s="23"/>
      <c r="C14" s="24"/>
      <c r="D14" s="24">
        <f>SUM(D12:D13)</f>
        <v>1801.5</v>
      </c>
      <c r="E14" s="75"/>
      <c r="F14" s="24"/>
      <c r="G14" s="24">
        <f>SUM(G12:G13)</f>
        <v>1801.5</v>
      </c>
      <c r="H14" s="24">
        <f t="shared" si="1"/>
        <v>0</v>
      </c>
      <c r="I14" s="26">
        <f t="shared" si="2"/>
        <v>0</v>
      </c>
      <c r="J14" s="26">
        <f>G14/$G$46</f>
        <v>0.65136505655615407</v>
      </c>
      <c r="K14" s="107"/>
    </row>
    <row r="15" spans="1:11" s="1" customFormat="1" x14ac:dyDescent="0.2">
      <c r="A15" s="108" t="s">
        <v>34</v>
      </c>
      <c r="B15" s="74">
        <f>B4*0.65</f>
        <v>9750</v>
      </c>
      <c r="C15" s="27">
        <v>8.6999999999999994E-2</v>
      </c>
      <c r="D15" s="21">
        <f>B15*C15</f>
        <v>848.24999999999989</v>
      </c>
      <c r="E15" s="72">
        <f t="shared" ref="E15:F17" si="3">B15</f>
        <v>9750</v>
      </c>
      <c r="F15" s="27">
        <f t="shared" si="3"/>
        <v>8.6999999999999994E-2</v>
      </c>
      <c r="G15" s="21">
        <f>E15*F15</f>
        <v>848.24999999999989</v>
      </c>
      <c r="H15" s="21">
        <f t="shared" si="1"/>
        <v>0</v>
      </c>
      <c r="I15" s="22">
        <f t="shared" si="2"/>
        <v>0</v>
      </c>
      <c r="J15" s="22"/>
      <c r="K15" s="107">
        <f t="shared" ref="K15:K41" si="4">G15/$G$51</f>
        <v>0.32395092746324183</v>
      </c>
    </row>
    <row r="16" spans="1:11" s="1" customFormat="1" x14ac:dyDescent="0.2">
      <c r="A16" s="108" t="s">
        <v>35</v>
      </c>
      <c r="B16" s="74">
        <f>B4*0.17</f>
        <v>2550</v>
      </c>
      <c r="C16" s="27">
        <v>0.13200000000000001</v>
      </c>
      <c r="D16" s="21">
        <f>B16*C16</f>
        <v>336.6</v>
      </c>
      <c r="E16" s="72">
        <f t="shared" si="3"/>
        <v>2550</v>
      </c>
      <c r="F16" s="27">
        <f t="shared" si="3"/>
        <v>0.13200000000000001</v>
      </c>
      <c r="G16" s="21">
        <f>E16*F16</f>
        <v>336.6</v>
      </c>
      <c r="H16" s="21">
        <f t="shared" si="1"/>
        <v>0</v>
      </c>
      <c r="I16" s="22">
        <f t="shared" si="2"/>
        <v>0</v>
      </c>
      <c r="J16" s="22"/>
      <c r="K16" s="107">
        <f t="shared" si="4"/>
        <v>0.12854922744960476</v>
      </c>
    </row>
    <row r="17" spans="1:11" s="1" customFormat="1" x14ac:dyDescent="0.2">
      <c r="A17" s="108" t="s">
        <v>36</v>
      </c>
      <c r="B17" s="74">
        <f>B4*0.18</f>
        <v>2700</v>
      </c>
      <c r="C17" s="27">
        <v>0.18</v>
      </c>
      <c r="D17" s="21">
        <f>B17*C17</f>
        <v>486</v>
      </c>
      <c r="E17" s="72">
        <f t="shared" si="3"/>
        <v>2700</v>
      </c>
      <c r="F17" s="27">
        <f t="shared" si="3"/>
        <v>0.18</v>
      </c>
      <c r="G17" s="21">
        <f>E17*F17</f>
        <v>486</v>
      </c>
      <c r="H17" s="21">
        <f t="shared" si="1"/>
        <v>0</v>
      </c>
      <c r="I17" s="22">
        <f t="shared" si="2"/>
        <v>0</v>
      </c>
      <c r="J17" s="22"/>
      <c r="K17" s="107">
        <f t="shared" si="4"/>
        <v>0.18560583642456299</v>
      </c>
    </row>
    <row r="18" spans="1:11" s="1" customFormat="1" x14ac:dyDescent="0.2">
      <c r="A18" s="60" t="s">
        <v>37</v>
      </c>
      <c r="B18" s="28"/>
      <c r="C18" s="29"/>
      <c r="D18" s="29">
        <f>SUM(D15:D17)</f>
        <v>1670.85</v>
      </c>
      <c r="E18" s="76"/>
      <c r="F18" s="29"/>
      <c r="G18" s="29">
        <f>SUM(G15:G17)</f>
        <v>1670.85</v>
      </c>
      <c r="H18" s="30">
        <f t="shared" si="1"/>
        <v>0</v>
      </c>
      <c r="I18" s="31">
        <f t="shared" si="2"/>
        <v>0</v>
      </c>
      <c r="J18" s="32">
        <f t="shared" ref="J18:J24" si="5">G18/$G$46</f>
        <v>0.60412617526885926</v>
      </c>
      <c r="K18" s="61">
        <f t="shared" si="4"/>
        <v>0.63810599133740964</v>
      </c>
    </row>
    <row r="19" spans="1:11" x14ac:dyDescent="0.2">
      <c r="A19" s="106" t="s">
        <v>38</v>
      </c>
      <c r="B19" s="72">
        <v>1</v>
      </c>
      <c r="C19" s="77">
        <f>VLOOKUP($B$3,'Data for Bill Impacts'!$A$3:$Y$25,7,0)</f>
        <v>40.82</v>
      </c>
      <c r="D19" s="21">
        <f>B19*C19</f>
        <v>40.82</v>
      </c>
      <c r="E19" s="72">
        <f t="shared" ref="E19:E41" si="6">B19</f>
        <v>1</v>
      </c>
      <c r="F19" s="77">
        <f>VLOOKUP($B$3,'Data for Bill Impacts'!$A$3:$Y$25,17,0)</f>
        <v>42.92</v>
      </c>
      <c r="G19" s="21">
        <f>E19*F19</f>
        <v>42.92</v>
      </c>
      <c r="H19" s="21">
        <f t="shared" si="1"/>
        <v>2.1000000000000014</v>
      </c>
      <c r="I19" s="22">
        <f t="shared" si="2"/>
        <v>5.1445369916707534E-2</v>
      </c>
      <c r="J19" s="22">
        <f t="shared" si="5"/>
        <v>1.5518505815925692E-2</v>
      </c>
      <c r="K19" s="107">
        <f t="shared" si="4"/>
        <v>1.6391363167370873E-2</v>
      </c>
    </row>
    <row r="20" spans="1:11" hidden="1" x14ac:dyDescent="0.2">
      <c r="A20" s="106" t="s">
        <v>83</v>
      </c>
      <c r="B20" s="72">
        <v>1</v>
      </c>
      <c r="C20" s="77">
        <f>VLOOKUP($B$3,'Data for Bill Impacts'!$A$3:$Y$25,8,0)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84</v>
      </c>
      <c r="B21" s="72">
        <v>1</v>
      </c>
      <c r="C21" s="77">
        <f>VLOOKUP($B$3,'Data for Bill Impacts'!$A$3:$Y$25,11,0)</f>
        <v>0</v>
      </c>
      <c r="D21" s="21">
        <f t="shared" ref="D21:D22" si="8">B21*C21</f>
        <v>0</v>
      </c>
      <c r="E21" s="72">
        <f t="shared" si="6"/>
        <v>1</v>
      </c>
      <c r="F21" s="121">
        <f>VLOOKUP($B$3,'Data for Bill Impacts'!$A$3:$Y$25,12,0)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Impacts'!$A$3:$Y$25,13,0)</f>
        <v>0</v>
      </c>
      <c r="D22" s="21">
        <f t="shared" si="8"/>
        <v>0</v>
      </c>
      <c r="E22" s="72">
        <f t="shared" si="6"/>
        <v>1</v>
      </c>
      <c r="F22" s="121">
        <f>VLOOKUP($B$3,'Data for Bill Impacts'!$A$3:$Y$25,22,0)</f>
        <v>0</v>
      </c>
      <c r="G22" s="21">
        <f t="shared" si="7"/>
        <v>0</v>
      </c>
      <c r="H22" s="21">
        <f t="shared" si="1"/>
        <v>0</v>
      </c>
      <c r="I22" s="22">
        <f t="shared" si="2"/>
        <v>0</v>
      </c>
      <c r="J22" s="22">
        <f t="shared" si="5"/>
        <v>0</v>
      </c>
      <c r="K22" s="107">
        <f t="shared" si="4"/>
        <v>0</v>
      </c>
    </row>
    <row r="23" spans="1:11" x14ac:dyDescent="0.2">
      <c r="A23" s="106" t="s">
        <v>39</v>
      </c>
      <c r="B23" s="72">
        <f>IF($B$9="kWh",$B$4,$B$5)</f>
        <v>15000</v>
      </c>
      <c r="C23" s="125">
        <f>VLOOKUP($B$3,'Data for Bill Impacts'!$A$3:$Y$25,10,0)</f>
        <v>1.8700000000000001E-2</v>
      </c>
      <c r="D23" s="21">
        <f>B23*C23</f>
        <v>280.5</v>
      </c>
      <c r="E23" s="72">
        <f t="shared" si="6"/>
        <v>15000</v>
      </c>
      <c r="F23" s="77">
        <f>VLOOKUP($B$3,'Data for Bill Impacts'!$A$3:$Y$25,19,0)</f>
        <v>1.9900000000000001E-2</v>
      </c>
      <c r="G23" s="21">
        <f>E23*F23</f>
        <v>298.5</v>
      </c>
      <c r="H23" s="21">
        <f t="shared" si="1"/>
        <v>18</v>
      </c>
      <c r="I23" s="22">
        <f t="shared" si="2"/>
        <v>6.4171122994652413E-2</v>
      </c>
      <c r="J23" s="22">
        <f t="shared" si="5"/>
        <v>0.10792809846350929</v>
      </c>
      <c r="K23" s="107">
        <f t="shared" si="4"/>
        <v>0.11399864644595073</v>
      </c>
    </row>
    <row r="24" spans="1:11" x14ac:dyDescent="0.2">
      <c r="A24" s="106" t="s">
        <v>129</v>
      </c>
      <c r="B24" s="72">
        <f>IF($B$9="kWh",$B$4,$B$5)</f>
        <v>15000</v>
      </c>
      <c r="C24" s="77">
        <f>VLOOKUP($B$3,'Data for Bill Impacts'!$A$3:$Y$25,14,0)</f>
        <v>0</v>
      </c>
      <c r="D24" s="33">
        <f>B24*C24</f>
        <v>0</v>
      </c>
      <c r="E24" s="72">
        <f t="shared" si="6"/>
        <v>15000</v>
      </c>
      <c r="F24" s="77">
        <f>VLOOKUP($B$3,'Data for Bill Impacts'!$A$3:$Y$25,23,0)</f>
        <v>0</v>
      </c>
      <c r="G24" s="33">
        <f>E24*F24</f>
        <v>0</v>
      </c>
      <c r="H24" s="21">
        <f t="shared" si="1"/>
        <v>0</v>
      </c>
      <c r="I24" s="22">
        <f>IF(ISERROR(H24/D24),0,(H24/D24))</f>
        <v>0</v>
      </c>
      <c r="J24" s="22">
        <f t="shared" si="5"/>
        <v>0</v>
      </c>
      <c r="K24" s="107">
        <f t="shared" si="4"/>
        <v>0</v>
      </c>
    </row>
    <row r="25" spans="1:11" s="1" customFormat="1" x14ac:dyDescent="0.2">
      <c r="A25" s="109" t="s">
        <v>72</v>
      </c>
      <c r="B25" s="73"/>
      <c r="C25" s="34"/>
      <c r="D25" s="34">
        <f>SUM(D19:D24)</f>
        <v>321.32</v>
      </c>
      <c r="E25" s="72"/>
      <c r="F25" s="34"/>
      <c r="G25" s="34">
        <f>SUM(G19:G24)</f>
        <v>341.42</v>
      </c>
      <c r="H25" s="34">
        <f t="shared" si="1"/>
        <v>20.100000000000023</v>
      </c>
      <c r="I25" s="35">
        <f t="shared" si="2"/>
        <v>6.2554462840781852E-2</v>
      </c>
      <c r="J25" s="35">
        <f>G25/$G$46</f>
        <v>0.12344660427943499</v>
      </c>
      <c r="K25" s="110">
        <f t="shared" si="4"/>
        <v>0.13039000961332162</v>
      </c>
    </row>
    <row r="26" spans="1:11" s="1" customFormat="1" x14ac:dyDescent="0.2">
      <c r="A26" s="118" t="s">
        <v>73</v>
      </c>
      <c r="B26" s="119">
        <v>1</v>
      </c>
      <c r="C26" s="77">
        <f>VLOOKUP($B$3,'Data for Bill Impacts'!$A$3:$Y$25,9,0)</f>
        <v>0.79</v>
      </c>
      <c r="D26" s="21">
        <f>B26*C26</f>
        <v>0.79</v>
      </c>
      <c r="E26" s="72">
        <v>1</v>
      </c>
      <c r="F26" s="77">
        <f>VLOOKUP($B$3,'Data for Bill Impacts'!$A$3:$Y$25,18,0)</f>
        <v>0.79</v>
      </c>
      <c r="G26" s="21">
        <f>E26*F26</f>
        <v>0.79</v>
      </c>
      <c r="H26" s="21">
        <f t="shared" si="1"/>
        <v>0</v>
      </c>
      <c r="I26" s="22">
        <f>IF(ISERROR(H26/D26),0,(H26/D26))</f>
        <v>0</v>
      </c>
      <c r="J26" s="22">
        <f>G26/$G$46</f>
        <v>2.8563885355501622E-4</v>
      </c>
      <c r="K26" s="107">
        <f t="shared" si="4"/>
        <v>3.0170496044321972E-4</v>
      </c>
    </row>
    <row r="27" spans="1:11" s="1" customFormat="1" x14ac:dyDescent="0.2">
      <c r="A27" s="118" t="s">
        <v>75</v>
      </c>
      <c r="B27" s="119">
        <f>B8-B4</f>
        <v>1000.5</v>
      </c>
      <c r="C27" s="120">
        <f>IF(B4&gt;B7,C13,C12)</f>
        <v>0.121</v>
      </c>
      <c r="D27" s="21">
        <f>B27*C27</f>
        <v>121.06049999999999</v>
      </c>
      <c r="E27" s="72">
        <f>B27</f>
        <v>1000.5</v>
      </c>
      <c r="F27" s="120">
        <f>C27</f>
        <v>0.121</v>
      </c>
      <c r="G27" s="21">
        <f>E27*F27</f>
        <v>121.06049999999999</v>
      </c>
      <c r="H27" s="21">
        <f t="shared" si="1"/>
        <v>0</v>
      </c>
      <c r="I27" s="22">
        <f>IF(ISERROR(H27/D27),0,(H27/D27))</f>
        <v>0</v>
      </c>
      <c r="J27" s="22">
        <f t="shared" ref="J27:J46" si="9">G27/$G$46</f>
        <v>4.3771623330122834E-2</v>
      </c>
      <c r="K27" s="107">
        <f t="shared" si="4"/>
        <v>4.6233611852830876E-2</v>
      </c>
    </row>
    <row r="28" spans="1:11" s="1" customFormat="1" x14ac:dyDescent="0.2">
      <c r="A28" s="118" t="s">
        <v>74</v>
      </c>
      <c r="B28" s="119">
        <f>B8-B4</f>
        <v>1000.5</v>
      </c>
      <c r="C28" s="120">
        <f>0.65*C15+0.17*C16+0.18*C17</f>
        <v>0.11139</v>
      </c>
      <c r="D28" s="21">
        <f>B28*C28</f>
        <v>111.445695</v>
      </c>
      <c r="E28" s="72">
        <f>B28</f>
        <v>1000.5</v>
      </c>
      <c r="F28" s="120">
        <f>C28</f>
        <v>0.11139</v>
      </c>
      <c r="G28" s="21">
        <f>E28*F28</f>
        <v>111.445695</v>
      </c>
      <c r="H28" s="21">
        <f t="shared" si="1"/>
        <v>0</v>
      </c>
      <c r="I28" s="22">
        <f>IF(ISERROR(H28/D28),0,(H28/D28))</f>
        <v>0</v>
      </c>
      <c r="J28" s="22">
        <f t="shared" si="9"/>
        <v>4.0295215890432917E-2</v>
      </c>
      <c r="K28" s="107">
        <f t="shared" si="4"/>
        <v>4.2561669622205221E-2</v>
      </c>
    </row>
    <row r="29" spans="1:11" s="1" customFormat="1" x14ac:dyDescent="0.2">
      <c r="A29" s="109" t="s">
        <v>78</v>
      </c>
      <c r="B29" s="73"/>
      <c r="C29" s="34"/>
      <c r="D29" s="34">
        <f>SUM(D25,D26:D27)</f>
        <v>443.1705</v>
      </c>
      <c r="E29" s="72"/>
      <c r="F29" s="34"/>
      <c r="G29" s="34">
        <f>SUM(G25,G26:G27)</f>
        <v>463.27050000000003</v>
      </c>
      <c r="H29" s="34">
        <f t="shared" si="1"/>
        <v>20.100000000000023</v>
      </c>
      <c r="I29" s="35">
        <f>IF(ISERROR(H29/D29),0,(H29/D29))</f>
        <v>4.5355004450882953E-2</v>
      </c>
      <c r="J29" s="35">
        <f t="shared" si="9"/>
        <v>0.16750386646311285</v>
      </c>
      <c r="K29" s="110">
        <f t="shared" si="4"/>
        <v>0.1769253264265957</v>
      </c>
    </row>
    <row r="30" spans="1:11" s="1" customFormat="1" x14ac:dyDescent="0.2">
      <c r="A30" s="109" t="s">
        <v>77</v>
      </c>
      <c r="B30" s="73"/>
      <c r="C30" s="34"/>
      <c r="D30" s="34">
        <f>SUM(D25,D26,D28)</f>
        <v>433.55569500000001</v>
      </c>
      <c r="E30" s="72"/>
      <c r="F30" s="34"/>
      <c r="G30" s="34">
        <f>SUM(G25,G26,G28)</f>
        <v>453.65569500000004</v>
      </c>
      <c r="H30" s="34">
        <f t="shared" si="1"/>
        <v>20.100000000000023</v>
      </c>
      <c r="I30" s="35">
        <f>IF(ISERROR(H30/D30),0,(H30/D30))</f>
        <v>4.6360825683537665E-2</v>
      </c>
      <c r="J30" s="35">
        <f t="shared" si="9"/>
        <v>0.16402745902342292</v>
      </c>
      <c r="K30" s="110">
        <f t="shared" si="4"/>
        <v>0.17325338419597006</v>
      </c>
    </row>
    <row r="31" spans="1:11" x14ac:dyDescent="0.2">
      <c r="A31" s="106" t="s">
        <v>40</v>
      </c>
      <c r="B31" s="72">
        <f>B8</f>
        <v>16000.5</v>
      </c>
      <c r="C31" s="125">
        <f>VLOOKUP($B$3,'Data for Bill Impacts'!$A$3:$Y$25,15,0)</f>
        <v>5.3E-3</v>
      </c>
      <c r="D31" s="21">
        <f>B31*C31</f>
        <v>84.80265</v>
      </c>
      <c r="E31" s="72">
        <f t="shared" si="6"/>
        <v>16000.5</v>
      </c>
      <c r="F31" s="77">
        <f>VLOOKUP($B$3,'Data for Bill Impacts'!$A$3:$Y$25,24,0)</f>
        <v>5.3E-3</v>
      </c>
      <c r="G31" s="21">
        <f>E31*F31</f>
        <v>84.80265</v>
      </c>
      <c r="H31" s="21">
        <f t="shared" si="1"/>
        <v>0</v>
      </c>
      <c r="I31" s="22">
        <f t="shared" si="2"/>
        <v>0</v>
      </c>
      <c r="J31" s="22">
        <f t="shared" si="9"/>
        <v>3.0661938891680122E-2</v>
      </c>
      <c r="K31" s="107">
        <f t="shared" si="4"/>
        <v>3.238655716927874E-2</v>
      </c>
    </row>
    <row r="32" spans="1:11" x14ac:dyDescent="0.2">
      <c r="A32" s="106" t="s">
        <v>41</v>
      </c>
      <c r="B32" s="72">
        <f>B8</f>
        <v>16000.5</v>
      </c>
      <c r="C32" s="125">
        <f>VLOOKUP($B$3,'Data for Bill Impacts'!$A$3:$Y$25,16,0)</f>
        <v>4.4000000000000003E-3</v>
      </c>
      <c r="D32" s="21">
        <f>B32*C32</f>
        <v>70.402200000000008</v>
      </c>
      <c r="E32" s="72">
        <f t="shared" si="6"/>
        <v>16000.5</v>
      </c>
      <c r="F32" s="77">
        <f>VLOOKUP($B$3,'Data for Bill Impacts'!$A$3:$Y$25,25,0)</f>
        <v>4.4000000000000003E-3</v>
      </c>
      <c r="G32" s="21">
        <f>E32*F32</f>
        <v>70.402200000000008</v>
      </c>
      <c r="H32" s="21">
        <f t="shared" si="1"/>
        <v>0</v>
      </c>
      <c r="I32" s="22">
        <f t="shared" si="2"/>
        <v>0</v>
      </c>
      <c r="J32" s="22">
        <f t="shared" si="9"/>
        <v>2.5455194551583502E-2</v>
      </c>
      <c r="K32" s="107">
        <f t="shared" si="4"/>
        <v>2.688695312166537E-2</v>
      </c>
    </row>
    <row r="33" spans="1:11" s="1" customFormat="1" x14ac:dyDescent="0.2">
      <c r="A33" s="109" t="s">
        <v>76</v>
      </c>
      <c r="B33" s="73"/>
      <c r="C33" s="34"/>
      <c r="D33" s="34">
        <f>SUM(D31:D32)</f>
        <v>155.20485000000002</v>
      </c>
      <c r="E33" s="72"/>
      <c r="F33" s="34"/>
      <c r="G33" s="34">
        <f>SUM(G31:G32)</f>
        <v>155.20485000000002</v>
      </c>
      <c r="H33" s="34">
        <f t="shared" si="1"/>
        <v>0</v>
      </c>
      <c r="I33" s="35">
        <f t="shared" si="2"/>
        <v>0</v>
      </c>
      <c r="J33" s="35">
        <f t="shared" si="9"/>
        <v>5.6117133443263627E-2</v>
      </c>
      <c r="K33" s="110">
        <f t="shared" si="4"/>
        <v>5.9273510290944117E-2</v>
      </c>
    </row>
    <row r="34" spans="1:11" s="1" customFormat="1" x14ac:dyDescent="0.2">
      <c r="A34" s="109" t="s">
        <v>93</v>
      </c>
      <c r="B34" s="73"/>
      <c r="C34" s="34"/>
      <c r="D34" s="34">
        <f>D29+D33</f>
        <v>598.37535000000003</v>
      </c>
      <c r="E34" s="72"/>
      <c r="F34" s="34"/>
      <c r="G34" s="34">
        <f>G29+G33</f>
        <v>618.47535000000005</v>
      </c>
      <c r="H34" s="34">
        <f t="shared" si="1"/>
        <v>20.100000000000023</v>
      </c>
      <c r="I34" s="35">
        <f t="shared" si="2"/>
        <v>3.3590955910867686E-2</v>
      </c>
      <c r="J34" s="35">
        <f t="shared" si="9"/>
        <v>0.22362099990637646</v>
      </c>
      <c r="K34" s="110">
        <f t="shared" si="4"/>
        <v>0.23619883671753983</v>
      </c>
    </row>
    <row r="35" spans="1:11" s="1" customFormat="1" x14ac:dyDescent="0.2">
      <c r="A35" s="109" t="s">
        <v>94</v>
      </c>
      <c r="B35" s="73"/>
      <c r="C35" s="34"/>
      <c r="D35" s="34">
        <f>D30+D33</f>
        <v>588.76054500000009</v>
      </c>
      <c r="E35" s="72"/>
      <c r="F35" s="34"/>
      <c r="G35" s="34">
        <f>G30+G33</f>
        <v>608.860545</v>
      </c>
      <c r="H35" s="34">
        <f t="shared" si="1"/>
        <v>20.099999999999909</v>
      </c>
      <c r="I35" s="35">
        <f t="shared" si="2"/>
        <v>3.4139515921536329E-2</v>
      </c>
      <c r="J35" s="35">
        <f t="shared" si="9"/>
        <v>0.22014459246668652</v>
      </c>
      <c r="K35" s="110">
        <f t="shared" si="4"/>
        <v>0.23252689448691416</v>
      </c>
    </row>
    <row r="36" spans="1:11" x14ac:dyDescent="0.2">
      <c r="A36" s="106" t="s">
        <v>42</v>
      </c>
      <c r="B36" s="72">
        <f>B8</f>
        <v>16000.5</v>
      </c>
      <c r="C36" s="33">
        <v>3.5999999999999999E-3</v>
      </c>
      <c r="D36" s="21">
        <f>B36*C36</f>
        <v>57.601799999999997</v>
      </c>
      <c r="E36" s="72">
        <f t="shared" si="6"/>
        <v>16000.5</v>
      </c>
      <c r="F36" s="33">
        <v>3.5999999999999999E-3</v>
      </c>
      <c r="G36" s="21">
        <f>E36*F36</f>
        <v>57.601799999999997</v>
      </c>
      <c r="H36" s="21">
        <f t="shared" si="1"/>
        <v>0</v>
      </c>
      <c r="I36" s="22">
        <f t="shared" si="2"/>
        <v>0</v>
      </c>
      <c r="J36" s="22">
        <f t="shared" si="9"/>
        <v>2.0826977360386498E-2</v>
      </c>
      <c r="K36" s="107">
        <f t="shared" si="4"/>
        <v>2.1998416190453483E-2</v>
      </c>
    </row>
    <row r="37" spans="1:11" x14ac:dyDescent="0.2">
      <c r="A37" s="106" t="s">
        <v>43</v>
      </c>
      <c r="B37" s="72">
        <f>B8</f>
        <v>16000.5</v>
      </c>
      <c r="C37" s="33">
        <v>2.0999999999999999E-3</v>
      </c>
      <c r="D37" s="21">
        <f>B37*C37</f>
        <v>33.601050000000001</v>
      </c>
      <c r="E37" s="72">
        <f t="shared" si="6"/>
        <v>16000.5</v>
      </c>
      <c r="F37" s="33">
        <v>2.0999999999999999E-3</v>
      </c>
      <c r="G37" s="21">
        <f>E37*F37</f>
        <v>33.601050000000001</v>
      </c>
      <c r="H37" s="21">
        <f>G37-D37</f>
        <v>0</v>
      </c>
      <c r="I37" s="22">
        <f t="shared" si="2"/>
        <v>0</v>
      </c>
      <c r="J37" s="22">
        <f t="shared" si="9"/>
        <v>1.2149070126892123E-2</v>
      </c>
      <c r="K37" s="107">
        <f t="shared" si="4"/>
        <v>1.2832409444431198E-2</v>
      </c>
    </row>
    <row r="38" spans="1:11" x14ac:dyDescent="0.2">
      <c r="A38" s="106" t="s">
        <v>99</v>
      </c>
      <c r="B38" s="72">
        <f>B8</f>
        <v>16000.5</v>
      </c>
      <c r="C38" s="33">
        <v>1.1000000000000001E-3</v>
      </c>
      <c r="D38" s="21">
        <f>B38*C38</f>
        <v>17.600550000000002</v>
      </c>
      <c r="E38" s="72">
        <f t="shared" si="6"/>
        <v>16000.5</v>
      </c>
      <c r="F38" s="33">
        <v>1.1000000000000001E-3</v>
      </c>
      <c r="G38" s="21">
        <f>E38*F38</f>
        <v>17.600550000000002</v>
      </c>
      <c r="H38" s="21">
        <f>G38-D38</f>
        <v>0</v>
      </c>
      <c r="I38" s="22">
        <f t="shared" si="2"/>
        <v>0</v>
      </c>
      <c r="J38" s="22">
        <f t="shared" si="9"/>
        <v>6.3637986378958754E-3</v>
      </c>
      <c r="K38" s="107">
        <f t="shared" si="4"/>
        <v>6.7217382804163426E-3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9"/>
        <v>9.0392042264245636E-5</v>
      </c>
      <c r="K39" s="107">
        <f t="shared" si="4"/>
        <v>9.547625330481635E-5</v>
      </c>
    </row>
    <row r="40" spans="1:11" s="1" customFormat="1" x14ac:dyDescent="0.2">
      <c r="A40" s="109" t="s">
        <v>45</v>
      </c>
      <c r="B40" s="73"/>
      <c r="C40" s="34"/>
      <c r="D40" s="34">
        <f>SUM(D36:D39)</f>
        <v>109.0534</v>
      </c>
      <c r="E40" s="72"/>
      <c r="F40" s="34"/>
      <c r="G40" s="34">
        <f>SUM(G36:G39)</f>
        <v>109.0534</v>
      </c>
      <c r="H40" s="34">
        <f t="shared" si="1"/>
        <v>0</v>
      </c>
      <c r="I40" s="35">
        <f t="shared" si="2"/>
        <v>0</v>
      </c>
      <c r="J40" s="35">
        <f t="shared" si="9"/>
        <v>3.9430238167438743E-2</v>
      </c>
      <c r="K40" s="110">
        <f t="shared" si="4"/>
        <v>4.1648040168605835E-2</v>
      </c>
    </row>
    <row r="41" spans="1:11" s="1" customFormat="1" ht="13.5" thickBot="1" x14ac:dyDescent="0.25">
      <c r="A41" s="111" t="s">
        <v>46</v>
      </c>
      <c r="B41" s="112">
        <f>B4</f>
        <v>15000</v>
      </c>
      <c r="C41" s="113">
        <v>7.0000000000000001E-3</v>
      </c>
      <c r="D41" s="114">
        <f>B41*C41</f>
        <v>105</v>
      </c>
      <c r="E41" s="115">
        <f t="shared" si="6"/>
        <v>15000</v>
      </c>
      <c r="F41" s="113">
        <f>C41</f>
        <v>7.0000000000000001E-3</v>
      </c>
      <c r="G41" s="114">
        <f>E41*F41</f>
        <v>105</v>
      </c>
      <c r="H41" s="114">
        <f t="shared" si="1"/>
        <v>0</v>
      </c>
      <c r="I41" s="116">
        <f t="shared" si="2"/>
        <v>0</v>
      </c>
      <c r="J41" s="116">
        <f t="shared" si="9"/>
        <v>3.796465775098317E-2</v>
      </c>
      <c r="K41" s="117">
        <f t="shared" si="4"/>
        <v>4.0100026388022868E-2</v>
      </c>
    </row>
    <row r="42" spans="1:11" s="1" customFormat="1" x14ac:dyDescent="0.2">
      <c r="A42" s="36" t="s">
        <v>107</v>
      </c>
      <c r="B42" s="37"/>
      <c r="C42" s="38"/>
      <c r="D42" s="38">
        <f>SUM(D14,D25,D26,D27,D33,D40,D41)</f>
        <v>2613.92875</v>
      </c>
      <c r="E42" s="37"/>
      <c r="F42" s="38"/>
      <c r="G42" s="38">
        <f>SUM(G14,G25,G26,G27,G33,G40,G41)</f>
        <v>2634.0287499999999</v>
      </c>
      <c r="H42" s="38">
        <f t="shared" si="1"/>
        <v>20.099999999999909</v>
      </c>
      <c r="I42" s="39">
        <f>IF(ISERROR(H42/D42),0,(H42/D42))</f>
        <v>7.6895745532466822E-3</v>
      </c>
      <c r="J42" s="39">
        <f t="shared" si="9"/>
        <v>0.95238095238095244</v>
      </c>
      <c r="K42" s="40"/>
    </row>
    <row r="43" spans="1:11" x14ac:dyDescent="0.2">
      <c r="A43" s="143" t="s">
        <v>108</v>
      </c>
      <c r="B43" s="42"/>
      <c r="C43" s="25">
        <v>0.13</v>
      </c>
      <c r="D43" s="25">
        <f>D42*C43</f>
        <v>339.81073750000002</v>
      </c>
      <c r="E43" s="25"/>
      <c r="F43" s="25">
        <f>C43</f>
        <v>0.13</v>
      </c>
      <c r="G43" s="25">
        <f>G42*F43</f>
        <v>342.42373750000002</v>
      </c>
      <c r="H43" s="25">
        <f t="shared" si="1"/>
        <v>2.6129999999999995</v>
      </c>
      <c r="I43" s="43">
        <f t="shared" si="2"/>
        <v>7.6895745532467152E-3</v>
      </c>
      <c r="J43" s="43">
        <f t="shared" si="9"/>
        <v>0.12380952380952383</v>
      </c>
      <c r="K43" s="44"/>
    </row>
    <row r="44" spans="1:11" s="1" customFormat="1" x14ac:dyDescent="0.2">
      <c r="A44" s="45" t="s">
        <v>109</v>
      </c>
      <c r="B44" s="23"/>
      <c r="C44" s="24"/>
      <c r="D44" s="24">
        <f>SUM(D42:D43)</f>
        <v>2953.7394875</v>
      </c>
      <c r="E44" s="24"/>
      <c r="F44" s="24"/>
      <c r="G44" s="24">
        <f>SUM(G42:G43)</f>
        <v>2976.4524874999997</v>
      </c>
      <c r="H44" s="24">
        <f t="shared" si="1"/>
        <v>22.712999999999738</v>
      </c>
      <c r="I44" s="26">
        <f t="shared" si="2"/>
        <v>7.6895745532466284E-3</v>
      </c>
      <c r="J44" s="26">
        <f t="shared" si="9"/>
        <v>1.0761904761904761</v>
      </c>
      <c r="K44" s="46"/>
    </row>
    <row r="45" spans="1:11" x14ac:dyDescent="0.2">
      <c r="A45" s="41" t="s">
        <v>110</v>
      </c>
      <c r="B45" s="42"/>
      <c r="C45" s="25">
        <v>-0.08</v>
      </c>
      <c r="D45" s="25">
        <f>D42*C45</f>
        <v>-209.11430000000001</v>
      </c>
      <c r="E45" s="25"/>
      <c r="F45" s="25">
        <f>C45</f>
        <v>-0.08</v>
      </c>
      <c r="G45" s="25">
        <f>G42*F45</f>
        <v>-210.72229999999999</v>
      </c>
      <c r="H45" s="25">
        <f t="shared" si="1"/>
        <v>-1.6079999999999757</v>
      </c>
      <c r="I45" s="43">
        <f t="shared" si="2"/>
        <v>7.6895745532466007E-3</v>
      </c>
      <c r="J45" s="43">
        <f t="shared" si="9"/>
        <v>-7.6190476190476197E-2</v>
      </c>
      <c r="K45" s="44"/>
    </row>
    <row r="46" spans="1:11" s="1" customFormat="1" ht="13.5" thickBot="1" x14ac:dyDescent="0.25">
      <c r="A46" s="47" t="s">
        <v>111</v>
      </c>
      <c r="B46" s="48"/>
      <c r="C46" s="49"/>
      <c r="D46" s="49">
        <f>SUM(D44:D45)</f>
        <v>2744.6251874999998</v>
      </c>
      <c r="E46" s="49"/>
      <c r="F46" s="49"/>
      <c r="G46" s="49">
        <f>SUM(G44:G45)</f>
        <v>2765.7301874999998</v>
      </c>
      <c r="H46" s="49">
        <f t="shared" si="1"/>
        <v>21.105000000000018</v>
      </c>
      <c r="I46" s="50">
        <f t="shared" si="2"/>
        <v>7.6895745532467247E-3</v>
      </c>
      <c r="J46" s="50">
        <f t="shared" si="9"/>
        <v>1</v>
      </c>
      <c r="K46" s="51"/>
    </row>
    <row r="47" spans="1:11" x14ac:dyDescent="0.2">
      <c r="A47" s="52" t="s">
        <v>112</v>
      </c>
      <c r="B47" s="53"/>
      <c r="C47" s="54"/>
      <c r="D47" s="54">
        <f>SUM(D18,D25,D26,D28,D33,D40,D41)</f>
        <v>2473.6639449999998</v>
      </c>
      <c r="E47" s="54"/>
      <c r="F47" s="54"/>
      <c r="G47" s="54">
        <f>SUM(G18,G25,G26,G28,G33,G40,G41)</f>
        <v>2493.7639449999997</v>
      </c>
      <c r="H47" s="54">
        <f>G47-D47</f>
        <v>20.099999999999909</v>
      </c>
      <c r="I47" s="55">
        <f>IF(ISERROR(H47/D47),0,(H47/D47))</f>
        <v>8.1255984834269438E-3</v>
      </c>
      <c r="J47" s="55"/>
      <c r="K47" s="56">
        <f>G47/$G$51</f>
        <v>0.95238095238095233</v>
      </c>
    </row>
    <row r="48" spans="1:11" x14ac:dyDescent="0.2">
      <c r="A48" s="57" t="s">
        <v>108</v>
      </c>
      <c r="B48" s="58"/>
      <c r="C48" s="30">
        <v>0.13</v>
      </c>
      <c r="D48" s="30">
        <f>D47*C48</f>
        <v>321.57631284999997</v>
      </c>
      <c r="E48" s="30"/>
      <c r="F48" s="30">
        <f>C48</f>
        <v>0.13</v>
      </c>
      <c r="G48" s="30">
        <f>G47*F48</f>
        <v>324.18931284999996</v>
      </c>
      <c r="H48" s="30">
        <f>G48-D48</f>
        <v>2.6129999999999995</v>
      </c>
      <c r="I48" s="31">
        <f>IF(ISERROR(H48/D48),0,(H48/D48))</f>
        <v>8.1255984834269785E-3</v>
      </c>
      <c r="J48" s="31"/>
      <c r="K48" s="59">
        <f>G48/$G$51</f>
        <v>0.12380952380952381</v>
      </c>
    </row>
    <row r="49" spans="1:11" x14ac:dyDescent="0.2">
      <c r="A49" s="136" t="s">
        <v>113</v>
      </c>
      <c r="B49" s="28"/>
      <c r="C49" s="29"/>
      <c r="D49" s="29">
        <f>SUM(D47:D48)</f>
        <v>2795.2402578499996</v>
      </c>
      <c r="E49" s="29"/>
      <c r="F49" s="29"/>
      <c r="G49" s="29">
        <f>SUM(G47:G48)</f>
        <v>2817.9532578499998</v>
      </c>
      <c r="H49" s="29">
        <f>G49-D49</f>
        <v>22.713000000000193</v>
      </c>
      <c r="I49" s="32">
        <f>IF(ISERROR(H49/D49),0,(H49/D49))</f>
        <v>8.1255984834270496E-3</v>
      </c>
      <c r="J49" s="32"/>
      <c r="K49" s="61">
        <f>G49/$G$51</f>
        <v>1.0761904761904761</v>
      </c>
    </row>
    <row r="50" spans="1:11" x14ac:dyDescent="0.2">
      <c r="A50" s="57" t="s">
        <v>110</v>
      </c>
      <c r="B50" s="58"/>
      <c r="C50" s="30">
        <v>-0.08</v>
      </c>
      <c r="D50" s="30">
        <f>D47*C50</f>
        <v>-197.89311559999999</v>
      </c>
      <c r="E50" s="30"/>
      <c r="F50" s="30">
        <f>C50</f>
        <v>-0.08</v>
      </c>
      <c r="G50" s="30">
        <f>G47*F50</f>
        <v>-199.50111559999999</v>
      </c>
      <c r="H50" s="30">
        <f>G50-D50</f>
        <v>-1.6080000000000041</v>
      </c>
      <c r="I50" s="31">
        <f>IF(ISERROR(H50/D50),0,(H50/D50))</f>
        <v>8.1255984834270011E-3</v>
      </c>
      <c r="J50" s="31"/>
      <c r="K50" s="59">
        <f>G50/$G$51</f>
        <v>-7.6190476190476197E-2</v>
      </c>
    </row>
    <row r="51" spans="1:11" ht="13.5" thickBot="1" x14ac:dyDescent="0.25">
      <c r="A51" s="62" t="s">
        <v>114</v>
      </c>
      <c r="B51" s="63"/>
      <c r="C51" s="64"/>
      <c r="D51" s="64">
        <f>SUM(D49:D50)</f>
        <v>2597.3471422499997</v>
      </c>
      <c r="E51" s="64"/>
      <c r="F51" s="64"/>
      <c r="G51" s="64">
        <f>SUM(G49:G50)</f>
        <v>2618.4521422499997</v>
      </c>
      <c r="H51" s="64">
        <f>G51-D51</f>
        <v>21.105000000000018</v>
      </c>
      <c r="I51" s="65">
        <f>IF(ISERROR(H51/D51),0,(H51/D51))</f>
        <v>8.1255984834269872E-3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Impacts'!$A$3:$A$21</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1" tint="0.499984740745262"/>
    <pageSetUpPr fitToPage="1"/>
  </sheetPr>
  <dimension ref="A1:J54"/>
  <sheetViews>
    <sheetView tabSelected="1" topLeftCell="A16"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132</v>
      </c>
    </row>
    <row r="4" spans="1:10" x14ac:dyDescent="0.2">
      <c r="A4" s="14" t="s">
        <v>62</v>
      </c>
      <c r="B4" s="78">
        <v>15000</v>
      </c>
    </row>
    <row r="5" spans="1:10" x14ac:dyDescent="0.2">
      <c r="A5" s="14" t="s">
        <v>16</v>
      </c>
      <c r="B5" s="78">
        <v>60</v>
      </c>
    </row>
    <row r="6" spans="1:10" x14ac:dyDescent="0.2">
      <c r="A6" s="14" t="s">
        <v>20</v>
      </c>
      <c r="B6" s="79">
        <f>VLOOKUP($B$3,'Data for Bill Impacts'!$A$3:$Y$25,2,0)</f>
        <v>1.0465</v>
      </c>
    </row>
    <row r="7" spans="1:10" x14ac:dyDescent="0.2">
      <c r="A7" s="80" t="s">
        <v>48</v>
      </c>
      <c r="B7" s="81">
        <f>B4/(B5*730)</f>
        <v>0.34246575342465752</v>
      </c>
    </row>
    <row r="8" spans="1:10" x14ac:dyDescent="0.2">
      <c r="A8" s="14" t="s">
        <v>15</v>
      </c>
      <c r="B8" s="78">
        <f>VLOOKUP($B$3,'Data for Bill Impacts'!$A$3:$Y$25,4,0)</f>
        <v>0</v>
      </c>
    </row>
    <row r="9" spans="1:10" x14ac:dyDescent="0.2">
      <c r="A9" s="14" t="s">
        <v>82</v>
      </c>
      <c r="B9" s="78">
        <f>B4*B6</f>
        <v>15697.5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15697.5</v>
      </c>
      <c r="C13" s="102">
        <v>0.10299999999999999</v>
      </c>
      <c r="D13" s="103">
        <f>B13*C13</f>
        <v>1616.8425</v>
      </c>
      <c r="E13" s="101">
        <f>B13</f>
        <v>15697.5</v>
      </c>
      <c r="F13" s="102">
        <f>C13</f>
        <v>0.10299999999999999</v>
      </c>
      <c r="G13" s="103">
        <f>E13*F13</f>
        <v>1616.8425</v>
      </c>
      <c r="H13" s="103">
        <f>G13-D13</f>
        <v>0</v>
      </c>
      <c r="I13" s="104">
        <f>IF(ISERROR(H13/D13),0,(H13/D13))</f>
        <v>0</v>
      </c>
      <c r="J13" s="123">
        <f t="shared" ref="J13:J38" si="0">G13/$G$38</f>
        <v>0.54496473631044284</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1616.8425</v>
      </c>
      <c r="E15" s="75"/>
      <c r="F15" s="24"/>
      <c r="G15" s="24">
        <f>SUM(G13:G14)</f>
        <v>1616.8425</v>
      </c>
      <c r="H15" s="24">
        <f t="shared" si="2"/>
        <v>0</v>
      </c>
      <c r="I15" s="26">
        <f t="shared" si="3"/>
        <v>0</v>
      </c>
      <c r="J15" s="46">
        <f t="shared" si="0"/>
        <v>0.54496473631044284</v>
      </c>
    </row>
    <row r="16" spans="1:10" s="1" customFormat="1" x14ac:dyDescent="0.2">
      <c r="A16" s="106" t="s">
        <v>38</v>
      </c>
      <c r="B16" s="72">
        <v>1</v>
      </c>
      <c r="C16" s="77">
        <f>VLOOKUP($B$3,'Data for Bill Impacts'!$A$3:$Y$25,7,0)</f>
        <v>209.83</v>
      </c>
      <c r="D16" s="21">
        <f>B16*C16</f>
        <v>209.83</v>
      </c>
      <c r="E16" s="72">
        <f t="shared" ref="E16:E33" si="4">B16</f>
        <v>1</v>
      </c>
      <c r="F16" s="77">
        <f>VLOOKUP($B$3,'Data for Bill Impacts'!$A$3:$Y$25,17,0)</f>
        <v>282.77</v>
      </c>
      <c r="G16" s="21">
        <f>E16*F16</f>
        <v>282.77</v>
      </c>
      <c r="H16" s="21">
        <f t="shared" si="2"/>
        <v>72.939999999999969</v>
      </c>
      <c r="I16" s="22">
        <f t="shared" si="3"/>
        <v>0.34761473573845475</v>
      </c>
      <c r="J16" s="124">
        <f t="shared" si="0"/>
        <v>9.5309022670114082E-2</v>
      </c>
    </row>
    <row r="17" spans="1:10" hidden="1" x14ac:dyDescent="0.2">
      <c r="A17" s="106" t="s">
        <v>83</v>
      </c>
      <c r="B17" s="72">
        <v>1</v>
      </c>
      <c r="C17" s="77">
        <f>VLOOKUP($B$3,'Data for Bill Impacts'!$A$3:$Y$25,8,0)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Impacts'!$A$3:$Y$25,11,0)</f>
        <v>0</v>
      </c>
      <c r="D18" s="21">
        <f t="shared" ref="D18:D19" si="6">B18*C18</f>
        <v>0</v>
      </c>
      <c r="E18" s="72">
        <f t="shared" si="4"/>
        <v>1</v>
      </c>
      <c r="F18" s="77">
        <f>VLOOKUP($B$3,'Data for Bill Impacts'!$A$3:$Y$25,12,0)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x14ac:dyDescent="0.2">
      <c r="A20" s="106" t="s">
        <v>39</v>
      </c>
      <c r="B20" s="72">
        <f>IF($B$10="kWh",$B$4,$B$5)</f>
        <v>60</v>
      </c>
      <c r="C20" s="77">
        <f>VLOOKUP($B$3,'Data for Bill Impacts'!$A$3:$Y$25,10,0)</f>
        <v>3.86</v>
      </c>
      <c r="D20" s="21">
        <f>B20*C20</f>
        <v>231.6</v>
      </c>
      <c r="E20" s="72">
        <f t="shared" si="4"/>
        <v>60</v>
      </c>
      <c r="F20" s="77">
        <f>VLOOKUP($B$3,'Data for Bill Impacts'!$A$3:$Y$25,19,0)</f>
        <v>5.1984000000000004</v>
      </c>
      <c r="G20" s="21">
        <f>E20*F20</f>
        <v>311.904</v>
      </c>
      <c r="H20" s="21">
        <f t="shared" si="2"/>
        <v>80.304000000000002</v>
      </c>
      <c r="I20" s="22">
        <f t="shared" si="3"/>
        <v>0.34673575129533679</v>
      </c>
      <c r="J20" s="124">
        <f t="shared" si="0"/>
        <v>0.10512878101248105</v>
      </c>
    </row>
    <row r="21" spans="1:10" s="1" customFormat="1" x14ac:dyDescent="0.2">
      <c r="A21" s="106" t="s">
        <v>129</v>
      </c>
      <c r="B21" s="72">
        <f>IF($B$10="kWh",$B$4,$B$5)</f>
        <v>60</v>
      </c>
      <c r="C21" s="77">
        <f>VLOOKUP($B$3,'Data for Bill Impacts'!$A$3:$Y$25,14,0)</f>
        <v>0</v>
      </c>
      <c r="D21" s="21">
        <f>B21*C21</f>
        <v>0</v>
      </c>
      <c r="E21" s="72">
        <f>B21</f>
        <v>60</v>
      </c>
      <c r="F21" s="77">
        <f>VLOOKUP($B$3,'Data for Bill Impacts'!$A$3:$Y$25,23,0)</f>
        <v>0</v>
      </c>
      <c r="G21" s="21">
        <f>E21*F21</f>
        <v>0</v>
      </c>
      <c r="H21" s="21">
        <f>G21-D21</f>
        <v>0</v>
      </c>
      <c r="I21" s="22">
        <f>IF(ISERROR(H21/D21),0,(H21/D21))</f>
        <v>0</v>
      </c>
      <c r="J21" s="124">
        <f t="shared" si="0"/>
        <v>0</v>
      </c>
    </row>
    <row r="22" spans="1:10" s="1" customFormat="1" x14ac:dyDescent="0.2">
      <c r="A22" s="106" t="s">
        <v>117</v>
      </c>
      <c r="B22" s="72">
        <f>B9</f>
        <v>15697.5</v>
      </c>
      <c r="C22" s="125">
        <f>VLOOKUP($B$3,'Data for Bill Impacts'!$A$3:$Y$25,20,0)</f>
        <v>0</v>
      </c>
      <c r="D22" s="21">
        <f>B22*C22</f>
        <v>0</v>
      </c>
      <c r="E22" s="72">
        <f t="shared" si="4"/>
        <v>15697.5</v>
      </c>
      <c r="F22" s="125">
        <f>VLOOKUP($B$3,'Data for Bill Impacts'!$A$3:$Y$25,21,0)</f>
        <v>0</v>
      </c>
      <c r="G22" s="21">
        <f>E22*F22</f>
        <v>0</v>
      </c>
      <c r="H22" s="21">
        <f t="shared" si="2"/>
        <v>0</v>
      </c>
      <c r="I22" s="22">
        <f>IF(ISERROR(H22/D22),0,(H22/D22))</f>
        <v>0</v>
      </c>
      <c r="J22" s="124">
        <f t="shared" si="0"/>
        <v>0</v>
      </c>
    </row>
    <row r="23" spans="1:10" x14ac:dyDescent="0.2">
      <c r="A23" s="109" t="s">
        <v>95</v>
      </c>
      <c r="B23" s="73"/>
      <c r="C23" s="34"/>
      <c r="D23" s="34">
        <f>SUM(D16:D22)</f>
        <v>441.43</v>
      </c>
      <c r="E23" s="72"/>
      <c r="F23" s="34"/>
      <c r="G23" s="34">
        <f>SUM(G16:G22)</f>
        <v>594.67399999999998</v>
      </c>
      <c r="H23" s="34">
        <f t="shared" si="2"/>
        <v>153.24399999999997</v>
      </c>
      <c r="I23" s="35">
        <f t="shared" si="3"/>
        <v>0.34715356908230066</v>
      </c>
      <c r="J23" s="110">
        <f t="shared" si="0"/>
        <v>0.20043780368259512</v>
      </c>
    </row>
    <row r="24" spans="1:10" x14ac:dyDescent="0.2">
      <c r="A24" s="106" t="s">
        <v>40</v>
      </c>
      <c r="B24" s="72">
        <f>B5</f>
        <v>60</v>
      </c>
      <c r="C24" s="125">
        <f>VLOOKUP($B$3,'Data for Bill Impacts'!$A$3:$Y$25,15,0)</f>
        <v>1.8612</v>
      </c>
      <c r="D24" s="21">
        <f>B24*C24</f>
        <v>111.672</v>
      </c>
      <c r="E24" s="72">
        <f t="shared" si="4"/>
        <v>60</v>
      </c>
      <c r="F24" s="77">
        <f>VLOOKUP($B$3,'Data for Bill Impacts'!$A$3:$Y$25,24,0)</f>
        <v>1.8612</v>
      </c>
      <c r="G24" s="21">
        <f>E24*F24</f>
        <v>111.672</v>
      </c>
      <c r="H24" s="21">
        <f t="shared" si="2"/>
        <v>0</v>
      </c>
      <c r="I24" s="22">
        <f t="shared" si="3"/>
        <v>0</v>
      </c>
      <c r="J24" s="124">
        <f t="shared" si="0"/>
        <v>3.7639598187986636E-2</v>
      </c>
    </row>
    <row r="25" spans="1:10" s="1" customFormat="1" x14ac:dyDescent="0.2">
      <c r="A25" s="106" t="s">
        <v>41</v>
      </c>
      <c r="B25" s="72">
        <f>B5</f>
        <v>60</v>
      </c>
      <c r="C25" s="125">
        <f>VLOOKUP($B$3,'Data for Bill Impacts'!$A$3:$Y$25,16,0)</f>
        <v>1.5062</v>
      </c>
      <c r="D25" s="21">
        <f>B25*C25</f>
        <v>90.372</v>
      </c>
      <c r="E25" s="72">
        <f t="shared" si="4"/>
        <v>60</v>
      </c>
      <c r="F25" s="77">
        <f>VLOOKUP($B$3,'Data for Bill Impacts'!$A$3:$Y$25,25,0)</f>
        <v>1.5062</v>
      </c>
      <c r="G25" s="21">
        <f>E25*F25</f>
        <v>90.372</v>
      </c>
      <c r="H25" s="21">
        <f t="shared" si="2"/>
        <v>0</v>
      </c>
      <c r="I25" s="22">
        <f t="shared" si="3"/>
        <v>0</v>
      </c>
      <c r="J25" s="124">
        <f t="shared" si="0"/>
        <v>3.0460328170398381E-2</v>
      </c>
    </row>
    <row r="26" spans="1:10" x14ac:dyDescent="0.2">
      <c r="A26" s="109" t="s">
        <v>76</v>
      </c>
      <c r="B26" s="73"/>
      <c r="C26" s="34"/>
      <c r="D26" s="34">
        <f>SUM(D24:D25)</f>
        <v>202.04399999999998</v>
      </c>
      <c r="E26" s="72"/>
      <c r="F26" s="34"/>
      <c r="G26" s="34">
        <f>SUM(G24:G25)</f>
        <v>202.04399999999998</v>
      </c>
      <c r="H26" s="34">
        <f t="shared" si="2"/>
        <v>0</v>
      </c>
      <c r="I26" s="35">
        <f t="shared" si="3"/>
        <v>0</v>
      </c>
      <c r="J26" s="110">
        <f t="shared" si="0"/>
        <v>6.8099926358385007E-2</v>
      </c>
    </row>
    <row r="27" spans="1:10" s="1" customFormat="1" x14ac:dyDescent="0.2">
      <c r="A27" s="109" t="s">
        <v>80</v>
      </c>
      <c r="B27" s="73"/>
      <c r="C27" s="34"/>
      <c r="D27" s="34">
        <f>D23+D26</f>
        <v>643.47399999999993</v>
      </c>
      <c r="E27" s="72"/>
      <c r="F27" s="34"/>
      <c r="G27" s="34">
        <f>G23+G26</f>
        <v>796.71799999999996</v>
      </c>
      <c r="H27" s="34">
        <f t="shared" si="2"/>
        <v>153.24400000000003</v>
      </c>
      <c r="I27" s="35">
        <f t="shared" si="3"/>
        <v>0.23815103640551141</v>
      </c>
      <c r="J27" s="110">
        <f t="shared" si="0"/>
        <v>0.26853773004098014</v>
      </c>
    </row>
    <row r="28" spans="1:10" x14ac:dyDescent="0.2">
      <c r="A28" s="106" t="s">
        <v>42</v>
      </c>
      <c r="B28" s="72">
        <f>B9</f>
        <v>15697.5</v>
      </c>
      <c r="C28" s="33">
        <v>3.5999999999999999E-3</v>
      </c>
      <c r="D28" s="21">
        <f>B28*C28</f>
        <v>56.510999999999996</v>
      </c>
      <c r="E28" s="72">
        <f t="shared" si="4"/>
        <v>15697.5</v>
      </c>
      <c r="F28" s="33">
        <v>3.5999999999999999E-3</v>
      </c>
      <c r="G28" s="21">
        <f>E28*F28</f>
        <v>56.510999999999996</v>
      </c>
      <c r="H28" s="21">
        <f t="shared" si="2"/>
        <v>0</v>
      </c>
      <c r="I28" s="22">
        <f t="shared" si="3"/>
        <v>0</v>
      </c>
      <c r="J28" s="124">
        <f t="shared" si="0"/>
        <v>1.9047311172015479E-2</v>
      </c>
    </row>
    <row r="29" spans="1:10" x14ac:dyDescent="0.2">
      <c r="A29" s="106" t="s">
        <v>43</v>
      </c>
      <c r="B29" s="72">
        <f>B9</f>
        <v>15697.5</v>
      </c>
      <c r="C29" s="33">
        <v>2.0999999999999999E-3</v>
      </c>
      <c r="D29" s="21">
        <f>B29*C29</f>
        <v>32.964749999999995</v>
      </c>
      <c r="E29" s="72">
        <f t="shared" si="4"/>
        <v>15697.5</v>
      </c>
      <c r="F29" s="33">
        <v>2.0999999999999999E-3</v>
      </c>
      <c r="G29" s="21">
        <f>E29*F29</f>
        <v>32.964749999999995</v>
      </c>
      <c r="H29" s="21">
        <f>G29-D29</f>
        <v>0</v>
      </c>
      <c r="I29" s="22">
        <f t="shared" si="3"/>
        <v>0</v>
      </c>
      <c r="J29" s="124">
        <f t="shared" si="0"/>
        <v>1.1110931517009029E-2</v>
      </c>
    </row>
    <row r="30" spans="1:10" x14ac:dyDescent="0.2">
      <c r="A30" s="106" t="s">
        <v>99</v>
      </c>
      <c r="B30" s="72">
        <f>B9</f>
        <v>15697.5</v>
      </c>
      <c r="C30" s="33">
        <v>1.1000000000000001E-3</v>
      </c>
      <c r="D30" s="21">
        <f>B30*C30</f>
        <v>17.267250000000001</v>
      </c>
      <c r="E30" s="72">
        <f t="shared" si="4"/>
        <v>15697.5</v>
      </c>
      <c r="F30" s="33">
        <v>1.1000000000000001E-3</v>
      </c>
      <c r="G30" s="21">
        <f>E30*F30</f>
        <v>17.267250000000001</v>
      </c>
      <c r="H30" s="21">
        <f>G30-D30</f>
        <v>0</v>
      </c>
      <c r="I30" s="22">
        <f t="shared" si="3"/>
        <v>0</v>
      </c>
      <c r="J30" s="124">
        <f t="shared" si="0"/>
        <v>5.8200117470047306E-3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8.4263732600801085E-5</v>
      </c>
    </row>
    <row r="32" spans="1:10" x14ac:dyDescent="0.2">
      <c r="A32" s="109" t="s">
        <v>45</v>
      </c>
      <c r="B32" s="73"/>
      <c r="C32" s="34"/>
      <c r="D32" s="34">
        <f>SUM(D28:D31)</f>
        <v>106.99299999999999</v>
      </c>
      <c r="E32" s="72"/>
      <c r="F32" s="34"/>
      <c r="G32" s="34">
        <f>SUM(G28:G31)</f>
        <v>106.99299999999999</v>
      </c>
      <c r="H32" s="34">
        <f t="shared" si="2"/>
        <v>0</v>
      </c>
      <c r="I32" s="35">
        <f t="shared" si="3"/>
        <v>0</v>
      </c>
      <c r="J32" s="110">
        <f t="shared" si="0"/>
        <v>3.6062518168630042E-2</v>
      </c>
    </row>
    <row r="33" spans="1:10" ht="13.5" thickBot="1" x14ac:dyDescent="0.25">
      <c r="A33" s="111" t="s">
        <v>46</v>
      </c>
      <c r="B33" s="112">
        <f>B4</f>
        <v>15000</v>
      </c>
      <c r="C33" s="113">
        <v>7.0000000000000001E-3</v>
      </c>
      <c r="D33" s="114">
        <f>B33*C33</f>
        <v>105</v>
      </c>
      <c r="E33" s="115">
        <f t="shared" si="4"/>
        <v>15000</v>
      </c>
      <c r="F33" s="113">
        <f>C33</f>
        <v>7.0000000000000001E-3</v>
      </c>
      <c r="G33" s="114">
        <f>E33*F33</f>
        <v>105</v>
      </c>
      <c r="H33" s="114">
        <f t="shared" si="2"/>
        <v>0</v>
      </c>
      <c r="I33" s="116">
        <f t="shared" si="3"/>
        <v>0</v>
      </c>
      <c r="J33" s="117">
        <f t="shared" si="0"/>
        <v>3.5390767692336456E-2</v>
      </c>
    </row>
    <row r="34" spans="1:10" x14ac:dyDescent="0.2">
      <c r="A34" s="36" t="s">
        <v>116</v>
      </c>
      <c r="B34" s="37"/>
      <c r="C34" s="38"/>
      <c r="D34" s="38">
        <f>SUM(D15,D23,D26,D32,D33)</f>
        <v>2472.3094999999998</v>
      </c>
      <c r="E34" s="37"/>
      <c r="F34" s="38"/>
      <c r="G34" s="38">
        <f>SUM(G15,G23,G26,G32,G33)</f>
        <v>2625.5534999999995</v>
      </c>
      <c r="H34" s="38">
        <f t="shared" si="2"/>
        <v>153.24399999999969</v>
      </c>
      <c r="I34" s="39">
        <f>IF(ISERROR(H34/D34),0,(H34/D34))</f>
        <v>6.1984148829262557E-2</v>
      </c>
      <c r="J34" s="40">
        <f t="shared" si="0"/>
        <v>0.88495575221238942</v>
      </c>
    </row>
    <row r="35" spans="1:10" x14ac:dyDescent="0.2">
      <c r="A35" s="143" t="s">
        <v>108</v>
      </c>
      <c r="B35" s="42"/>
      <c r="C35" s="25">
        <v>0.13</v>
      </c>
      <c r="D35" s="25">
        <f>D34*C35</f>
        <v>321.40023500000001</v>
      </c>
      <c r="E35" s="25"/>
      <c r="F35" s="25">
        <f>C35</f>
        <v>0.13</v>
      </c>
      <c r="G35" s="25">
        <f>G34*F35</f>
        <v>341.32195499999995</v>
      </c>
      <c r="H35" s="25">
        <f t="shared" si="2"/>
        <v>19.921719999999937</v>
      </c>
      <c r="I35" s="43">
        <f t="shared" ref="I35:I38" si="7">IF(ISERROR(H35/D35),0,(H35/D35))</f>
        <v>6.1984148829262481E-2</v>
      </c>
      <c r="J35" s="44">
        <f t="shared" si="0"/>
        <v>0.11504424778761062</v>
      </c>
    </row>
    <row r="36" spans="1:10" x14ac:dyDescent="0.2">
      <c r="A36" s="45" t="s">
        <v>109</v>
      </c>
      <c r="B36" s="23"/>
      <c r="C36" s="24"/>
      <c r="D36" s="24">
        <f>SUM(D34:D35)</f>
        <v>2793.7097349999999</v>
      </c>
      <c r="E36" s="24"/>
      <c r="F36" s="24"/>
      <c r="G36" s="24">
        <f>SUM(G34:G35)</f>
        <v>2966.8754549999994</v>
      </c>
      <c r="H36" s="24">
        <f t="shared" si="2"/>
        <v>173.16571999999951</v>
      </c>
      <c r="I36" s="26">
        <f t="shared" si="7"/>
        <v>6.1984148829262509E-2</v>
      </c>
      <c r="J36" s="46">
        <f t="shared" si="0"/>
        <v>1</v>
      </c>
    </row>
    <row r="37" spans="1:10" x14ac:dyDescent="0.2">
      <c r="A37" s="41" t="s">
        <v>110</v>
      </c>
      <c r="B37" s="42"/>
      <c r="C37" s="25">
        <v>0</v>
      </c>
      <c r="D37" s="25">
        <f>D34*C37</f>
        <v>0</v>
      </c>
      <c r="E37" s="25"/>
      <c r="F37" s="25">
        <f>C37</f>
        <v>0</v>
      </c>
      <c r="G37" s="25">
        <f>G34*F37</f>
        <v>0</v>
      </c>
      <c r="H37" s="25">
        <f t="shared" si="2"/>
        <v>0</v>
      </c>
      <c r="I37" s="43">
        <f t="shared" si="7"/>
        <v>0</v>
      </c>
      <c r="J37" s="44">
        <f t="shared" si="0"/>
        <v>0</v>
      </c>
    </row>
    <row r="38" spans="1:10" ht="13.5" thickBot="1" x14ac:dyDescent="0.25">
      <c r="A38" s="47" t="s">
        <v>111</v>
      </c>
      <c r="B38" s="48"/>
      <c r="C38" s="49"/>
      <c r="D38" s="49">
        <f>SUM(D36:D37)</f>
        <v>2793.7097349999999</v>
      </c>
      <c r="E38" s="49"/>
      <c r="F38" s="49"/>
      <c r="G38" s="49">
        <f>SUM(G36:G37)</f>
        <v>2966.8754549999994</v>
      </c>
      <c r="H38" s="49">
        <f t="shared" si="2"/>
        <v>173.16571999999951</v>
      </c>
      <c r="I38" s="50">
        <f t="shared" si="7"/>
        <v>6.1984148829262509E-2</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132</v>
      </c>
    </row>
    <row r="4" spans="1:10" x14ac:dyDescent="0.2">
      <c r="A4" s="14" t="s">
        <v>62</v>
      </c>
      <c r="B4" s="78">
        <f>VLOOKUP(B3,'Data for Bill Impacts_HONI Avg '!A2:F21,3,FALSE)</f>
        <v>61239</v>
      </c>
    </row>
    <row r="5" spans="1:10" x14ac:dyDescent="0.2">
      <c r="A5" s="14" t="s">
        <v>16</v>
      </c>
      <c r="B5" s="78">
        <f>VLOOKUP(B3,'Data for Bill Impacts_HONI Avg '!A2:F21,5,FALSE)</f>
        <v>177</v>
      </c>
    </row>
    <row r="6" spans="1:10" x14ac:dyDescent="0.2">
      <c r="A6" s="14" t="s">
        <v>20</v>
      </c>
      <c r="B6" s="79">
        <f>VLOOKUP($B$3,'Data for Bill Impacts'!$A$3:$Y$25,2,0)</f>
        <v>1.0465</v>
      </c>
    </row>
    <row r="7" spans="1:10" x14ac:dyDescent="0.2">
      <c r="A7" s="80" t="s">
        <v>48</v>
      </c>
      <c r="B7" s="81">
        <f>B4/(B5*730)</f>
        <v>0.47394938472254472</v>
      </c>
    </row>
    <row r="8" spans="1:10" x14ac:dyDescent="0.2">
      <c r="A8" s="14" t="s">
        <v>15</v>
      </c>
      <c r="B8" s="78">
        <f>VLOOKUP($B$3,'Data for Bill Impacts'!$A$3:$Y$25,4,0)</f>
        <v>0</v>
      </c>
    </row>
    <row r="9" spans="1:10" x14ac:dyDescent="0.2">
      <c r="A9" s="14" t="s">
        <v>82</v>
      </c>
      <c r="B9" s="78">
        <f>B4*B6</f>
        <v>64086.613499999999</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64086.613499999999</v>
      </c>
      <c r="C13" s="102">
        <v>0.10299999999999999</v>
      </c>
      <c r="D13" s="103">
        <f>B13*C13</f>
        <v>6600.9211904999993</v>
      </c>
      <c r="E13" s="101">
        <f>B13</f>
        <v>64086.613499999999</v>
      </c>
      <c r="F13" s="102">
        <f>C13</f>
        <v>0.10299999999999999</v>
      </c>
      <c r="G13" s="103">
        <f>E13*F13</f>
        <v>6600.9211904999993</v>
      </c>
      <c r="H13" s="103">
        <f>G13-D13</f>
        <v>0</v>
      </c>
      <c r="I13" s="104">
        <f>IF(ISERROR(H13/D13),0,(H13/D13))</f>
        <v>0</v>
      </c>
      <c r="J13" s="123">
        <f t="shared" ref="J13:J38" si="0">G13/$G$38</f>
        <v>0.63052423779991884</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6600.9211904999993</v>
      </c>
      <c r="E15" s="75"/>
      <c r="F15" s="24"/>
      <c r="G15" s="24">
        <f>SUM(G13:G14)</f>
        <v>6600.9211904999993</v>
      </c>
      <c r="H15" s="24">
        <f t="shared" si="2"/>
        <v>0</v>
      </c>
      <c r="I15" s="26">
        <f t="shared" si="3"/>
        <v>0</v>
      </c>
      <c r="J15" s="46">
        <f t="shared" si="0"/>
        <v>0.63052423779991884</v>
      </c>
    </row>
    <row r="16" spans="1:10" s="1" customFormat="1" x14ac:dyDescent="0.2">
      <c r="A16" s="106" t="s">
        <v>38</v>
      </c>
      <c r="B16" s="72">
        <v>1</v>
      </c>
      <c r="C16" s="77">
        <f>VLOOKUP($B$3,'Data for Bill Impacts'!$A$3:$Y$25,7,0)</f>
        <v>209.83</v>
      </c>
      <c r="D16" s="21">
        <f>B16*C16</f>
        <v>209.83</v>
      </c>
      <c r="E16" s="72">
        <f t="shared" ref="E16:E31" si="4">B16</f>
        <v>1</v>
      </c>
      <c r="F16" s="77">
        <f>VLOOKUP($B$3,'Data for Bill Impacts'!$A$3:$Y$25,17,0)</f>
        <v>282.77</v>
      </c>
      <c r="G16" s="21">
        <f>E16*F16</f>
        <v>282.77</v>
      </c>
      <c r="H16" s="21">
        <f t="shared" si="2"/>
        <v>72.939999999999969</v>
      </c>
      <c r="I16" s="22">
        <f t="shared" si="3"/>
        <v>0.34761473573845475</v>
      </c>
      <c r="J16" s="124">
        <f t="shared" si="0"/>
        <v>2.7010372276415236E-2</v>
      </c>
    </row>
    <row r="17" spans="1:10" hidden="1" x14ac:dyDescent="0.2">
      <c r="A17" s="106" t="s">
        <v>83</v>
      </c>
      <c r="B17" s="72">
        <v>1</v>
      </c>
      <c r="C17" s="77">
        <f>VLOOKUP($B$3,'Data for Bill Impacts'!$A$3:$Y$25,8,0)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Impacts'!$A$3:$Y$25,11,0)</f>
        <v>0</v>
      </c>
      <c r="D18" s="21">
        <f t="shared" ref="D18:D19" si="6">B18*C18</f>
        <v>0</v>
      </c>
      <c r="E18" s="72">
        <f t="shared" si="4"/>
        <v>1</v>
      </c>
      <c r="F18" s="77">
        <f>VLOOKUP($B$3,'Data for Bill Impacts'!$A$3:$Y$25,12,0)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x14ac:dyDescent="0.2">
      <c r="A20" s="106" t="s">
        <v>39</v>
      </c>
      <c r="B20" s="72">
        <f>IF($B$10="kWh",$B$4,$B$5)</f>
        <v>177</v>
      </c>
      <c r="C20" s="77">
        <f>VLOOKUP($B$3,'Data for Bill Impacts'!$A$3:$Y$25,10,0)</f>
        <v>3.86</v>
      </c>
      <c r="D20" s="21">
        <f>B20*C20</f>
        <v>683.22</v>
      </c>
      <c r="E20" s="72">
        <f t="shared" si="4"/>
        <v>177</v>
      </c>
      <c r="F20" s="77">
        <f>VLOOKUP($B$3,'Data for Bill Impacts'!$A$3:$Y$25,19,0)</f>
        <v>5.1984000000000004</v>
      </c>
      <c r="G20" s="21">
        <f>E20*F20</f>
        <v>920.11680000000001</v>
      </c>
      <c r="H20" s="21">
        <f t="shared" si="2"/>
        <v>236.89679999999998</v>
      </c>
      <c r="I20" s="22">
        <f t="shared" si="3"/>
        <v>0.34673575129533674</v>
      </c>
      <c r="J20" s="124">
        <f t="shared" si="0"/>
        <v>8.7890148551062364E-2</v>
      </c>
    </row>
    <row r="21" spans="1:10" s="1" customFormat="1" x14ac:dyDescent="0.2">
      <c r="A21" s="106" t="s">
        <v>129</v>
      </c>
      <c r="B21" s="72">
        <f>IF($B$10="kWh",$B$4,$B$5)</f>
        <v>177</v>
      </c>
      <c r="C21" s="77">
        <f>VLOOKUP($B$3,'Data for Bill Impacts'!$A$3:$Y$25,14,0)</f>
        <v>0</v>
      </c>
      <c r="D21" s="21">
        <f>B21*C21</f>
        <v>0</v>
      </c>
      <c r="E21" s="72">
        <f>B21</f>
        <v>177</v>
      </c>
      <c r="F21" s="77">
        <f>VLOOKUP($B$3,'Data for Bill Impacts'!$A$3:$Y$25,23,0)</f>
        <v>0</v>
      </c>
      <c r="G21" s="21">
        <f>E21*F21</f>
        <v>0</v>
      </c>
      <c r="H21" s="21">
        <f>G21-D21</f>
        <v>0</v>
      </c>
      <c r="I21" s="22">
        <f>IF(ISERROR(H21/D21),0,(H21/D21))</f>
        <v>0</v>
      </c>
      <c r="J21" s="124">
        <f t="shared" si="0"/>
        <v>0</v>
      </c>
    </row>
    <row r="22" spans="1:10" s="1" customFormat="1" x14ac:dyDescent="0.2">
      <c r="A22" s="106" t="s">
        <v>117</v>
      </c>
      <c r="B22" s="72">
        <f>B9</f>
        <v>64086.613499999999</v>
      </c>
      <c r="C22" s="125">
        <f>VLOOKUP($B$3,'Data for Bill Impacts'!$A$3:$Y$25,20,0)</f>
        <v>0</v>
      </c>
      <c r="D22" s="21">
        <f>B22*C22</f>
        <v>0</v>
      </c>
      <c r="E22" s="72">
        <f t="shared" si="4"/>
        <v>64086.613499999999</v>
      </c>
      <c r="F22" s="125">
        <f>VLOOKUP($B$3,'Data for Bill Impacts'!$A$3:$Y$25,21,0)</f>
        <v>0</v>
      </c>
      <c r="G22" s="21">
        <f>E22*F22</f>
        <v>0</v>
      </c>
      <c r="H22" s="21">
        <f t="shared" si="2"/>
        <v>0</v>
      </c>
      <c r="I22" s="22">
        <f>IF(ISERROR(H22/D22),0,(H22/D22))</f>
        <v>0</v>
      </c>
      <c r="J22" s="124">
        <f t="shared" si="0"/>
        <v>0</v>
      </c>
    </row>
    <row r="23" spans="1:10" x14ac:dyDescent="0.2">
      <c r="A23" s="109" t="s">
        <v>95</v>
      </c>
      <c r="B23" s="73"/>
      <c r="C23" s="34"/>
      <c r="D23" s="34">
        <f>SUM(D16:D22)</f>
        <v>893.05000000000007</v>
      </c>
      <c r="E23" s="72"/>
      <c r="F23" s="34"/>
      <c r="G23" s="34">
        <f>SUM(G16:G22)</f>
        <v>1202.8868</v>
      </c>
      <c r="H23" s="34">
        <f t="shared" si="2"/>
        <v>309.83679999999993</v>
      </c>
      <c r="I23" s="35">
        <f t="shared" si="3"/>
        <v>0.34694227646828274</v>
      </c>
      <c r="J23" s="110">
        <f t="shared" si="0"/>
        <v>0.11490052082747761</v>
      </c>
    </row>
    <row r="24" spans="1:10" x14ac:dyDescent="0.2">
      <c r="A24" s="106" t="s">
        <v>40</v>
      </c>
      <c r="B24" s="72">
        <f>B5</f>
        <v>177</v>
      </c>
      <c r="C24" s="125">
        <f>VLOOKUP($B$3,'Data for Bill Impacts'!$A$3:$Y$25,15,0)</f>
        <v>1.8612</v>
      </c>
      <c r="D24" s="21">
        <f>B24*C24</f>
        <v>329.43239999999997</v>
      </c>
      <c r="E24" s="72">
        <f t="shared" si="4"/>
        <v>177</v>
      </c>
      <c r="F24" s="77">
        <f>VLOOKUP($B$3,'Data for Bill Impacts'!$A$3:$Y$25,24,0)</f>
        <v>1.8612</v>
      </c>
      <c r="G24" s="21">
        <f>E24*F24</f>
        <v>329.43239999999997</v>
      </c>
      <c r="H24" s="21">
        <f t="shared" si="2"/>
        <v>0</v>
      </c>
      <c r="I24" s="22">
        <f t="shared" si="3"/>
        <v>0</v>
      </c>
      <c r="J24" s="124">
        <f t="shared" si="0"/>
        <v>3.1467594737464848E-2</v>
      </c>
    </row>
    <row r="25" spans="1:10" s="1" customFormat="1" x14ac:dyDescent="0.2">
      <c r="A25" s="106" t="s">
        <v>41</v>
      </c>
      <c r="B25" s="72">
        <f>B5</f>
        <v>177</v>
      </c>
      <c r="C25" s="125">
        <f>VLOOKUP($B$3,'Data for Bill Impacts'!$A$3:$Y$25,16,0)</f>
        <v>1.5062</v>
      </c>
      <c r="D25" s="21">
        <f>B25*C25</f>
        <v>266.59739999999999</v>
      </c>
      <c r="E25" s="72">
        <f t="shared" si="4"/>
        <v>177</v>
      </c>
      <c r="F25" s="77">
        <f>VLOOKUP($B$3,'Data for Bill Impacts'!$A$3:$Y$25,25,0)</f>
        <v>1.5062</v>
      </c>
      <c r="G25" s="21">
        <f>E25*F25</f>
        <v>266.59739999999999</v>
      </c>
      <c r="H25" s="21">
        <f t="shared" si="2"/>
        <v>0</v>
      </c>
      <c r="I25" s="22">
        <f t="shared" si="3"/>
        <v>0</v>
      </c>
      <c r="J25" s="124">
        <f t="shared" si="0"/>
        <v>2.5465555122270341E-2</v>
      </c>
    </row>
    <row r="26" spans="1:10" x14ac:dyDescent="0.2">
      <c r="A26" s="109" t="s">
        <v>76</v>
      </c>
      <c r="B26" s="73"/>
      <c r="C26" s="34"/>
      <c r="D26" s="34">
        <f>SUM(D24:D25)</f>
        <v>596.02980000000002</v>
      </c>
      <c r="E26" s="72"/>
      <c r="F26" s="34"/>
      <c r="G26" s="34">
        <f>SUM(G24:G25)</f>
        <v>596.02980000000002</v>
      </c>
      <c r="H26" s="34">
        <f t="shared" si="2"/>
        <v>0</v>
      </c>
      <c r="I26" s="35">
        <f t="shared" si="3"/>
        <v>0</v>
      </c>
      <c r="J26" s="110">
        <f t="shared" si="0"/>
        <v>5.6933149859735188E-2</v>
      </c>
    </row>
    <row r="27" spans="1:10" s="1" customFormat="1" x14ac:dyDescent="0.2">
      <c r="A27" s="109" t="s">
        <v>80</v>
      </c>
      <c r="B27" s="73"/>
      <c r="C27" s="34"/>
      <c r="D27" s="34">
        <f>D23+D26</f>
        <v>1489.0798</v>
      </c>
      <c r="E27" s="72"/>
      <c r="F27" s="34"/>
      <c r="G27" s="34">
        <f>G23+G26</f>
        <v>1798.9166</v>
      </c>
      <c r="H27" s="34">
        <f t="shared" si="2"/>
        <v>309.83680000000004</v>
      </c>
      <c r="I27" s="35">
        <f t="shared" si="3"/>
        <v>0.20807266339923491</v>
      </c>
      <c r="J27" s="110">
        <f t="shared" si="0"/>
        <v>0.17183367068721278</v>
      </c>
    </row>
    <row r="28" spans="1:10" x14ac:dyDescent="0.2">
      <c r="A28" s="106" t="s">
        <v>42</v>
      </c>
      <c r="B28" s="72">
        <f>B9</f>
        <v>64086.613499999999</v>
      </c>
      <c r="C28" s="33">
        <v>3.5999999999999999E-3</v>
      </c>
      <c r="D28" s="21">
        <f>B28*C28</f>
        <v>230.71180859999998</v>
      </c>
      <c r="E28" s="72">
        <f t="shared" si="4"/>
        <v>64086.613499999999</v>
      </c>
      <c r="F28" s="33">
        <v>3.5999999999999999E-3</v>
      </c>
      <c r="G28" s="21">
        <f>E28*F28</f>
        <v>230.71180859999998</v>
      </c>
      <c r="H28" s="21">
        <f t="shared" si="2"/>
        <v>0</v>
      </c>
      <c r="I28" s="22">
        <f t="shared" si="3"/>
        <v>0</v>
      </c>
      <c r="J28" s="124">
        <f t="shared" si="0"/>
        <v>2.2037740350288427E-2</v>
      </c>
    </row>
    <row r="29" spans="1:10" x14ac:dyDescent="0.2">
      <c r="A29" s="106" t="s">
        <v>43</v>
      </c>
      <c r="B29" s="72">
        <f>B9</f>
        <v>64086.613499999999</v>
      </c>
      <c r="C29" s="33">
        <v>2.0999999999999999E-3</v>
      </c>
      <c r="D29" s="21">
        <f>B29*C29</f>
        <v>134.58188834999999</v>
      </c>
      <c r="E29" s="72">
        <f t="shared" si="4"/>
        <v>64086.613499999999</v>
      </c>
      <c r="F29" s="33">
        <v>2.0999999999999999E-3</v>
      </c>
      <c r="G29" s="21">
        <f>E29*F29</f>
        <v>134.58188834999999</v>
      </c>
      <c r="H29" s="21">
        <f>G29-D29</f>
        <v>0</v>
      </c>
      <c r="I29" s="22">
        <f t="shared" si="3"/>
        <v>0</v>
      </c>
      <c r="J29" s="124">
        <f t="shared" si="0"/>
        <v>1.2855348537668249E-2</v>
      </c>
    </row>
    <row r="30" spans="1:10" x14ac:dyDescent="0.2">
      <c r="A30" s="106" t="s">
        <v>99</v>
      </c>
      <c r="B30" s="72">
        <f>B9</f>
        <v>64086.613499999999</v>
      </c>
      <c r="C30" s="33">
        <v>1.1000000000000001E-3</v>
      </c>
      <c r="D30" s="21">
        <f>B30*C30</f>
        <v>70.495274850000001</v>
      </c>
      <c r="E30" s="72">
        <f t="shared" si="4"/>
        <v>64086.613499999999</v>
      </c>
      <c r="F30" s="33">
        <v>1.1000000000000001E-3</v>
      </c>
      <c r="G30" s="21">
        <f>E30*F30</f>
        <v>70.495274850000001</v>
      </c>
      <c r="H30" s="21">
        <f>G30-D30</f>
        <v>0</v>
      </c>
      <c r="I30" s="22">
        <f t="shared" si="3"/>
        <v>0</v>
      </c>
      <c r="J30" s="124">
        <f t="shared" si="0"/>
        <v>6.7337539959214645E-3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2.3880160798895956E-5</v>
      </c>
    </row>
    <row r="32" spans="1:10" x14ac:dyDescent="0.2">
      <c r="A32" s="109" t="s">
        <v>45</v>
      </c>
      <c r="B32" s="73"/>
      <c r="C32" s="34"/>
      <c r="D32" s="34">
        <f>SUM(D28:D31)</f>
        <v>436.03897179999996</v>
      </c>
      <c r="E32" s="72"/>
      <c r="F32" s="34"/>
      <c r="G32" s="34">
        <f>SUM(G28:G31)</f>
        <v>436.03897179999996</v>
      </c>
      <c r="H32" s="34">
        <f t="shared" si="2"/>
        <v>0</v>
      </c>
      <c r="I32" s="35">
        <f t="shared" si="3"/>
        <v>0</v>
      </c>
      <c r="J32" s="110">
        <f t="shared" si="0"/>
        <v>4.1650723044677034E-2</v>
      </c>
    </row>
    <row r="33" spans="1:10" ht="13.5" thickBot="1" x14ac:dyDescent="0.25">
      <c r="A33" s="111" t="s">
        <v>46</v>
      </c>
      <c r="B33" s="112">
        <f>B4</f>
        <v>61239</v>
      </c>
      <c r="C33" s="113">
        <v>7.0000000000000001E-3</v>
      </c>
      <c r="D33" s="114">
        <f>B33*C33</f>
        <v>428.673</v>
      </c>
      <c r="E33" s="115">
        <f t="shared" ref="E33" si="7">B33</f>
        <v>61239</v>
      </c>
      <c r="F33" s="113">
        <f>C33</f>
        <v>7.0000000000000001E-3</v>
      </c>
      <c r="G33" s="114">
        <f>E33*F33</f>
        <v>428.673</v>
      </c>
      <c r="H33" s="114">
        <f t="shared" si="2"/>
        <v>0</v>
      </c>
      <c r="I33" s="116">
        <f t="shared" si="3"/>
        <v>0</v>
      </c>
      <c r="J33" s="117">
        <f t="shared" si="0"/>
        <v>4.0947120680580505E-2</v>
      </c>
    </row>
    <row r="34" spans="1:10" x14ac:dyDescent="0.2">
      <c r="A34" s="36" t="s">
        <v>116</v>
      </c>
      <c r="B34" s="37"/>
      <c r="C34" s="38"/>
      <c r="D34" s="38">
        <f>SUM(D15,D23,D26,D32,D33)</f>
        <v>8954.7129623000001</v>
      </c>
      <c r="E34" s="37"/>
      <c r="F34" s="38"/>
      <c r="G34" s="38">
        <f>SUM(G15,G23,G26,G32,G33)</f>
        <v>9264.549762300001</v>
      </c>
      <c r="H34" s="38">
        <f t="shared" si="2"/>
        <v>309.83680000000095</v>
      </c>
      <c r="I34" s="39">
        <f>IF(ISERROR(H34/D34),0,(H34/D34))</f>
        <v>3.4600416708434618E-2</v>
      </c>
      <c r="J34" s="40">
        <f t="shared" si="0"/>
        <v>0.88495575221238931</v>
      </c>
    </row>
    <row r="35" spans="1:10" x14ac:dyDescent="0.2">
      <c r="A35" s="45" t="s">
        <v>108</v>
      </c>
      <c r="B35" s="42"/>
      <c r="C35" s="25">
        <v>0.13</v>
      </c>
      <c r="D35" s="25">
        <f>D34*C35</f>
        <v>1164.1126850990001</v>
      </c>
      <c r="E35" s="25"/>
      <c r="F35" s="25">
        <f>C35</f>
        <v>0.13</v>
      </c>
      <c r="G35" s="25">
        <f>G34*F35</f>
        <v>1204.3914690990002</v>
      </c>
      <c r="H35" s="25">
        <f t="shared" si="2"/>
        <v>40.278784000000087</v>
      </c>
      <c r="I35" s="43">
        <f t="shared" ref="I35:I38" si="8">IF(ISERROR(H35/D35),0,(H35/D35))</f>
        <v>3.4600416708434577E-2</v>
      </c>
      <c r="J35" s="44">
        <f t="shared" si="0"/>
        <v>0.11504424778761063</v>
      </c>
    </row>
    <row r="36" spans="1:10" x14ac:dyDescent="0.2">
      <c r="A36" s="45" t="s">
        <v>109</v>
      </c>
      <c r="B36" s="23"/>
      <c r="C36" s="24"/>
      <c r="D36" s="24">
        <f>SUM(D34:D35)</f>
        <v>10118.825647399</v>
      </c>
      <c r="E36" s="24"/>
      <c r="F36" s="24"/>
      <c r="G36" s="24">
        <f>SUM(G34:G35)</f>
        <v>10468.941231399001</v>
      </c>
      <c r="H36" s="24">
        <f t="shared" si="2"/>
        <v>350.11558400000104</v>
      </c>
      <c r="I36" s="26">
        <f t="shared" si="8"/>
        <v>3.4600416708434611E-2</v>
      </c>
      <c r="J36" s="46">
        <f t="shared" si="0"/>
        <v>1</v>
      </c>
    </row>
    <row r="37" spans="1:10" x14ac:dyDescent="0.2">
      <c r="A37" s="45" t="s">
        <v>110</v>
      </c>
      <c r="B37" s="42"/>
      <c r="C37" s="25">
        <v>0</v>
      </c>
      <c r="D37" s="25">
        <f>D34*C37</f>
        <v>0</v>
      </c>
      <c r="E37" s="25"/>
      <c r="F37" s="25">
        <f>C37</f>
        <v>0</v>
      </c>
      <c r="G37" s="25">
        <f>G34*F37</f>
        <v>0</v>
      </c>
      <c r="H37" s="25">
        <f t="shared" si="2"/>
        <v>0</v>
      </c>
      <c r="I37" s="43">
        <f t="shared" si="8"/>
        <v>0</v>
      </c>
      <c r="J37" s="44">
        <f t="shared" si="0"/>
        <v>0</v>
      </c>
    </row>
    <row r="38" spans="1:10" ht="13.5" thickBot="1" x14ac:dyDescent="0.25">
      <c r="A38" s="45" t="s">
        <v>111</v>
      </c>
      <c r="B38" s="48"/>
      <c r="C38" s="49"/>
      <c r="D38" s="49">
        <f>SUM(D36:D37)</f>
        <v>10118.825647399</v>
      </c>
      <c r="E38" s="49"/>
      <c r="F38" s="49"/>
      <c r="G38" s="49">
        <f>SUM(G36:G37)</f>
        <v>10468.941231399001</v>
      </c>
      <c r="H38" s="49">
        <f t="shared" si="2"/>
        <v>350.11558400000104</v>
      </c>
      <c r="I38" s="50">
        <f t="shared" si="8"/>
        <v>3.4600416708434611E-2</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132</v>
      </c>
    </row>
    <row r="4" spans="1:10" x14ac:dyDescent="0.2">
      <c r="A4" s="14" t="s">
        <v>62</v>
      </c>
      <c r="B4" s="78">
        <v>175000</v>
      </c>
    </row>
    <row r="5" spans="1:10" x14ac:dyDescent="0.2">
      <c r="A5" s="14" t="s">
        <v>16</v>
      </c>
      <c r="B5" s="78">
        <v>500</v>
      </c>
    </row>
    <row r="6" spans="1:10" x14ac:dyDescent="0.2">
      <c r="A6" s="14" t="s">
        <v>20</v>
      </c>
      <c r="B6" s="79">
        <f>VLOOKUP($B$3,'Data for Bill Impacts'!$A$3:$Y$25,2,0)</f>
        <v>1.0465</v>
      </c>
    </row>
    <row r="7" spans="1:10" x14ac:dyDescent="0.2">
      <c r="A7" s="80" t="s">
        <v>48</v>
      </c>
      <c r="B7" s="81">
        <f>B4/(B5*730)</f>
        <v>0.47945205479452052</v>
      </c>
    </row>
    <row r="8" spans="1:10" x14ac:dyDescent="0.2">
      <c r="A8" s="14" t="s">
        <v>15</v>
      </c>
      <c r="B8" s="78">
        <f>VLOOKUP($B$3,'Data for Bill Impacts'!$A$3:$Y$25,4,0)</f>
        <v>0</v>
      </c>
    </row>
    <row r="9" spans="1:10" x14ac:dyDescent="0.2">
      <c r="A9" s="14" t="s">
        <v>82</v>
      </c>
      <c r="B9" s="78">
        <f>B4*B6</f>
        <v>183137.5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183137.5</v>
      </c>
      <c r="C13" s="102">
        <v>0.10299999999999999</v>
      </c>
      <c r="D13" s="103">
        <f>B13*C13</f>
        <v>18863.162499999999</v>
      </c>
      <c r="E13" s="101">
        <f>B13</f>
        <v>183137.5</v>
      </c>
      <c r="F13" s="102">
        <f>C13</f>
        <v>0.10299999999999999</v>
      </c>
      <c r="G13" s="103">
        <f>E13*F13</f>
        <v>18863.162499999999</v>
      </c>
      <c r="H13" s="103">
        <f>G13-D13</f>
        <v>0</v>
      </c>
      <c r="I13" s="104">
        <f>IF(ISERROR(H13/D13),0,(H13/D13))</f>
        <v>0</v>
      </c>
      <c r="J13" s="123">
        <f t="shared" ref="J13:J38" si="0">G13/$G$38</f>
        <v>0.71643383411730099</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18863.162499999999</v>
      </c>
      <c r="E15" s="75"/>
      <c r="F15" s="24"/>
      <c r="G15" s="24">
        <f>SUM(G13:G14)</f>
        <v>18863.162499999999</v>
      </c>
      <c r="H15" s="24">
        <f t="shared" si="2"/>
        <v>0</v>
      </c>
      <c r="I15" s="26">
        <f t="shared" si="3"/>
        <v>0</v>
      </c>
      <c r="J15" s="46">
        <f t="shared" si="0"/>
        <v>0.71643383411730099</v>
      </c>
    </row>
    <row r="16" spans="1:10" s="1" customFormat="1" hidden="1" x14ac:dyDescent="0.2">
      <c r="A16" s="106" t="s">
        <v>38</v>
      </c>
      <c r="B16" s="72">
        <v>1</v>
      </c>
      <c r="C16" s="77">
        <f>VLOOKUP($B$3,'Data for Bill Impacts'!$A$3:$Y$25,7,0)</f>
        <v>209.83</v>
      </c>
      <c r="D16" s="21">
        <f>B16*C16</f>
        <v>209.83</v>
      </c>
      <c r="E16" s="72">
        <f t="shared" ref="E16:E31" si="4">B16</f>
        <v>1</v>
      </c>
      <c r="F16" s="77">
        <f>VLOOKUP($B$3,'Data for Bill Impacts'!$A$3:$Y$25,17,0)</f>
        <v>282.77</v>
      </c>
      <c r="G16" s="21">
        <f>E16*F16</f>
        <v>282.77</v>
      </c>
      <c r="H16" s="21">
        <f t="shared" si="2"/>
        <v>72.939999999999969</v>
      </c>
      <c r="I16" s="22">
        <f t="shared" si="3"/>
        <v>0.34761473573845475</v>
      </c>
      <c r="J16" s="124">
        <f t="shared" si="0"/>
        <v>1.0739768332767595E-2</v>
      </c>
    </row>
    <row r="17" spans="1:10" hidden="1" x14ac:dyDescent="0.2">
      <c r="A17" s="106" t="s">
        <v>83</v>
      </c>
      <c r="B17" s="72">
        <v>1</v>
      </c>
      <c r="C17" s="77">
        <f>VLOOKUP($B$3,'Data for Bill Impacts'!$A$3:$Y$25,8,0)</f>
        <v>0</v>
      </c>
      <c r="D17" s="21">
        <f>B17*C17</f>
        <v>0</v>
      </c>
      <c r="E17" s="72">
        <f t="shared" si="4"/>
        <v>1</v>
      </c>
      <c r="F17" s="77">
        <f>VLOOKUP($B$3,'Data for Bill Impacts'!$A$3:$Y$25,12,0)</f>
        <v>0</v>
      </c>
      <c r="G17" s="21">
        <f t="shared" ref="G17:G19" si="5">E17*F17</f>
        <v>0</v>
      </c>
      <c r="H17" s="21">
        <f t="shared" si="2"/>
        <v>0</v>
      </c>
      <c r="I17" s="22">
        <f t="shared" si="3"/>
        <v>0</v>
      </c>
      <c r="J17" s="124">
        <f t="shared" si="0"/>
        <v>0</v>
      </c>
    </row>
    <row r="18" spans="1:10" x14ac:dyDescent="0.2">
      <c r="A18" s="106" t="s">
        <v>84</v>
      </c>
      <c r="B18" s="72">
        <v>1</v>
      </c>
      <c r="C18" s="77">
        <f>VLOOKUP($B$3,'Data for Bill Impacts'!$A$3:$Y$25,11,0)</f>
        <v>0</v>
      </c>
      <c r="D18" s="21">
        <f t="shared" ref="D18:D19" si="6">B18*C18</f>
        <v>0</v>
      </c>
      <c r="E18" s="72">
        <f t="shared" si="4"/>
        <v>1</v>
      </c>
      <c r="F18" s="77">
        <f>VLOOKUP($B$3,'Data for Bill Impacts'!$A$3:$Y$25,20,0)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s="1" customFormat="1" x14ac:dyDescent="0.2">
      <c r="A20" s="106" t="s">
        <v>86</v>
      </c>
      <c r="B20" s="72">
        <f>IF($B$10="kWh",$B$4,$B$5)</f>
        <v>500</v>
      </c>
      <c r="C20" s="77">
        <f>VLOOKUP($B$3,'Data for Bill Impacts'!$A$3:$Y$25,12,0)</f>
        <v>0</v>
      </c>
      <c r="D20" s="21">
        <f>B20*C20</f>
        <v>0</v>
      </c>
      <c r="E20" s="72">
        <f>B20</f>
        <v>500</v>
      </c>
      <c r="F20" s="77">
        <f>VLOOKUP($B$3,'Data for Bill Impacts'!$A$3:$Y$25,21,0)</f>
        <v>0</v>
      </c>
      <c r="G20" s="21">
        <f>E20*F20</f>
        <v>0</v>
      </c>
      <c r="H20" s="21">
        <f>G20-D20</f>
        <v>0</v>
      </c>
      <c r="I20" s="22">
        <f>IF(ISERROR(H20/D20),0,(H20/D20))</f>
        <v>0</v>
      </c>
      <c r="J20" s="124">
        <f t="shared" si="0"/>
        <v>0</v>
      </c>
    </row>
    <row r="21" spans="1:10" x14ac:dyDescent="0.2">
      <c r="A21" s="106" t="s">
        <v>117</v>
      </c>
      <c r="B21" s="72">
        <f>B9</f>
        <v>183137.5</v>
      </c>
      <c r="C21" s="125">
        <f>VLOOKUP($B$3,'Data for Bill Impacts'!$A$3:$Y$25,20,0)</f>
        <v>0</v>
      </c>
      <c r="D21" s="21">
        <f>B21*C21</f>
        <v>0</v>
      </c>
      <c r="E21" s="72">
        <f t="shared" si="4"/>
        <v>183137.5</v>
      </c>
      <c r="F21" s="125">
        <f>VLOOKUP($B$3,'Data for Bill Impacts'!$A$3:$Y$25,21,0)</f>
        <v>0</v>
      </c>
      <c r="G21" s="21">
        <f>E21*F21</f>
        <v>0</v>
      </c>
      <c r="H21" s="21">
        <f t="shared" si="2"/>
        <v>0</v>
      </c>
      <c r="I21" s="22">
        <f t="shared" si="3"/>
        <v>0</v>
      </c>
      <c r="J21" s="124">
        <f t="shared" si="0"/>
        <v>0</v>
      </c>
    </row>
    <row r="22" spans="1:10" s="1" customFormat="1" x14ac:dyDescent="0.2">
      <c r="A22" s="106" t="s">
        <v>129</v>
      </c>
      <c r="B22" s="72">
        <f>IF($B$10="kWh",$B$4,$B$5)</f>
        <v>500</v>
      </c>
      <c r="C22" s="77">
        <f>VLOOKUP($B$3,'Data for Bill Impacts'!$A$3:$Y$25,14,0)</f>
        <v>0</v>
      </c>
      <c r="D22" s="21">
        <f>B22*C22</f>
        <v>0</v>
      </c>
      <c r="E22" s="72">
        <f t="shared" si="4"/>
        <v>500</v>
      </c>
      <c r="F22" s="77">
        <f>VLOOKUP($B$3,'Data for Bill Impacts'!$A$3:$Y$25,23,0)</f>
        <v>0</v>
      </c>
      <c r="G22" s="21">
        <f>E22*F22</f>
        <v>0</v>
      </c>
      <c r="H22" s="21">
        <f t="shared" si="2"/>
        <v>0</v>
      </c>
      <c r="I22" s="22">
        <f>IF(ISERROR(H22/D22),0,(H22/D22))</f>
        <v>0</v>
      </c>
      <c r="J22" s="124">
        <f t="shared" si="0"/>
        <v>0</v>
      </c>
    </row>
    <row r="23" spans="1:10" x14ac:dyDescent="0.2">
      <c r="A23" s="109" t="s">
        <v>95</v>
      </c>
      <c r="B23" s="73"/>
      <c r="C23" s="154"/>
      <c r="D23" s="34">
        <f>SUM(D16:D22)</f>
        <v>209.83</v>
      </c>
      <c r="E23" s="72"/>
      <c r="F23" s="34"/>
      <c r="G23" s="34">
        <f>SUM(G16:G22)</f>
        <v>282.77</v>
      </c>
      <c r="H23" s="34">
        <f t="shared" si="2"/>
        <v>72.939999999999969</v>
      </c>
      <c r="I23" s="35">
        <f t="shared" si="3"/>
        <v>0.34761473573845475</v>
      </c>
      <c r="J23" s="110">
        <f t="shared" si="0"/>
        <v>1.0739768332767595E-2</v>
      </c>
    </row>
    <row r="24" spans="1:10" x14ac:dyDescent="0.2">
      <c r="A24" s="106" t="s">
        <v>40</v>
      </c>
      <c r="B24" s="72">
        <f>B5</f>
        <v>500</v>
      </c>
      <c r="C24" s="125">
        <f>VLOOKUP($B$3,'Data for Bill Impacts'!$A$3:$Y$25,15,0)</f>
        <v>1.8612</v>
      </c>
      <c r="D24" s="21">
        <f>B24*C24</f>
        <v>930.6</v>
      </c>
      <c r="E24" s="72">
        <f t="shared" si="4"/>
        <v>500</v>
      </c>
      <c r="F24" s="77">
        <f>VLOOKUP($B$3,'Data for Bill Impacts'!$A$3:$Y$25,24,0)</f>
        <v>1.8612</v>
      </c>
      <c r="G24" s="21">
        <f>E24*F24</f>
        <v>930.6</v>
      </c>
      <c r="H24" s="21">
        <f t="shared" si="2"/>
        <v>0</v>
      </c>
      <c r="I24" s="22">
        <f t="shared" si="3"/>
        <v>0</v>
      </c>
      <c r="J24" s="124">
        <f t="shared" si="0"/>
        <v>3.5344726846813751E-2</v>
      </c>
    </row>
    <row r="25" spans="1:10" s="1" customFormat="1" x14ac:dyDescent="0.2">
      <c r="A25" s="106" t="s">
        <v>41</v>
      </c>
      <c r="B25" s="72">
        <f>B5</f>
        <v>500</v>
      </c>
      <c r="C25" s="77">
        <f>VLOOKUP($B$3,'Data for Bill Impacts'!$A$3:$Y$25,16,0)</f>
        <v>1.5062</v>
      </c>
      <c r="D25" s="21">
        <f>B25*C25</f>
        <v>753.1</v>
      </c>
      <c r="E25" s="72">
        <f t="shared" si="4"/>
        <v>500</v>
      </c>
      <c r="F25" s="77">
        <f>VLOOKUP($B$3,'Data for Bill Impacts'!$A$3:$Y$25,25,0)</f>
        <v>1.5062</v>
      </c>
      <c r="G25" s="21">
        <f>E25*F25</f>
        <v>753.1</v>
      </c>
      <c r="H25" s="21">
        <f t="shared" si="2"/>
        <v>0</v>
      </c>
      <c r="I25" s="22">
        <f t="shared" si="3"/>
        <v>0</v>
      </c>
      <c r="J25" s="124">
        <f t="shared" si="0"/>
        <v>2.8603174068703455E-2</v>
      </c>
    </row>
    <row r="26" spans="1:10" x14ac:dyDescent="0.2">
      <c r="A26" s="109" t="s">
        <v>76</v>
      </c>
      <c r="B26" s="73"/>
      <c r="C26" s="34"/>
      <c r="D26" s="34">
        <f>SUM(D24:D25)</f>
        <v>1683.7</v>
      </c>
      <c r="E26" s="72"/>
      <c r="F26" s="34"/>
      <c r="G26" s="34">
        <f>SUM(G24:G25)</f>
        <v>1683.7</v>
      </c>
      <c r="H26" s="34">
        <f t="shared" si="2"/>
        <v>0</v>
      </c>
      <c r="I26" s="35">
        <f t="shared" si="3"/>
        <v>0</v>
      </c>
      <c r="J26" s="110">
        <f t="shared" si="0"/>
        <v>6.3947900915517206E-2</v>
      </c>
    </row>
    <row r="27" spans="1:10" s="1" customFormat="1" x14ac:dyDescent="0.2">
      <c r="A27" s="109" t="s">
        <v>80</v>
      </c>
      <c r="B27" s="73"/>
      <c r="C27" s="34"/>
      <c r="D27" s="34">
        <f>D23+D26</f>
        <v>1893.53</v>
      </c>
      <c r="E27" s="72"/>
      <c r="F27" s="34"/>
      <c r="G27" s="34">
        <f>G23+G26</f>
        <v>1966.47</v>
      </c>
      <c r="H27" s="34">
        <f t="shared" si="2"/>
        <v>72.940000000000055</v>
      </c>
      <c r="I27" s="35">
        <f t="shared" si="3"/>
        <v>3.8520646622974053E-2</v>
      </c>
      <c r="J27" s="110">
        <f t="shared" si="0"/>
        <v>7.4687669248284808E-2</v>
      </c>
    </row>
    <row r="28" spans="1:10" x14ac:dyDescent="0.2">
      <c r="A28" s="106" t="s">
        <v>42</v>
      </c>
      <c r="B28" s="72">
        <f>B9</f>
        <v>183137.5</v>
      </c>
      <c r="C28" s="33">
        <v>3.5999999999999999E-3</v>
      </c>
      <c r="D28" s="21">
        <f>B28*C28</f>
        <v>659.29499999999996</v>
      </c>
      <c r="E28" s="72">
        <f t="shared" si="4"/>
        <v>183137.5</v>
      </c>
      <c r="F28" s="33">
        <v>3.5999999999999999E-3</v>
      </c>
      <c r="G28" s="21">
        <f>E28*F28</f>
        <v>659.29499999999996</v>
      </c>
      <c r="H28" s="21">
        <f t="shared" si="2"/>
        <v>0</v>
      </c>
      <c r="I28" s="22">
        <f t="shared" si="3"/>
        <v>0</v>
      </c>
      <c r="J28" s="124">
        <f t="shared" si="0"/>
        <v>2.504040585264353E-2</v>
      </c>
    </row>
    <row r="29" spans="1:10" x14ac:dyDescent="0.2">
      <c r="A29" s="106" t="s">
        <v>43</v>
      </c>
      <c r="B29" s="72">
        <f>B9</f>
        <v>183137.5</v>
      </c>
      <c r="C29" s="33">
        <v>2.0999999999999999E-3</v>
      </c>
      <c r="D29" s="21">
        <f>B29*C29</f>
        <v>384.58875</v>
      </c>
      <c r="E29" s="72">
        <f t="shared" si="4"/>
        <v>183137.5</v>
      </c>
      <c r="F29" s="33">
        <v>2.0999999999999999E-3</v>
      </c>
      <c r="G29" s="21">
        <f>E29*F29</f>
        <v>384.58875</v>
      </c>
      <c r="H29" s="21">
        <f>G29-D29</f>
        <v>0</v>
      </c>
      <c r="I29" s="22">
        <f t="shared" si="3"/>
        <v>0</v>
      </c>
      <c r="J29" s="124">
        <f t="shared" si="0"/>
        <v>1.460690341404206E-2</v>
      </c>
    </row>
    <row r="30" spans="1:10" x14ac:dyDescent="0.2">
      <c r="A30" s="106" t="s">
        <v>99</v>
      </c>
      <c r="B30" s="72">
        <f>B9</f>
        <v>183137.5</v>
      </c>
      <c r="C30" s="33">
        <v>1.1000000000000001E-3</v>
      </c>
      <c r="D30" s="21">
        <f>B30*C30</f>
        <v>201.45125000000002</v>
      </c>
      <c r="E30" s="72">
        <f t="shared" si="4"/>
        <v>183137.5</v>
      </c>
      <c r="F30" s="33">
        <v>1.1000000000000001E-3</v>
      </c>
      <c r="G30" s="21">
        <f>E30*F30</f>
        <v>201.45125000000002</v>
      </c>
      <c r="H30" s="21">
        <f>G30-D30</f>
        <v>0</v>
      </c>
      <c r="I30" s="22">
        <f t="shared" si="3"/>
        <v>0</v>
      </c>
      <c r="J30" s="124">
        <f t="shared" si="0"/>
        <v>7.6512351216410802E-3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9.4951447579018237E-6</v>
      </c>
    </row>
    <row r="32" spans="1:10" x14ac:dyDescent="0.2">
      <c r="A32" s="109" t="s">
        <v>45</v>
      </c>
      <c r="B32" s="73"/>
      <c r="C32" s="34"/>
      <c r="D32" s="34">
        <f>SUM(D28:D31)</f>
        <v>1245.585</v>
      </c>
      <c r="E32" s="72"/>
      <c r="F32" s="34"/>
      <c r="G32" s="34">
        <f>SUM(G28:G31)</f>
        <v>1245.585</v>
      </c>
      <c r="H32" s="34">
        <f t="shared" si="2"/>
        <v>0</v>
      </c>
      <c r="I32" s="35">
        <f t="shared" si="3"/>
        <v>0</v>
      </c>
      <c r="J32" s="110">
        <f t="shared" si="0"/>
        <v>4.730803953308458E-2</v>
      </c>
    </row>
    <row r="33" spans="1:10" ht="13.5" thickBot="1" x14ac:dyDescent="0.25">
      <c r="A33" s="111" t="s">
        <v>46</v>
      </c>
      <c r="B33" s="112">
        <f>B4</f>
        <v>175000</v>
      </c>
      <c r="C33" s="113">
        <v>7.0000000000000001E-3</v>
      </c>
      <c r="D33" s="114">
        <f>B33*C33</f>
        <v>1225</v>
      </c>
      <c r="E33" s="115">
        <f t="shared" ref="E33" si="7">B33</f>
        <v>175000</v>
      </c>
      <c r="F33" s="113">
        <f>C33</f>
        <v>7.0000000000000001E-3</v>
      </c>
      <c r="G33" s="114">
        <f>E33*F33</f>
        <v>1225</v>
      </c>
      <c r="H33" s="114">
        <f t="shared" si="2"/>
        <v>0</v>
      </c>
      <c r="I33" s="116">
        <f t="shared" si="3"/>
        <v>0</v>
      </c>
      <c r="J33" s="117">
        <f t="shared" si="0"/>
        <v>4.6526209313718939E-2</v>
      </c>
    </row>
    <row r="34" spans="1:10" x14ac:dyDescent="0.2">
      <c r="A34" s="36" t="s">
        <v>116</v>
      </c>
      <c r="B34" s="37"/>
      <c r="C34" s="38"/>
      <c r="D34" s="38">
        <f>SUM(D15,D23,D26,D32,D33)</f>
        <v>23227.2775</v>
      </c>
      <c r="E34" s="37"/>
      <c r="F34" s="38"/>
      <c r="G34" s="38">
        <f>SUM(G15,G23,G26,G32,G33)</f>
        <v>23300.217499999999</v>
      </c>
      <c r="H34" s="38">
        <f t="shared" si="2"/>
        <v>72.93999999999869</v>
      </c>
      <c r="I34" s="39">
        <f>IF(ISERROR(H34/D34),0,(H34/D34))</f>
        <v>3.1402733273410408E-3</v>
      </c>
      <c r="J34" s="40">
        <f t="shared" si="0"/>
        <v>0.88495575221238931</v>
      </c>
    </row>
    <row r="35" spans="1:10" x14ac:dyDescent="0.2">
      <c r="A35" s="45" t="s">
        <v>108</v>
      </c>
      <c r="B35" s="42"/>
      <c r="C35" s="25">
        <v>0.13</v>
      </c>
      <c r="D35" s="25">
        <f>D34*C35</f>
        <v>3019.5460750000002</v>
      </c>
      <c r="E35" s="25"/>
      <c r="F35" s="25">
        <f>C35</f>
        <v>0.13</v>
      </c>
      <c r="G35" s="25">
        <f>G34*F35</f>
        <v>3029.0282750000001</v>
      </c>
      <c r="H35" s="25">
        <f t="shared" si="2"/>
        <v>9.4821999999999207</v>
      </c>
      <c r="I35" s="43">
        <f t="shared" ref="I35:I38" si="8">IF(ISERROR(H35/D35),0,(H35/D35))</f>
        <v>3.1402733273410708E-3</v>
      </c>
      <c r="J35" s="44">
        <f t="shared" si="0"/>
        <v>0.11504424778761063</v>
      </c>
    </row>
    <row r="36" spans="1:10" x14ac:dyDescent="0.2">
      <c r="A36" s="45" t="s">
        <v>109</v>
      </c>
      <c r="B36" s="23"/>
      <c r="C36" s="24"/>
      <c r="D36" s="24">
        <f>SUM(D34:D35)</f>
        <v>26246.823575000002</v>
      </c>
      <c r="E36" s="24"/>
      <c r="F36" s="24"/>
      <c r="G36" s="24">
        <f>SUM(G34:G35)</f>
        <v>26329.245774999999</v>
      </c>
      <c r="H36" s="24">
        <f t="shared" si="2"/>
        <v>82.422199999997247</v>
      </c>
      <c r="I36" s="26">
        <f t="shared" si="8"/>
        <v>3.1402733273409918E-3</v>
      </c>
      <c r="J36" s="46">
        <f t="shared" si="0"/>
        <v>1</v>
      </c>
    </row>
    <row r="37" spans="1:10" x14ac:dyDescent="0.2">
      <c r="A37" s="45" t="s">
        <v>110</v>
      </c>
      <c r="B37" s="42"/>
      <c r="C37" s="25">
        <v>0</v>
      </c>
      <c r="D37" s="25">
        <f>D34*C37</f>
        <v>0</v>
      </c>
      <c r="E37" s="25"/>
      <c r="F37" s="25">
        <f>C37</f>
        <v>0</v>
      </c>
      <c r="G37" s="25">
        <f>G34*F37</f>
        <v>0</v>
      </c>
      <c r="H37" s="25">
        <f t="shared" si="2"/>
        <v>0</v>
      </c>
      <c r="I37" s="43">
        <f t="shared" si="8"/>
        <v>0</v>
      </c>
      <c r="J37" s="44">
        <f t="shared" si="0"/>
        <v>0</v>
      </c>
    </row>
    <row r="38" spans="1:10" ht="13.5" thickBot="1" x14ac:dyDescent="0.25">
      <c r="A38" s="45" t="s">
        <v>111</v>
      </c>
      <c r="B38" s="48"/>
      <c r="C38" s="49"/>
      <c r="D38" s="49">
        <f>SUM(D36:D37)</f>
        <v>26246.823575000002</v>
      </c>
      <c r="E38" s="49"/>
      <c r="F38" s="49"/>
      <c r="G38" s="49">
        <f>SUM(G36:G37)</f>
        <v>26329.245774999999</v>
      </c>
      <c r="H38" s="49">
        <f t="shared" si="2"/>
        <v>82.422199999997247</v>
      </c>
      <c r="I38" s="50">
        <f t="shared" si="8"/>
        <v>3.1402733273409918E-3</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1" tint="0.499984740745262"/>
    <pageSetUpPr fitToPage="1"/>
  </sheetPr>
  <dimension ref="A1:J54"/>
  <sheetViews>
    <sheetView tabSelected="1" topLeftCell="A13"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124</v>
      </c>
      <c r="B1" s="204"/>
      <c r="C1" s="204"/>
      <c r="D1" s="204"/>
      <c r="E1" s="204"/>
      <c r="F1" s="204"/>
      <c r="G1" s="204"/>
      <c r="H1" s="204"/>
      <c r="I1" s="204"/>
      <c r="J1" s="205"/>
    </row>
    <row r="3" spans="1:10" x14ac:dyDescent="0.2">
      <c r="A3" s="12" t="s">
        <v>13</v>
      </c>
      <c r="B3" s="12" t="s">
        <v>121</v>
      </c>
    </row>
    <row r="4" spans="1:10" x14ac:dyDescent="0.2">
      <c r="A4" s="14" t="s">
        <v>62</v>
      </c>
      <c r="B4" s="78">
        <v>15000</v>
      </c>
    </row>
    <row r="5" spans="1:10" x14ac:dyDescent="0.2">
      <c r="A5" s="14" t="s">
        <v>16</v>
      </c>
      <c r="B5" s="78">
        <v>60</v>
      </c>
    </row>
    <row r="6" spans="1:10" x14ac:dyDescent="0.2">
      <c r="A6" s="14" t="s">
        <v>20</v>
      </c>
      <c r="B6" s="79">
        <f>VLOOKUP($B$3,'Data for Bill Impacts'!$A$3:$Y$25,2,0)</f>
        <v>1.0563</v>
      </c>
    </row>
    <row r="7" spans="1:10" x14ac:dyDescent="0.2">
      <c r="A7" s="80" t="s">
        <v>48</v>
      </c>
      <c r="B7" s="81">
        <f>B4/(B5*730)</f>
        <v>0.34246575342465752</v>
      </c>
    </row>
    <row r="8" spans="1:10" x14ac:dyDescent="0.2">
      <c r="A8" s="14" t="s">
        <v>15</v>
      </c>
      <c r="B8" s="78">
        <f>VLOOKUP($B$3,'Data for Bill Impacts'!$A$3:$Y$25,4,0)</f>
        <v>0</v>
      </c>
    </row>
    <row r="9" spans="1:10" x14ac:dyDescent="0.2">
      <c r="A9" s="14" t="s">
        <v>82</v>
      </c>
      <c r="B9" s="78">
        <f>B4*B6</f>
        <v>15844.5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15844.5</v>
      </c>
      <c r="C13" s="102">
        <v>0.10299999999999999</v>
      </c>
      <c r="D13" s="103">
        <f>B13*C13</f>
        <v>1631.9834999999998</v>
      </c>
      <c r="E13" s="101">
        <f>B13</f>
        <v>15844.5</v>
      </c>
      <c r="F13" s="102">
        <f>C13</f>
        <v>0.10299999999999999</v>
      </c>
      <c r="G13" s="103">
        <f>E13*F13</f>
        <v>1631.9834999999998</v>
      </c>
      <c r="H13" s="103">
        <f>G13-D13</f>
        <v>0</v>
      </c>
      <c r="I13" s="104">
        <f>IF(ISERROR(H13/D13),0,(H13/D13))</f>
        <v>0</v>
      </c>
      <c r="J13" s="123">
        <f t="shared" ref="J13:J38" si="0">G13/$G$38</f>
        <v>0.53925232707896953</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1631.9834999999998</v>
      </c>
      <c r="E15" s="75"/>
      <c r="F15" s="24"/>
      <c r="G15" s="24">
        <f>SUM(G13:G14)</f>
        <v>1631.9834999999998</v>
      </c>
      <c r="H15" s="24">
        <f t="shared" si="2"/>
        <v>0</v>
      </c>
      <c r="I15" s="26">
        <f t="shared" si="3"/>
        <v>0</v>
      </c>
      <c r="J15" s="46">
        <f t="shared" si="0"/>
        <v>0.53925232707896953</v>
      </c>
    </row>
    <row r="16" spans="1:10" s="1" customFormat="1" x14ac:dyDescent="0.2">
      <c r="A16" s="106" t="s">
        <v>38</v>
      </c>
      <c r="B16" s="72">
        <v>1</v>
      </c>
      <c r="C16" s="77">
        <f>VLOOKUP($B$3,'Data for Bill Impacts'!$A$3:$Y$25,7,0)</f>
        <v>208.51</v>
      </c>
      <c r="D16" s="21">
        <f>B16*C16</f>
        <v>208.51</v>
      </c>
      <c r="E16" s="72">
        <f t="shared" ref="E16:E33" si="4">B16</f>
        <v>1</v>
      </c>
      <c r="F16" s="77">
        <f>VLOOKUP($B$3,'Data for Bill Impacts'!$A$3:$Y$25,17,0)</f>
        <v>252.3</v>
      </c>
      <c r="G16" s="21">
        <f>E16*F16</f>
        <v>252.3</v>
      </c>
      <c r="H16" s="21">
        <f t="shared" si="2"/>
        <v>43.79000000000002</v>
      </c>
      <c r="I16" s="22">
        <f t="shared" si="3"/>
        <v>0.21001390820584157</v>
      </c>
      <c r="J16" s="124">
        <f t="shared" si="0"/>
        <v>8.3366873575636047E-2</v>
      </c>
    </row>
    <row r="17" spans="1:10" hidden="1" x14ac:dyDescent="0.2">
      <c r="A17" s="106" t="s">
        <v>83</v>
      </c>
      <c r="B17" s="72">
        <v>1</v>
      </c>
      <c r="C17" s="77">
        <f>VLOOKUP($B$3,'Data for Bill Impacts'!$A$3:$Y$25,8,0)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Impacts'!$A$3:$Y$25,11,0)</f>
        <v>0</v>
      </c>
      <c r="D18" s="21">
        <f t="shared" ref="D18:D19" si="6">B18*C18</f>
        <v>0</v>
      </c>
      <c r="E18" s="72">
        <f t="shared" si="4"/>
        <v>1</v>
      </c>
      <c r="F18" s="77">
        <f>VLOOKUP($B$3,'Data for Bill Impacts'!$A$3:$Y$25,12,0)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x14ac:dyDescent="0.2">
      <c r="A20" s="106" t="s">
        <v>39</v>
      </c>
      <c r="B20" s="72">
        <f>IF($B$10="kWh",$B$4,$B$5)</f>
        <v>60</v>
      </c>
      <c r="C20" s="77">
        <f>VLOOKUP($B$3,'Data for Bill Impacts'!$A$3:$Y$25,10,0)</f>
        <v>5.14</v>
      </c>
      <c r="D20" s="21">
        <f>B20*C20</f>
        <v>308.39999999999998</v>
      </c>
      <c r="E20" s="72">
        <f t="shared" si="4"/>
        <v>60</v>
      </c>
      <c r="F20" s="77">
        <f>VLOOKUP($B$3,'Data for Bill Impacts'!$A$3:$Y$25,19,0)</f>
        <v>6.3239000000000001</v>
      </c>
      <c r="G20" s="21">
        <f>E20*F20</f>
        <v>379.43400000000003</v>
      </c>
      <c r="H20" s="21">
        <f t="shared" si="2"/>
        <v>71.034000000000049</v>
      </c>
      <c r="I20" s="22">
        <f t="shared" si="3"/>
        <v>0.23033073929961106</v>
      </c>
      <c r="J20" s="124">
        <f t="shared" si="0"/>
        <v>0.12537545108322587</v>
      </c>
    </row>
    <row r="21" spans="1:10" s="1" customFormat="1" x14ac:dyDescent="0.2">
      <c r="A21" s="106" t="s">
        <v>129</v>
      </c>
      <c r="B21" s="72">
        <f>IF($B$10="kWh",$B$4,$B$5)</f>
        <v>60</v>
      </c>
      <c r="C21" s="77">
        <f>VLOOKUP($B$3,'Data for Bill Impacts'!$A$3:$Y$25,14,0)</f>
        <v>0</v>
      </c>
      <c r="D21" s="21">
        <f>B21*C21</f>
        <v>0</v>
      </c>
      <c r="E21" s="72">
        <f>B21</f>
        <v>60</v>
      </c>
      <c r="F21" s="125">
        <f>VLOOKUP($B$3,'Data for Bill Impacts'!$A$3:$Y$25,23,0)</f>
        <v>0</v>
      </c>
      <c r="G21" s="21">
        <f>E21*F21</f>
        <v>0</v>
      </c>
      <c r="H21" s="21">
        <f>G21-D21</f>
        <v>0</v>
      </c>
      <c r="I21" s="22">
        <f>IF(ISERROR(H21/D21),0,(H21/D21))</f>
        <v>0</v>
      </c>
      <c r="J21" s="124">
        <f t="shared" si="0"/>
        <v>0</v>
      </c>
    </row>
    <row r="22" spans="1:10" s="1" customFormat="1" x14ac:dyDescent="0.2">
      <c r="A22" s="106" t="s">
        <v>117</v>
      </c>
      <c r="B22" s="72">
        <f>B9</f>
        <v>15844.5</v>
      </c>
      <c r="C22" s="125">
        <f>VLOOKUP($B$3,'Data for Bill Impacts'!$A$3:$Y$25,20,0)</f>
        <v>0</v>
      </c>
      <c r="D22" s="21">
        <f>B22*C22</f>
        <v>0</v>
      </c>
      <c r="E22" s="72">
        <f t="shared" si="4"/>
        <v>15844.5</v>
      </c>
      <c r="F22" s="125">
        <f>VLOOKUP($B$3,'Data for Bill Impacts'!$A$3:$Y$25,21,0)</f>
        <v>0</v>
      </c>
      <c r="G22" s="21">
        <f>E22*F22</f>
        <v>0</v>
      </c>
      <c r="H22" s="21">
        <f t="shared" si="2"/>
        <v>0</v>
      </c>
      <c r="I22" s="22">
        <f>IF(ISERROR(H22/D22),0,(H22/D22))</f>
        <v>0</v>
      </c>
      <c r="J22" s="124">
        <f t="shared" si="0"/>
        <v>0</v>
      </c>
    </row>
    <row r="23" spans="1:10" x14ac:dyDescent="0.2">
      <c r="A23" s="109" t="s">
        <v>79</v>
      </c>
      <c r="B23" s="73"/>
      <c r="C23" s="34"/>
      <c r="D23" s="34">
        <f>SUM(D16:D22)</f>
        <v>516.91</v>
      </c>
      <c r="E23" s="72"/>
      <c r="F23" s="34"/>
      <c r="G23" s="34">
        <f>SUM(G16:G22)</f>
        <v>631.73400000000004</v>
      </c>
      <c r="H23" s="34">
        <f t="shared" si="2"/>
        <v>114.82400000000007</v>
      </c>
      <c r="I23" s="35">
        <f t="shared" si="3"/>
        <v>0.22213538140101774</v>
      </c>
      <c r="J23" s="110">
        <f t="shared" si="0"/>
        <v>0.20874232465886192</v>
      </c>
    </row>
    <row r="24" spans="1:10" x14ac:dyDescent="0.2">
      <c r="A24" s="106" t="s">
        <v>40</v>
      </c>
      <c r="B24" s="72">
        <f>B5</f>
        <v>60</v>
      </c>
      <c r="C24" s="125">
        <f>VLOOKUP($B$3,'Data for Bill Impacts'!$A$3:$Y$25,15,0)</f>
        <v>1.8483000000000001</v>
      </c>
      <c r="D24" s="21">
        <f>B24*C24</f>
        <v>110.898</v>
      </c>
      <c r="E24" s="72">
        <f t="shared" si="4"/>
        <v>60</v>
      </c>
      <c r="F24" s="77">
        <f>VLOOKUP($B$3,'Data for Bill Impacts'!$A$3:$Y$25,24,0)</f>
        <v>1.8483000000000001</v>
      </c>
      <c r="G24" s="21">
        <f>E24*F24</f>
        <v>110.898</v>
      </c>
      <c r="H24" s="21">
        <f t="shared" si="2"/>
        <v>0</v>
      </c>
      <c r="I24" s="22">
        <f t="shared" si="3"/>
        <v>0</v>
      </c>
      <c r="J24" s="124">
        <f t="shared" si="0"/>
        <v>3.6643755631355072E-2</v>
      </c>
    </row>
    <row r="25" spans="1:10" s="1" customFormat="1" x14ac:dyDescent="0.2">
      <c r="A25" s="106" t="s">
        <v>41</v>
      </c>
      <c r="B25" s="72">
        <f>B5</f>
        <v>60</v>
      </c>
      <c r="C25" s="125">
        <f>VLOOKUP($B$3,'Data for Bill Impacts'!$A$3:$Y$25,16,0)</f>
        <v>1.5101</v>
      </c>
      <c r="D25" s="21">
        <f>B25*C25</f>
        <v>90.605999999999995</v>
      </c>
      <c r="E25" s="72">
        <f t="shared" si="4"/>
        <v>60</v>
      </c>
      <c r="F25" s="125">
        <f>VLOOKUP($B$3,'Data for Bill Impacts'!$A$3:$Y$25,25,0)</f>
        <v>1.5101</v>
      </c>
      <c r="G25" s="21">
        <f>E25*F25</f>
        <v>90.605999999999995</v>
      </c>
      <c r="H25" s="21">
        <f t="shared" si="2"/>
        <v>0</v>
      </c>
      <c r="I25" s="22">
        <f t="shared" si="3"/>
        <v>0</v>
      </c>
      <c r="J25" s="124">
        <f t="shared" si="0"/>
        <v>2.993871956874387E-2</v>
      </c>
    </row>
    <row r="26" spans="1:10" x14ac:dyDescent="0.2">
      <c r="A26" s="109" t="s">
        <v>76</v>
      </c>
      <c r="B26" s="73"/>
      <c r="C26" s="34"/>
      <c r="D26" s="34">
        <f>SUM(D24:D25)</f>
        <v>201.50399999999999</v>
      </c>
      <c r="E26" s="72"/>
      <c r="F26" s="34"/>
      <c r="G26" s="34">
        <f>SUM(G24:G25)</f>
        <v>201.50399999999999</v>
      </c>
      <c r="H26" s="34">
        <f t="shared" si="2"/>
        <v>0</v>
      </c>
      <c r="I26" s="35">
        <f t="shared" si="3"/>
        <v>0</v>
      </c>
      <c r="J26" s="110">
        <f t="shared" si="0"/>
        <v>6.6582475200098953E-2</v>
      </c>
    </row>
    <row r="27" spans="1:10" s="1" customFormat="1" x14ac:dyDescent="0.2">
      <c r="A27" s="109" t="s">
        <v>80</v>
      </c>
      <c r="B27" s="73"/>
      <c r="C27" s="34"/>
      <c r="D27" s="34">
        <f>D23+D26</f>
        <v>718.41399999999999</v>
      </c>
      <c r="E27" s="72"/>
      <c r="F27" s="34"/>
      <c r="G27" s="34">
        <f>G23+G26</f>
        <v>833.23800000000006</v>
      </c>
      <c r="H27" s="34">
        <f t="shared" si="2"/>
        <v>114.82400000000007</v>
      </c>
      <c r="I27" s="35">
        <f t="shared" si="3"/>
        <v>0.15982984741388681</v>
      </c>
      <c r="J27" s="110">
        <f t="shared" si="0"/>
        <v>0.27532479985896086</v>
      </c>
    </row>
    <row r="28" spans="1:10" x14ac:dyDescent="0.2">
      <c r="A28" s="106" t="s">
        <v>42</v>
      </c>
      <c r="B28" s="72">
        <f>B9</f>
        <v>15844.5</v>
      </c>
      <c r="C28" s="33">
        <v>3.5999999999999999E-3</v>
      </c>
      <c r="D28" s="21">
        <f>B28*C28</f>
        <v>57.040199999999999</v>
      </c>
      <c r="E28" s="72">
        <f t="shared" si="4"/>
        <v>15844.5</v>
      </c>
      <c r="F28" s="33">
        <v>3.5999999999999999E-3</v>
      </c>
      <c r="G28" s="21">
        <f>E28*F28</f>
        <v>57.040199999999999</v>
      </c>
      <c r="H28" s="21">
        <f t="shared" si="2"/>
        <v>0</v>
      </c>
      <c r="I28" s="22">
        <f t="shared" si="3"/>
        <v>0</v>
      </c>
      <c r="J28" s="124">
        <f t="shared" si="0"/>
        <v>1.8847654150332918E-2</v>
      </c>
    </row>
    <row r="29" spans="1:10" x14ac:dyDescent="0.2">
      <c r="A29" s="106" t="s">
        <v>43</v>
      </c>
      <c r="B29" s="72">
        <f>B9</f>
        <v>15844.5</v>
      </c>
      <c r="C29" s="33">
        <v>2.0999999999999999E-3</v>
      </c>
      <c r="D29" s="21">
        <f>B29*C29</f>
        <v>33.273449999999997</v>
      </c>
      <c r="E29" s="72">
        <f t="shared" si="4"/>
        <v>15844.5</v>
      </c>
      <c r="F29" s="33">
        <v>2.0999999999999999E-3</v>
      </c>
      <c r="G29" s="21">
        <f>E29*F29</f>
        <v>33.273449999999997</v>
      </c>
      <c r="H29" s="21">
        <f>G29-D29</f>
        <v>0</v>
      </c>
      <c r="I29" s="22">
        <f t="shared" si="3"/>
        <v>0</v>
      </c>
      <c r="J29" s="124">
        <f t="shared" si="0"/>
        <v>1.0994464921027534E-2</v>
      </c>
    </row>
    <row r="30" spans="1:10" x14ac:dyDescent="0.2">
      <c r="A30" s="106" t="s">
        <v>99</v>
      </c>
      <c r="B30" s="72">
        <f>B9</f>
        <v>15844.5</v>
      </c>
      <c r="C30" s="33">
        <v>1.1000000000000001E-3</v>
      </c>
      <c r="D30" s="21">
        <f>B30*C30</f>
        <v>17.42895</v>
      </c>
      <c r="E30" s="72">
        <f t="shared" si="4"/>
        <v>15844.5</v>
      </c>
      <c r="F30" s="33">
        <v>1.1000000000000001E-3</v>
      </c>
      <c r="G30" s="21">
        <f>E30*F30</f>
        <v>17.42895</v>
      </c>
      <c r="H30" s="21">
        <f>G30-D30</f>
        <v>0</v>
      </c>
      <c r="I30" s="22">
        <f t="shared" si="3"/>
        <v>0</v>
      </c>
      <c r="J30" s="124">
        <f t="shared" si="0"/>
        <v>5.759005434823947E-3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8.260689018592553E-5</v>
      </c>
    </row>
    <row r="32" spans="1:10" x14ac:dyDescent="0.2">
      <c r="A32" s="109" t="s">
        <v>45</v>
      </c>
      <c r="B32" s="73"/>
      <c r="C32" s="34"/>
      <c r="D32" s="34">
        <f>SUM(D28:D31)</f>
        <v>107.9926</v>
      </c>
      <c r="E32" s="72"/>
      <c r="F32" s="34"/>
      <c r="G32" s="34">
        <f>SUM(G28:G31)</f>
        <v>107.9926</v>
      </c>
      <c r="H32" s="34">
        <f t="shared" si="2"/>
        <v>0</v>
      </c>
      <c r="I32" s="35">
        <f t="shared" si="3"/>
        <v>0</v>
      </c>
      <c r="J32" s="110">
        <f t="shared" si="0"/>
        <v>3.5683731396370322E-2</v>
      </c>
    </row>
    <row r="33" spans="1:10" ht="13.5" thickBot="1" x14ac:dyDescent="0.25">
      <c r="A33" s="111" t="s">
        <v>46</v>
      </c>
      <c r="B33" s="112">
        <f>B4</f>
        <v>15000</v>
      </c>
      <c r="C33" s="113">
        <v>7.0000000000000001E-3</v>
      </c>
      <c r="D33" s="114">
        <f>B33*C33</f>
        <v>105</v>
      </c>
      <c r="E33" s="115">
        <f t="shared" si="4"/>
        <v>15000</v>
      </c>
      <c r="F33" s="113">
        <f>C33</f>
        <v>7.0000000000000001E-3</v>
      </c>
      <c r="G33" s="114">
        <f>E33*F33</f>
        <v>105</v>
      </c>
      <c r="H33" s="114">
        <f t="shared" si="2"/>
        <v>0</v>
      </c>
      <c r="I33" s="116">
        <f t="shared" si="3"/>
        <v>0</v>
      </c>
      <c r="J33" s="117">
        <f t="shared" si="0"/>
        <v>3.4694893878088724E-2</v>
      </c>
    </row>
    <row r="34" spans="1:10" x14ac:dyDescent="0.2">
      <c r="A34" s="36" t="s">
        <v>116</v>
      </c>
      <c r="B34" s="37"/>
      <c r="C34" s="38"/>
      <c r="D34" s="38">
        <f>SUM(D15,D23,D26,D32,D33)</f>
        <v>2563.3900999999996</v>
      </c>
      <c r="E34" s="37"/>
      <c r="F34" s="38"/>
      <c r="G34" s="38">
        <f>SUM(G15,G23,G26,G32,G33)</f>
        <v>2678.2140999999997</v>
      </c>
      <c r="H34" s="38">
        <f t="shared" si="2"/>
        <v>114.82400000000007</v>
      </c>
      <c r="I34" s="39">
        <f>IF(ISERROR(H34/D34),0,(H34/D34))</f>
        <v>4.4793806451854552E-2</v>
      </c>
      <c r="J34" s="40">
        <f t="shared" si="0"/>
        <v>0.88495575221238942</v>
      </c>
    </row>
    <row r="35" spans="1:10" x14ac:dyDescent="0.2">
      <c r="A35" s="45" t="s">
        <v>108</v>
      </c>
      <c r="B35" s="42"/>
      <c r="C35" s="25">
        <v>0.13</v>
      </c>
      <c r="D35" s="25">
        <f>D34*C35</f>
        <v>333.24071299999997</v>
      </c>
      <c r="E35" s="25"/>
      <c r="F35" s="25">
        <f>C35</f>
        <v>0.13</v>
      </c>
      <c r="G35" s="25">
        <f>G34*F35</f>
        <v>348.16783299999997</v>
      </c>
      <c r="H35" s="25">
        <f t="shared" si="2"/>
        <v>14.927120000000002</v>
      </c>
      <c r="I35" s="43">
        <f t="shared" ref="I35:I38" si="7">IF(ISERROR(H35/D35),0,(H35/D35))</f>
        <v>4.4793806451854531E-2</v>
      </c>
      <c r="J35" s="44">
        <f t="shared" si="0"/>
        <v>0.11504424778761062</v>
      </c>
    </row>
    <row r="36" spans="1:10" x14ac:dyDescent="0.2">
      <c r="A36" s="45" t="s">
        <v>109</v>
      </c>
      <c r="B36" s="23"/>
      <c r="C36" s="24"/>
      <c r="D36" s="24">
        <f>SUM(D34:D35)</f>
        <v>2896.6308129999998</v>
      </c>
      <c r="E36" s="24"/>
      <c r="F36" s="24"/>
      <c r="G36" s="24">
        <f>SUM(G34:G35)</f>
        <v>3026.3819329999997</v>
      </c>
      <c r="H36" s="24">
        <f t="shared" si="2"/>
        <v>129.7511199999999</v>
      </c>
      <c r="I36" s="26">
        <f t="shared" si="7"/>
        <v>4.479380645185449E-2</v>
      </c>
      <c r="J36" s="46">
        <f t="shared" si="0"/>
        <v>1</v>
      </c>
    </row>
    <row r="37" spans="1:10" x14ac:dyDescent="0.2">
      <c r="A37" s="45" t="s">
        <v>110</v>
      </c>
      <c r="B37" s="42"/>
      <c r="C37" s="25">
        <v>0</v>
      </c>
      <c r="D37" s="25">
        <f>D34*C37</f>
        <v>0</v>
      </c>
      <c r="E37" s="25"/>
      <c r="F37" s="25">
        <f>C37</f>
        <v>0</v>
      </c>
      <c r="G37" s="25">
        <f>G34*F37</f>
        <v>0</v>
      </c>
      <c r="H37" s="25">
        <f t="shared" si="2"/>
        <v>0</v>
      </c>
      <c r="I37" s="43">
        <f t="shared" si="7"/>
        <v>0</v>
      </c>
      <c r="J37" s="44">
        <f t="shared" si="0"/>
        <v>0</v>
      </c>
    </row>
    <row r="38" spans="1:10" ht="13.5" thickBot="1" x14ac:dyDescent="0.25">
      <c r="A38" s="45" t="s">
        <v>111</v>
      </c>
      <c r="B38" s="48"/>
      <c r="C38" s="49"/>
      <c r="D38" s="49">
        <f>SUM(D36:D37)</f>
        <v>2896.6308129999998</v>
      </c>
      <c r="E38" s="49"/>
      <c r="F38" s="49"/>
      <c r="G38" s="49">
        <f>SUM(G36:G37)</f>
        <v>3026.3819329999997</v>
      </c>
      <c r="H38" s="49">
        <f t="shared" si="2"/>
        <v>129.7511199999999</v>
      </c>
      <c r="I38" s="50">
        <f t="shared" si="7"/>
        <v>4.479380645185449E-2</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1" tint="0.499984740745262"/>
    <pageSetUpPr fitToPage="1"/>
  </sheetPr>
  <dimension ref="A1:J54"/>
  <sheetViews>
    <sheetView tabSelected="1" zoomScaleNormal="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127</v>
      </c>
      <c r="B1" s="204"/>
      <c r="C1" s="204"/>
      <c r="D1" s="204"/>
      <c r="E1" s="204"/>
      <c r="F1" s="204"/>
      <c r="G1" s="204"/>
      <c r="H1" s="204"/>
      <c r="I1" s="204"/>
      <c r="J1" s="205"/>
    </row>
    <row r="3" spans="1:10" x14ac:dyDescent="0.2">
      <c r="A3" s="12" t="s">
        <v>13</v>
      </c>
      <c r="B3" s="12" t="s">
        <v>121</v>
      </c>
    </row>
    <row r="4" spans="1:10" x14ac:dyDescent="0.2">
      <c r="A4" s="14" t="s">
        <v>62</v>
      </c>
      <c r="B4" s="78">
        <f>VLOOKUP(B3,'Data for Bill Impacts_HONI Avg '!A2:F21,3,FALSE)</f>
        <v>53895</v>
      </c>
    </row>
    <row r="5" spans="1:10" x14ac:dyDescent="0.2">
      <c r="A5" s="14" t="s">
        <v>16</v>
      </c>
      <c r="B5" s="78">
        <f>VLOOKUP(B3,'Data for Bill Impacts_HONI Avg '!A2:F21,5,FALSE)</f>
        <v>152</v>
      </c>
    </row>
    <row r="6" spans="1:10" x14ac:dyDescent="0.2">
      <c r="A6" s="14" t="s">
        <v>20</v>
      </c>
      <c r="B6" s="79">
        <f>VLOOKUP($B$3,'Data for Bill Impacts'!$A$3:$Y$25,2,0)</f>
        <v>1.0563</v>
      </c>
    </row>
    <row r="7" spans="1:10" x14ac:dyDescent="0.2">
      <c r="A7" s="80" t="s">
        <v>48</v>
      </c>
      <c r="B7" s="81">
        <f>B4/(B5*730)</f>
        <v>0.48571557317952413</v>
      </c>
    </row>
    <row r="8" spans="1:10" x14ac:dyDescent="0.2">
      <c r="A8" s="14" t="s">
        <v>15</v>
      </c>
      <c r="B8" s="78">
        <f>VLOOKUP($B$3,'Data for Bill Impacts'!$A$3:$Y$25,4,0)</f>
        <v>0</v>
      </c>
    </row>
    <row r="9" spans="1:10" x14ac:dyDescent="0.2">
      <c r="A9" s="14" t="s">
        <v>82</v>
      </c>
      <c r="B9" s="78">
        <f>B4*B6</f>
        <v>56929.288500000002</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56929.288500000002</v>
      </c>
      <c r="C13" s="102">
        <v>0.10299999999999999</v>
      </c>
      <c r="D13" s="103">
        <f>B13*C13</f>
        <v>5863.7167154999997</v>
      </c>
      <c r="E13" s="101">
        <f>B13</f>
        <v>56929.288500000002</v>
      </c>
      <c r="F13" s="102">
        <f>C13</f>
        <v>0.10299999999999999</v>
      </c>
      <c r="G13" s="103">
        <f>E13*F13</f>
        <v>5863.7167154999997</v>
      </c>
      <c r="H13" s="103">
        <f>G13-D13</f>
        <v>0</v>
      </c>
      <c r="I13" s="104">
        <f>IF(ISERROR(H13/D13),0,(H13/D13))</f>
        <v>0</v>
      </c>
      <c r="J13" s="123">
        <f t="shared" ref="J13:J38" si="0">G13/$G$38</f>
        <v>0.62127704507350379</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5863.7167154999997</v>
      </c>
      <c r="E15" s="75"/>
      <c r="F15" s="24"/>
      <c r="G15" s="24">
        <f>SUM(G13:G14)</f>
        <v>5863.7167154999997</v>
      </c>
      <c r="H15" s="24">
        <f t="shared" si="2"/>
        <v>0</v>
      </c>
      <c r="I15" s="26">
        <f t="shared" si="3"/>
        <v>0</v>
      </c>
      <c r="J15" s="46">
        <f t="shared" si="0"/>
        <v>0.62127704507350379</v>
      </c>
    </row>
    <row r="16" spans="1:10" s="1" customFormat="1" x14ac:dyDescent="0.2">
      <c r="A16" s="106" t="s">
        <v>38</v>
      </c>
      <c r="B16" s="72">
        <v>1</v>
      </c>
      <c r="C16" s="77">
        <f>VLOOKUP($B$3,'Data for Bill Impacts'!$A$3:$Y$25,7,0)</f>
        <v>208.51</v>
      </c>
      <c r="D16" s="21">
        <f>B16*C16</f>
        <v>208.51</v>
      </c>
      <c r="E16" s="72">
        <f t="shared" ref="E16:E33" si="4">B16</f>
        <v>1</v>
      </c>
      <c r="F16" s="77">
        <f>VLOOKUP($B$3,'Data for Bill Impacts'!$A$3:$Y$25,17,0)</f>
        <v>252.3</v>
      </c>
      <c r="G16" s="21">
        <f>E16*F16</f>
        <v>252.3</v>
      </c>
      <c r="H16" s="21">
        <f t="shared" si="2"/>
        <v>43.79000000000002</v>
      </c>
      <c r="I16" s="22">
        <f t="shared" si="3"/>
        <v>0.21001390820584157</v>
      </c>
      <c r="J16" s="124">
        <f t="shared" si="0"/>
        <v>2.6731884584004682E-2</v>
      </c>
    </row>
    <row r="17" spans="1:10" hidden="1" x14ac:dyDescent="0.2">
      <c r="A17" s="106" t="s">
        <v>83</v>
      </c>
      <c r="B17" s="72">
        <v>1</v>
      </c>
      <c r="C17" s="77">
        <f>VLOOKUP($B$3,'Data for Bill Impacts'!$A$3:$Y$25,8,0)</f>
        <v>0</v>
      </c>
      <c r="D17" s="21">
        <f>B17*C17</f>
        <v>0</v>
      </c>
      <c r="E17" s="72">
        <f t="shared" si="4"/>
        <v>1</v>
      </c>
      <c r="F17" s="77">
        <v>0</v>
      </c>
      <c r="G17" s="21">
        <f t="shared" ref="G17:G19" si="5">E17*F17</f>
        <v>0</v>
      </c>
      <c r="H17" s="21">
        <f t="shared" si="2"/>
        <v>0</v>
      </c>
      <c r="I17" s="22">
        <f t="shared" si="3"/>
        <v>0</v>
      </c>
      <c r="J17" s="124">
        <f t="shared" si="0"/>
        <v>0</v>
      </c>
    </row>
    <row r="18" spans="1:10" hidden="1" x14ac:dyDescent="0.2">
      <c r="A18" s="106" t="s">
        <v>84</v>
      </c>
      <c r="B18" s="72">
        <v>1</v>
      </c>
      <c r="C18" s="77">
        <f>VLOOKUP($B$3,'Data for Bill Impacts'!$A$3:$Y$25,11,0)</f>
        <v>0</v>
      </c>
      <c r="D18" s="21">
        <f t="shared" ref="D18:D19" si="6">B18*C18</f>
        <v>0</v>
      </c>
      <c r="E18" s="72">
        <f t="shared" si="4"/>
        <v>1</v>
      </c>
      <c r="F18" s="77">
        <f>VLOOKUP($B$3,'Data for Bill Impacts'!$A$3:$Y$25,12,0)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x14ac:dyDescent="0.2">
      <c r="A20" s="106" t="s">
        <v>39</v>
      </c>
      <c r="B20" s="72">
        <f>IF($B$10="kWh",$B$4,$B$5)</f>
        <v>152</v>
      </c>
      <c r="C20" s="77">
        <f>VLOOKUP($B$3,'Data for Bill Impacts'!$A$3:$Y$25,10,0)</f>
        <v>5.14</v>
      </c>
      <c r="D20" s="21">
        <f>B20*C20</f>
        <v>781.28</v>
      </c>
      <c r="E20" s="72">
        <f t="shared" si="4"/>
        <v>152</v>
      </c>
      <c r="F20" s="77">
        <f>VLOOKUP($B$3,'Data for Bill Impacts'!$A$3:$Y$25,19,0)</f>
        <v>6.3239000000000001</v>
      </c>
      <c r="G20" s="21">
        <f>E20*F20</f>
        <v>961.2328</v>
      </c>
      <c r="H20" s="21">
        <f t="shared" si="2"/>
        <v>179.95280000000002</v>
      </c>
      <c r="I20" s="22">
        <f t="shared" si="3"/>
        <v>0.23033073929961093</v>
      </c>
      <c r="J20" s="124">
        <f t="shared" si="0"/>
        <v>0.10184528049131848</v>
      </c>
    </row>
    <row r="21" spans="1:10" s="1" customFormat="1" x14ac:dyDescent="0.2">
      <c r="A21" s="106" t="s">
        <v>129</v>
      </c>
      <c r="B21" s="72">
        <f>IF($B$10="kWh",$B$4,$B$5)</f>
        <v>152</v>
      </c>
      <c r="C21" s="77">
        <f>VLOOKUP($B$3,'Data for Bill Impacts'!$A$3:$Y$25,14,0)</f>
        <v>0</v>
      </c>
      <c r="D21" s="21">
        <f>B21*C21</f>
        <v>0</v>
      </c>
      <c r="E21" s="72">
        <f>B21</f>
        <v>152</v>
      </c>
      <c r="F21" s="77">
        <f>VLOOKUP($B$3,'Data for Bill Impacts'!$A$3:$Y$25,23,0)</f>
        <v>0</v>
      </c>
      <c r="G21" s="21">
        <f>E21*F21</f>
        <v>0</v>
      </c>
      <c r="H21" s="21">
        <f>G21-D21</f>
        <v>0</v>
      </c>
      <c r="I21" s="22">
        <f>IF(ISERROR(H21/D21),0,(H21/D21))</f>
        <v>0</v>
      </c>
      <c r="J21" s="124">
        <f t="shared" si="0"/>
        <v>0</v>
      </c>
    </row>
    <row r="22" spans="1:10" s="1" customFormat="1" x14ac:dyDescent="0.2">
      <c r="A22" s="106" t="s">
        <v>117</v>
      </c>
      <c r="B22" s="72">
        <f>B9</f>
        <v>56929.288500000002</v>
      </c>
      <c r="C22" s="125">
        <f>VLOOKUP($B$3,'Data for Bill Impacts'!$A$3:$Y$25,20,0)</f>
        <v>0</v>
      </c>
      <c r="D22" s="21">
        <f>B22*C22</f>
        <v>0</v>
      </c>
      <c r="E22" s="72">
        <f t="shared" si="4"/>
        <v>56929.288500000002</v>
      </c>
      <c r="F22" s="125">
        <f>VLOOKUP($B$3,'Data for Bill Impacts'!$A$3:$Y$25,21,0)</f>
        <v>0</v>
      </c>
      <c r="G22" s="21">
        <f>E22*F22</f>
        <v>0</v>
      </c>
      <c r="H22" s="21">
        <f t="shared" si="2"/>
        <v>0</v>
      </c>
      <c r="I22" s="22">
        <f>IF(ISERROR(H22/D22),0,(H22/D22))</f>
        <v>0</v>
      </c>
      <c r="J22" s="124">
        <f t="shared" si="0"/>
        <v>0</v>
      </c>
    </row>
    <row r="23" spans="1:10" x14ac:dyDescent="0.2">
      <c r="A23" s="109" t="s">
        <v>95</v>
      </c>
      <c r="B23" s="73"/>
      <c r="C23" s="34"/>
      <c r="D23" s="34">
        <f>SUM(D16:D22)</f>
        <v>989.79</v>
      </c>
      <c r="E23" s="72"/>
      <c r="F23" s="34"/>
      <c r="G23" s="34">
        <f>SUM(G16:G22)</f>
        <v>1213.5328</v>
      </c>
      <c r="H23" s="34">
        <f t="shared" si="2"/>
        <v>223.74279999999999</v>
      </c>
      <c r="I23" s="35">
        <f t="shared" si="3"/>
        <v>0.2260507784479536</v>
      </c>
      <c r="J23" s="110">
        <f t="shared" si="0"/>
        <v>0.12857716507532316</v>
      </c>
    </row>
    <row r="24" spans="1:10" x14ac:dyDescent="0.2">
      <c r="A24" s="106" t="s">
        <v>40</v>
      </c>
      <c r="B24" s="72">
        <f>B5</f>
        <v>152</v>
      </c>
      <c r="C24" s="125">
        <f>VLOOKUP($B$3,'Data for Bill Impacts'!$A$3:$Y$25,15,0)</f>
        <v>1.8483000000000001</v>
      </c>
      <c r="D24" s="21">
        <f>B24*C24</f>
        <v>280.94159999999999</v>
      </c>
      <c r="E24" s="72">
        <f t="shared" si="4"/>
        <v>152</v>
      </c>
      <c r="F24" s="77">
        <f>VLOOKUP($B$3,'Data for Bill Impacts'!$A$3:$Y$25,24,0)</f>
        <v>1.8483000000000001</v>
      </c>
      <c r="G24" s="21">
        <f>E24*F24</f>
        <v>280.94159999999999</v>
      </c>
      <c r="H24" s="21">
        <f t="shared" si="2"/>
        <v>0</v>
      </c>
      <c r="I24" s="22">
        <f t="shared" si="3"/>
        <v>0</v>
      </c>
      <c r="J24" s="124">
        <f t="shared" si="0"/>
        <v>2.9766541522178395E-2</v>
      </c>
    </row>
    <row r="25" spans="1:10" s="1" customFormat="1" x14ac:dyDescent="0.2">
      <c r="A25" s="106" t="s">
        <v>41</v>
      </c>
      <c r="B25" s="72">
        <f>B5</f>
        <v>152</v>
      </c>
      <c r="C25" s="125">
        <f>VLOOKUP($B$3,'Data for Bill Impacts'!$A$3:$Y$25,16,0)</f>
        <v>1.5101</v>
      </c>
      <c r="D25" s="21">
        <f>B25*C25</f>
        <v>229.5352</v>
      </c>
      <c r="E25" s="72">
        <f t="shared" si="4"/>
        <v>152</v>
      </c>
      <c r="F25" s="77">
        <f>VLOOKUP($B$3,'Data for Bill Impacts'!$A$3:$Y$25,25,0)</f>
        <v>1.5101</v>
      </c>
      <c r="G25" s="21">
        <f>E25*F25</f>
        <v>229.5352</v>
      </c>
      <c r="H25" s="21">
        <f t="shared" si="2"/>
        <v>0</v>
      </c>
      <c r="I25" s="22">
        <f t="shared" si="3"/>
        <v>0</v>
      </c>
      <c r="J25" s="124">
        <f t="shared" si="0"/>
        <v>2.4319890901174916E-2</v>
      </c>
    </row>
    <row r="26" spans="1:10" x14ac:dyDescent="0.2">
      <c r="A26" s="109" t="s">
        <v>76</v>
      </c>
      <c r="B26" s="73"/>
      <c r="C26" s="34"/>
      <c r="D26" s="34">
        <f>SUM(D24:D25)</f>
        <v>510.47680000000003</v>
      </c>
      <c r="E26" s="72"/>
      <c r="F26" s="34"/>
      <c r="G26" s="34">
        <f>SUM(G24:G25)</f>
        <v>510.47680000000003</v>
      </c>
      <c r="H26" s="34">
        <f t="shared" si="2"/>
        <v>0</v>
      </c>
      <c r="I26" s="35">
        <f t="shared" si="3"/>
        <v>0</v>
      </c>
      <c r="J26" s="110">
        <f t="shared" si="0"/>
        <v>5.4086432423353314E-2</v>
      </c>
    </row>
    <row r="27" spans="1:10" s="1" customFormat="1" x14ac:dyDescent="0.2">
      <c r="A27" s="109" t="s">
        <v>80</v>
      </c>
      <c r="B27" s="73"/>
      <c r="C27" s="34"/>
      <c r="D27" s="34">
        <f>D23+D26</f>
        <v>1500.2667999999999</v>
      </c>
      <c r="E27" s="72"/>
      <c r="F27" s="34"/>
      <c r="G27" s="34">
        <f>G23+G26</f>
        <v>1724.0095999999999</v>
      </c>
      <c r="H27" s="34">
        <f t="shared" si="2"/>
        <v>223.74279999999999</v>
      </c>
      <c r="I27" s="35">
        <f t="shared" si="3"/>
        <v>0.14913534046077673</v>
      </c>
      <c r="J27" s="110">
        <f t="shared" si="0"/>
        <v>0.18266359749867647</v>
      </c>
    </row>
    <row r="28" spans="1:10" x14ac:dyDescent="0.2">
      <c r="A28" s="106" t="s">
        <v>42</v>
      </c>
      <c r="B28" s="72">
        <f>B9</f>
        <v>56929.288500000002</v>
      </c>
      <c r="C28" s="33">
        <v>3.5999999999999999E-3</v>
      </c>
      <c r="D28" s="21">
        <f>B28*C28</f>
        <v>204.94543860000002</v>
      </c>
      <c r="E28" s="72">
        <f t="shared" si="4"/>
        <v>56929.288500000002</v>
      </c>
      <c r="F28" s="33">
        <v>3.5999999999999999E-3</v>
      </c>
      <c r="G28" s="21">
        <f>E28*F28</f>
        <v>204.94543860000002</v>
      </c>
      <c r="H28" s="21">
        <f t="shared" si="2"/>
        <v>0</v>
      </c>
      <c r="I28" s="22">
        <f t="shared" si="3"/>
        <v>0</v>
      </c>
      <c r="J28" s="124">
        <f t="shared" si="0"/>
        <v>2.1714537497714698E-2</v>
      </c>
    </row>
    <row r="29" spans="1:10" x14ac:dyDescent="0.2">
      <c r="A29" s="106" t="s">
        <v>43</v>
      </c>
      <c r="B29" s="72">
        <f>B9</f>
        <v>56929.288500000002</v>
      </c>
      <c r="C29" s="33">
        <v>2.0999999999999999E-3</v>
      </c>
      <c r="D29" s="21">
        <f>B29*C29</f>
        <v>119.55150585</v>
      </c>
      <c r="E29" s="72">
        <f t="shared" si="4"/>
        <v>56929.288500000002</v>
      </c>
      <c r="F29" s="33">
        <v>2.0999999999999999E-3</v>
      </c>
      <c r="G29" s="21">
        <f>E29*F29</f>
        <v>119.55150585</v>
      </c>
      <c r="H29" s="21">
        <f>G29-D29</f>
        <v>0</v>
      </c>
      <c r="I29" s="22">
        <f t="shared" si="3"/>
        <v>0</v>
      </c>
      <c r="J29" s="124">
        <f t="shared" si="0"/>
        <v>1.2666813540333572E-2</v>
      </c>
    </row>
    <row r="30" spans="1:10" x14ac:dyDescent="0.2">
      <c r="A30" s="106" t="s">
        <v>99</v>
      </c>
      <c r="B30" s="72">
        <f>B9</f>
        <v>56929.288500000002</v>
      </c>
      <c r="C30" s="33">
        <v>1.1000000000000001E-3</v>
      </c>
      <c r="D30" s="21">
        <f>B30*C30</f>
        <v>62.622217350000007</v>
      </c>
      <c r="E30" s="72">
        <f t="shared" si="4"/>
        <v>56929.288500000002</v>
      </c>
      <c r="F30" s="33">
        <v>1.1000000000000001E-3</v>
      </c>
      <c r="G30" s="21">
        <f>E30*F30</f>
        <v>62.622217350000007</v>
      </c>
      <c r="H30" s="21">
        <f>G30-D30</f>
        <v>0</v>
      </c>
      <c r="I30" s="22">
        <f t="shared" si="3"/>
        <v>0</v>
      </c>
      <c r="J30" s="124">
        <f t="shared" si="0"/>
        <v>6.6349975687461579E-3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 t="shared" si="0"/>
        <v>2.6488193206504836E-5</v>
      </c>
    </row>
    <row r="32" spans="1:10" x14ac:dyDescent="0.2">
      <c r="A32" s="109" t="s">
        <v>45</v>
      </c>
      <c r="B32" s="73"/>
      <c r="C32" s="34"/>
      <c r="D32" s="34">
        <f>SUM(D28:D31)</f>
        <v>387.36916180000003</v>
      </c>
      <c r="E32" s="72"/>
      <c r="F32" s="34"/>
      <c r="G32" s="34">
        <f>SUM(G28:G31)</f>
        <v>387.36916180000003</v>
      </c>
      <c r="H32" s="34">
        <f t="shared" si="2"/>
        <v>0</v>
      </c>
      <c r="I32" s="35">
        <f t="shared" si="3"/>
        <v>0</v>
      </c>
      <c r="J32" s="110">
        <f t="shared" si="0"/>
        <v>4.1042836800000933E-2</v>
      </c>
    </row>
    <row r="33" spans="1:10" ht="13.5" thickBot="1" x14ac:dyDescent="0.25">
      <c r="A33" s="111" t="s">
        <v>46</v>
      </c>
      <c r="B33" s="112">
        <f>B4</f>
        <v>53895</v>
      </c>
      <c r="C33" s="113">
        <v>7.0000000000000001E-3</v>
      </c>
      <c r="D33" s="114">
        <f>B33*C33</f>
        <v>377.26499999999999</v>
      </c>
      <c r="E33" s="115">
        <f t="shared" si="4"/>
        <v>53895</v>
      </c>
      <c r="F33" s="113">
        <f>C33</f>
        <v>7.0000000000000001E-3</v>
      </c>
      <c r="G33" s="114">
        <f>E33*F33</f>
        <v>377.26499999999999</v>
      </c>
      <c r="H33" s="114">
        <f t="shared" si="2"/>
        <v>0</v>
      </c>
      <c r="I33" s="116">
        <f t="shared" si="3"/>
        <v>0</v>
      </c>
      <c r="J33" s="117">
        <f t="shared" si="0"/>
        <v>3.9972272840208184E-2</v>
      </c>
    </row>
    <row r="34" spans="1:10" x14ac:dyDescent="0.2">
      <c r="A34" s="36" t="s">
        <v>116</v>
      </c>
      <c r="B34" s="37"/>
      <c r="C34" s="38"/>
      <c r="D34" s="38">
        <f>SUM(D15,D23,D26,D32,D33)</f>
        <v>8128.6176773000007</v>
      </c>
      <c r="E34" s="37"/>
      <c r="F34" s="38"/>
      <c r="G34" s="38">
        <f>SUM(G15,G23,G26,G32,G33)</f>
        <v>8352.3604773000006</v>
      </c>
      <c r="H34" s="38">
        <f t="shared" si="2"/>
        <v>223.74279999999999</v>
      </c>
      <c r="I34" s="39">
        <f>IF(ISERROR(H34/D34),0,(H34/D34))</f>
        <v>2.7525319664722912E-2</v>
      </c>
      <c r="J34" s="40">
        <f t="shared" si="0"/>
        <v>0.88495575221238942</v>
      </c>
    </row>
    <row r="35" spans="1:10" x14ac:dyDescent="0.2">
      <c r="A35" s="45" t="s">
        <v>108</v>
      </c>
      <c r="B35" s="42"/>
      <c r="C35" s="25">
        <v>0.13</v>
      </c>
      <c r="D35" s="25">
        <f>D34*C35</f>
        <v>1056.7202980490001</v>
      </c>
      <c r="E35" s="25"/>
      <c r="F35" s="25">
        <f>C35</f>
        <v>0.13</v>
      </c>
      <c r="G35" s="25">
        <f>G34*F35</f>
        <v>1085.8068620490001</v>
      </c>
      <c r="H35" s="25">
        <f t="shared" si="2"/>
        <v>29.086563999999953</v>
      </c>
      <c r="I35" s="43">
        <f t="shared" ref="I35:I38" si="7">IF(ISERROR(H35/D35),0,(H35/D35))</f>
        <v>2.7525319664722867E-2</v>
      </c>
      <c r="J35" s="44">
        <f t="shared" si="0"/>
        <v>0.11504424778761063</v>
      </c>
    </row>
    <row r="36" spans="1:10" x14ac:dyDescent="0.2">
      <c r="A36" s="45" t="s">
        <v>109</v>
      </c>
      <c r="B36" s="23"/>
      <c r="C36" s="24"/>
      <c r="D36" s="24">
        <f>SUM(D34:D35)</f>
        <v>9185.3379753490008</v>
      </c>
      <c r="E36" s="24"/>
      <c r="F36" s="24"/>
      <c r="G36" s="24">
        <f>SUM(G34:G35)</f>
        <v>9438.167339349</v>
      </c>
      <c r="H36" s="24">
        <f t="shared" si="2"/>
        <v>252.82936399999926</v>
      </c>
      <c r="I36" s="26">
        <f t="shared" si="7"/>
        <v>2.7525319664722832E-2</v>
      </c>
      <c r="J36" s="46">
        <f t="shared" si="0"/>
        <v>1</v>
      </c>
    </row>
    <row r="37" spans="1:10" x14ac:dyDescent="0.2">
      <c r="A37" s="45" t="s">
        <v>110</v>
      </c>
      <c r="B37" s="42"/>
      <c r="C37" s="25">
        <v>0</v>
      </c>
      <c r="D37" s="25">
        <f>D34*C37</f>
        <v>0</v>
      </c>
      <c r="E37" s="25"/>
      <c r="F37" s="25">
        <v>0</v>
      </c>
      <c r="G37" s="25">
        <f>G34*F37</f>
        <v>0</v>
      </c>
      <c r="H37" s="25">
        <f t="shared" si="2"/>
        <v>0</v>
      </c>
      <c r="I37" s="43">
        <f t="shared" si="7"/>
        <v>0</v>
      </c>
      <c r="J37" s="44">
        <f t="shared" si="0"/>
        <v>0</v>
      </c>
    </row>
    <row r="38" spans="1:10" ht="13.5" thickBot="1" x14ac:dyDescent="0.25">
      <c r="A38" s="47" t="s">
        <v>111</v>
      </c>
      <c r="B38" s="48"/>
      <c r="C38" s="49"/>
      <c r="D38" s="49">
        <f>SUM(D36:D37)</f>
        <v>9185.3379753490008</v>
      </c>
      <c r="E38" s="49"/>
      <c r="F38" s="49"/>
      <c r="G38" s="49">
        <f>SUM(G36:G37)</f>
        <v>9438.167339349</v>
      </c>
      <c r="H38" s="49">
        <f t="shared" si="2"/>
        <v>252.82936399999926</v>
      </c>
      <c r="I38" s="50">
        <f t="shared" si="7"/>
        <v>2.7525319664722832E-2</v>
      </c>
      <c r="J38" s="51">
        <f t="shared" si="0"/>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tint="0.499984740745262"/>
    <pageSetUpPr fitToPage="1"/>
  </sheetPr>
  <dimension ref="A1:K68"/>
  <sheetViews>
    <sheetView tabSelected="1" topLeftCell="A7"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128</v>
      </c>
      <c r="B1" s="204"/>
      <c r="C1" s="204"/>
      <c r="D1" s="204"/>
      <c r="E1" s="204"/>
      <c r="F1" s="204"/>
      <c r="G1" s="204"/>
      <c r="H1" s="204"/>
      <c r="I1" s="204"/>
      <c r="J1" s="204"/>
      <c r="K1" s="205"/>
    </row>
    <row r="3" spans="1:11" ht="12" customHeight="1" x14ac:dyDescent="0.2">
      <c r="A3" s="12" t="s">
        <v>13</v>
      </c>
      <c r="B3" s="12" t="s">
        <v>0</v>
      </c>
    </row>
    <row r="4" spans="1:11" x14ac:dyDescent="0.2">
      <c r="A4" s="14" t="s">
        <v>62</v>
      </c>
      <c r="B4" s="14">
        <v>1400</v>
      </c>
    </row>
    <row r="5" spans="1:11" x14ac:dyDescent="0.2">
      <c r="A5" s="14" t="s">
        <v>16</v>
      </c>
      <c r="B5" s="14">
        <f>VLOOKUP($B$3,'Data for Bill Impacts'!$A$3:$Y$15,5,0)</f>
        <v>0</v>
      </c>
    </row>
    <row r="6" spans="1:11" x14ac:dyDescent="0.2">
      <c r="A6" s="14" t="s">
        <v>20</v>
      </c>
      <c r="B6" s="14">
        <f>VLOOKUP($B$3,'Data for Bill Impacts'!$A$3:$Y$15,2,0)</f>
        <v>1.0569999999999999</v>
      </c>
    </row>
    <row r="7" spans="1:11" x14ac:dyDescent="0.2">
      <c r="A7" s="14" t="s">
        <v>15</v>
      </c>
      <c r="B7" s="14">
        <f>VLOOKUP($B$3,'Data for Bill Impacts'!$A$3:$Y$15,4,0)</f>
        <v>600</v>
      </c>
    </row>
    <row r="8" spans="1:11" x14ac:dyDescent="0.2">
      <c r="A8" s="14" t="s">
        <v>82</v>
      </c>
      <c r="B8" s="149">
        <f>B4*B6</f>
        <v>1479.8</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0.24746981931363554</v>
      </c>
      <c r="K12" s="105"/>
    </row>
    <row r="13" spans="1:11" x14ac:dyDescent="0.2">
      <c r="A13" s="106" t="s">
        <v>32</v>
      </c>
      <c r="B13" s="72">
        <f>IF(B4&gt;B7,(B4)-B7,0)</f>
        <v>800</v>
      </c>
      <c r="C13" s="20">
        <v>0.121</v>
      </c>
      <c r="D13" s="21">
        <f>B13*C13</f>
        <v>96.8</v>
      </c>
      <c r="E13" s="72">
        <f t="shared" ref="E13" si="0">B13</f>
        <v>800</v>
      </c>
      <c r="F13" s="20">
        <f>C13</f>
        <v>0.121</v>
      </c>
      <c r="G13" s="21">
        <f>E13*F13</f>
        <v>96.8</v>
      </c>
      <c r="H13" s="21">
        <f t="shared" ref="H13:H46" si="1">G13-D13</f>
        <v>0</v>
      </c>
      <c r="I13" s="22">
        <f t="shared" ref="I13:I46" si="2">IF(ISERROR(H13/D13),0,(H13/D13))</f>
        <v>0</v>
      </c>
      <c r="J13" s="22">
        <f>G13/$G$46</f>
        <v>0.38762262960452948</v>
      </c>
      <c r="K13" s="107"/>
    </row>
    <row r="14" spans="1:11" s="1" customFormat="1" x14ac:dyDescent="0.2">
      <c r="A14" s="45" t="s">
        <v>33</v>
      </c>
      <c r="B14" s="23"/>
      <c r="C14" s="24"/>
      <c r="D14" s="24">
        <f>SUM(D12:D13)</f>
        <v>158.6</v>
      </c>
      <c r="E14" s="75"/>
      <c r="F14" s="24"/>
      <c r="G14" s="24">
        <f>SUM(G12:G13)</f>
        <v>158.6</v>
      </c>
      <c r="H14" s="24">
        <f t="shared" si="1"/>
        <v>0</v>
      </c>
      <c r="I14" s="26">
        <f t="shared" si="2"/>
        <v>0</v>
      </c>
      <c r="J14" s="26">
        <f>G14/$G$46</f>
        <v>0.63509244891816496</v>
      </c>
      <c r="K14" s="107"/>
    </row>
    <row r="15" spans="1:11" s="1" customFormat="1" x14ac:dyDescent="0.2">
      <c r="A15" s="108" t="s">
        <v>34</v>
      </c>
      <c r="B15" s="74">
        <f>B4*0.65</f>
        <v>910</v>
      </c>
      <c r="C15" s="27">
        <v>8.6999999999999994E-2</v>
      </c>
      <c r="D15" s="21">
        <f>B15*C15</f>
        <v>79.169999999999987</v>
      </c>
      <c r="E15" s="72">
        <f t="shared" ref="E15:F17" si="3">B15</f>
        <v>910</v>
      </c>
      <c r="F15" s="27">
        <f t="shared" si="3"/>
        <v>8.6999999999999994E-2</v>
      </c>
      <c r="G15" s="21">
        <f>E15*F15</f>
        <v>79.169999999999987</v>
      </c>
      <c r="H15" s="21">
        <f t="shared" si="1"/>
        <v>0</v>
      </c>
      <c r="I15" s="22">
        <f t="shared" si="2"/>
        <v>0</v>
      </c>
      <c r="J15" s="22"/>
      <c r="K15" s="107">
        <f t="shared" ref="K15:K26" si="4">G15/$G$51</f>
        <v>0.32165209800225808</v>
      </c>
    </row>
    <row r="16" spans="1:11" s="1" customFormat="1" x14ac:dyDescent="0.2">
      <c r="A16" s="108" t="s">
        <v>35</v>
      </c>
      <c r="B16" s="74">
        <f>B4*0.17</f>
        <v>238.00000000000003</v>
      </c>
      <c r="C16" s="27">
        <v>0.13200000000000001</v>
      </c>
      <c r="D16" s="21">
        <f>B16*C16</f>
        <v>31.416000000000004</v>
      </c>
      <c r="E16" s="72">
        <f t="shared" si="3"/>
        <v>238.00000000000003</v>
      </c>
      <c r="F16" s="27">
        <f t="shared" si="3"/>
        <v>0.13200000000000001</v>
      </c>
      <c r="G16" s="21">
        <f>E16*F16</f>
        <v>31.416000000000004</v>
      </c>
      <c r="H16" s="21">
        <f t="shared" si="1"/>
        <v>0</v>
      </c>
      <c r="I16" s="22">
        <f t="shared" si="2"/>
        <v>0</v>
      </c>
      <c r="J16" s="22"/>
      <c r="K16" s="107">
        <f t="shared" si="4"/>
        <v>0.1276370128942648</v>
      </c>
    </row>
    <row r="17" spans="1:11" s="1" customFormat="1" x14ac:dyDescent="0.2">
      <c r="A17" s="108" t="s">
        <v>36</v>
      </c>
      <c r="B17" s="74">
        <f>B4*0.18</f>
        <v>252</v>
      </c>
      <c r="C17" s="27">
        <v>0.18</v>
      </c>
      <c r="D17" s="21">
        <f>B17*C17</f>
        <v>45.36</v>
      </c>
      <c r="E17" s="72">
        <f t="shared" si="3"/>
        <v>252</v>
      </c>
      <c r="F17" s="27">
        <f t="shared" si="3"/>
        <v>0.18</v>
      </c>
      <c r="G17" s="21">
        <f>E17*F17</f>
        <v>45.36</v>
      </c>
      <c r="H17" s="21">
        <f t="shared" si="1"/>
        <v>0</v>
      </c>
      <c r="I17" s="22">
        <f t="shared" si="2"/>
        <v>0</v>
      </c>
      <c r="J17" s="22"/>
      <c r="K17" s="107">
        <f t="shared" si="4"/>
        <v>0.18428873519492775</v>
      </c>
    </row>
    <row r="18" spans="1:11" s="1" customFormat="1" x14ac:dyDescent="0.2">
      <c r="A18" s="60" t="s">
        <v>37</v>
      </c>
      <c r="B18" s="28"/>
      <c r="C18" s="29"/>
      <c r="D18" s="29">
        <f>SUM(D15:D17)</f>
        <v>155.94599999999997</v>
      </c>
      <c r="E18" s="76"/>
      <c r="F18" s="29"/>
      <c r="G18" s="29">
        <f>SUM(G15:G17)</f>
        <v>155.94599999999997</v>
      </c>
      <c r="H18" s="30">
        <f t="shared" si="1"/>
        <v>0</v>
      </c>
      <c r="I18" s="31">
        <f t="shared" si="2"/>
        <v>0</v>
      </c>
      <c r="J18" s="32">
        <f t="shared" ref="J18:J23" si="5">G18/$G$46</f>
        <v>0.62446486153210679</v>
      </c>
      <c r="K18" s="61">
        <f t="shared" si="4"/>
        <v>0.63357784609145051</v>
      </c>
    </row>
    <row r="19" spans="1:11" x14ac:dyDescent="0.2">
      <c r="A19" s="106" t="s">
        <v>38</v>
      </c>
      <c r="B19" s="72">
        <v>1</v>
      </c>
      <c r="C19" s="77">
        <f>VLOOKUP($B$3,'Data for Bill Impacts'!$A$3:$Y$15,7,0)</f>
        <v>36.72</v>
      </c>
      <c r="D19" s="21">
        <f>B19*C19</f>
        <v>36.72</v>
      </c>
      <c r="E19" s="72">
        <f t="shared" ref="E19:E41" si="6">B19</f>
        <v>1</v>
      </c>
      <c r="F19" s="77">
        <f>VLOOKUP($B$3,'Data for Bill Impacts'!$A$3:$Y$15,17,0)</f>
        <v>37.47</v>
      </c>
      <c r="G19" s="21">
        <f>E19*F19</f>
        <v>37.47</v>
      </c>
      <c r="H19" s="21">
        <f t="shared" si="1"/>
        <v>0.75</v>
      </c>
      <c r="I19" s="22">
        <f t="shared" si="2"/>
        <v>2.042483660130719E-2</v>
      </c>
      <c r="J19" s="22">
        <f t="shared" si="5"/>
        <v>0.15004359433142272</v>
      </c>
      <c r="K19" s="107">
        <f t="shared" si="4"/>
        <v>0.15223322107041318</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0.01</v>
      </c>
      <c r="D22" s="21">
        <f t="shared" si="8"/>
        <v>0.01</v>
      </c>
      <c r="E22" s="72">
        <f t="shared" si="6"/>
        <v>1</v>
      </c>
      <c r="F22" s="121">
        <f>VLOOKUP($B$3,'Data for Bill Impacts'!$A$3:$Y$15,22,0)</f>
        <v>0.01</v>
      </c>
      <c r="G22" s="21">
        <f t="shared" si="7"/>
        <v>0.01</v>
      </c>
      <c r="H22" s="21">
        <f t="shared" si="1"/>
        <v>0</v>
      </c>
      <c r="I22" s="22">
        <f t="shared" si="2"/>
        <v>0</v>
      </c>
      <c r="J22" s="22">
        <f t="shared" si="5"/>
        <v>4.0043660083112548E-5</v>
      </c>
      <c r="K22" s="107">
        <f t="shared" si="4"/>
        <v>4.0628028041209821E-5</v>
      </c>
    </row>
    <row r="23" spans="1:11" x14ac:dyDescent="0.2">
      <c r="A23" s="106" t="s">
        <v>39</v>
      </c>
      <c r="B23" s="72">
        <f>IF($B$9="kWh",$B$4,$B$5)</f>
        <v>1400</v>
      </c>
      <c r="C23" s="77">
        <f>VLOOKUP($B$3,'Data for Bill Impacts'!$A$3:$Y$15,10,0)</f>
        <v>0</v>
      </c>
      <c r="D23" s="21">
        <f>B23*C23</f>
        <v>0</v>
      </c>
      <c r="E23" s="72">
        <f t="shared" si="6"/>
        <v>1400</v>
      </c>
      <c r="F23" s="77">
        <f>VLOOKUP($B$3,'Data for Bill Impacts'!$A$3:$Y$15,19,0)</f>
        <v>0</v>
      </c>
      <c r="G23" s="21">
        <f>E23*F23</f>
        <v>0</v>
      </c>
      <c r="H23" s="21">
        <f t="shared" si="1"/>
        <v>0</v>
      </c>
      <c r="I23" s="22">
        <f t="shared" si="2"/>
        <v>0</v>
      </c>
      <c r="J23" s="22">
        <f t="shared" si="5"/>
        <v>0</v>
      </c>
      <c r="K23" s="107">
        <f t="shared" si="4"/>
        <v>0</v>
      </c>
    </row>
    <row r="24" spans="1:11" x14ac:dyDescent="0.2">
      <c r="A24" s="106" t="s">
        <v>129</v>
      </c>
      <c r="B24" s="72">
        <f>IF($B$9="kWh",$B$4,$B$5)</f>
        <v>1400</v>
      </c>
      <c r="C24" s="125">
        <f>VLOOKUP($B$3,'Data for Bill Impacts'!$A$3:$Y$15,14,0)</f>
        <v>2.0000000000000001E-4</v>
      </c>
      <c r="D24" s="21">
        <f>B24*C24</f>
        <v>0.28000000000000003</v>
      </c>
      <c r="E24" s="72">
        <f t="shared" si="6"/>
        <v>1400</v>
      </c>
      <c r="F24" s="125">
        <f>VLOOKUP($B$3,'Data for Bill Impacts'!$A$3:$Y$15,23,0)</f>
        <v>2.0000000000000001E-4</v>
      </c>
      <c r="G24" s="21">
        <f>E24*F24</f>
        <v>0.28000000000000003</v>
      </c>
      <c r="H24" s="21">
        <f t="shared" si="1"/>
        <v>0</v>
      </c>
      <c r="I24" s="22">
        <f>IF(ISERROR(H24/D24),0,(H24/D24))</f>
        <v>0</v>
      </c>
      <c r="J24" s="22">
        <f t="shared" ref="J24" si="9">G24/$G$46</f>
        <v>1.1212224823271516E-3</v>
      </c>
      <c r="K24" s="107">
        <f t="shared" si="4"/>
        <v>1.1375847851538749E-3</v>
      </c>
    </row>
    <row r="25" spans="1:11" s="1" customFormat="1" x14ac:dyDescent="0.2">
      <c r="A25" s="109" t="s">
        <v>72</v>
      </c>
      <c r="B25" s="73"/>
      <c r="C25" s="34"/>
      <c r="D25" s="34">
        <f>SUM(D19:D24)</f>
        <v>37.01</v>
      </c>
      <c r="E25" s="72"/>
      <c r="F25" s="34"/>
      <c r="G25" s="34">
        <f>SUM(G19:G24)</f>
        <v>37.76</v>
      </c>
      <c r="H25" s="34">
        <f t="shared" si="1"/>
        <v>0.75</v>
      </c>
      <c r="I25" s="35">
        <f t="shared" si="2"/>
        <v>2.0264793299108349E-2</v>
      </c>
      <c r="J25" s="35">
        <f>G25/$G$46</f>
        <v>0.15120486047383297</v>
      </c>
      <c r="K25" s="110">
        <f t="shared" si="4"/>
        <v>0.15341143388360826</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3.1634491465658914E-3</v>
      </c>
      <c r="K26" s="107">
        <f t="shared" si="4"/>
        <v>3.2096142152555759E-3</v>
      </c>
    </row>
    <row r="27" spans="1:11" s="1" customFormat="1" x14ac:dyDescent="0.2">
      <c r="A27" s="118" t="s">
        <v>75</v>
      </c>
      <c r="B27" s="119">
        <f>B8-B4</f>
        <v>79.799999999999955</v>
      </c>
      <c r="C27" s="120">
        <f>IF(B4&gt;B7,C13,C12)</f>
        <v>0.121</v>
      </c>
      <c r="D27" s="21">
        <f>B27*C27</f>
        <v>9.6557999999999939</v>
      </c>
      <c r="E27" s="72">
        <f>B27</f>
        <v>79.799999999999955</v>
      </c>
      <c r="F27" s="120">
        <f>C27</f>
        <v>0.121</v>
      </c>
      <c r="G27" s="21">
        <f>E27*F27</f>
        <v>9.6557999999999939</v>
      </c>
      <c r="H27" s="21">
        <f t="shared" si="1"/>
        <v>0</v>
      </c>
      <c r="I27" s="22">
        <f>IF(ISERROR(H27/D27),0,(H27/D27))</f>
        <v>0</v>
      </c>
      <c r="J27" s="22">
        <f t="shared" ref="J27:J46" si="10">G27/$G$46</f>
        <v>3.8665357303051789E-2</v>
      </c>
      <c r="K27" s="107">
        <f t="shared" ref="K27:K41" si="11">G27/$G$51</f>
        <v>3.9229611316031351E-2</v>
      </c>
    </row>
    <row r="28" spans="1:11" s="1" customFormat="1" x14ac:dyDescent="0.2">
      <c r="A28" s="118" t="s">
        <v>74</v>
      </c>
      <c r="B28" s="119">
        <f>B8-B4</f>
        <v>79.799999999999955</v>
      </c>
      <c r="C28" s="120">
        <f>0.65*C15+0.17*C16+0.18*C17</f>
        <v>0.11139</v>
      </c>
      <c r="D28" s="21">
        <f>B28*C28</f>
        <v>8.8889219999999955</v>
      </c>
      <c r="E28" s="72">
        <f>B28</f>
        <v>79.799999999999955</v>
      </c>
      <c r="F28" s="120">
        <f>C28</f>
        <v>0.11139</v>
      </c>
      <c r="G28" s="21">
        <f>E28*F28</f>
        <v>8.8889219999999955</v>
      </c>
      <c r="H28" s="21">
        <f t="shared" si="1"/>
        <v>0</v>
      </c>
      <c r="I28" s="22">
        <f>IF(ISERROR(H28/D28),0,(H28/D28))</f>
        <v>0</v>
      </c>
      <c r="J28" s="22">
        <f t="shared" si="10"/>
        <v>3.5594497107330078E-2</v>
      </c>
      <c r="K28" s="107">
        <f t="shared" si="11"/>
        <v>3.6113937227212671E-2</v>
      </c>
    </row>
    <row r="29" spans="1:11" s="1" customFormat="1" x14ac:dyDescent="0.2">
      <c r="A29" s="109" t="s">
        <v>78</v>
      </c>
      <c r="B29" s="73"/>
      <c r="C29" s="34"/>
      <c r="D29" s="34">
        <f>SUM(D25,D26:D27)</f>
        <v>47.455799999999989</v>
      </c>
      <c r="E29" s="72"/>
      <c r="F29" s="34"/>
      <c r="G29" s="34">
        <f>SUM(G25,G26:G27)</f>
        <v>48.205799999999989</v>
      </c>
      <c r="H29" s="34">
        <f t="shared" si="1"/>
        <v>0.75</v>
      </c>
      <c r="I29" s="35">
        <f>IF(ISERROR(H29/D29),0,(H29/D29))</f>
        <v>1.5804179889497179E-2</v>
      </c>
      <c r="J29" s="35">
        <f t="shared" si="10"/>
        <v>0.19303366692345064</v>
      </c>
      <c r="K29" s="110">
        <f t="shared" si="11"/>
        <v>0.19585065941489518</v>
      </c>
    </row>
    <row r="30" spans="1:11" s="1" customFormat="1" x14ac:dyDescent="0.2">
      <c r="A30" s="109" t="s">
        <v>77</v>
      </c>
      <c r="B30" s="73"/>
      <c r="C30" s="34"/>
      <c r="D30" s="34">
        <f>SUM(D25,D26,D28)</f>
        <v>46.688921999999991</v>
      </c>
      <c r="E30" s="72"/>
      <c r="F30" s="34"/>
      <c r="G30" s="34">
        <f>SUM(G25,G26,G28)</f>
        <v>47.438921999999991</v>
      </c>
      <c r="H30" s="34">
        <f t="shared" si="1"/>
        <v>0.75</v>
      </c>
      <c r="I30" s="35">
        <f>IF(ISERROR(H30/D30),0,(H30/D30))</f>
        <v>1.6063767760583551E-2</v>
      </c>
      <c r="J30" s="35">
        <f t="shared" si="10"/>
        <v>0.18996280672772894</v>
      </c>
      <c r="K30" s="110">
        <f t="shared" si="11"/>
        <v>0.1927349853260765</v>
      </c>
    </row>
    <row r="31" spans="1:11" x14ac:dyDescent="0.2">
      <c r="A31" s="106" t="s">
        <v>40</v>
      </c>
      <c r="B31" s="72">
        <f>B8</f>
        <v>1479.8</v>
      </c>
      <c r="C31" s="125">
        <f>VLOOKUP($B$3,'Data for Bill Impacts'!$A$3:$Y$15,15,0)</f>
        <v>7.7000000000000002E-3</v>
      </c>
      <c r="D31" s="21">
        <f>B31*C31</f>
        <v>11.39446</v>
      </c>
      <c r="E31" s="72">
        <f t="shared" si="6"/>
        <v>1479.8</v>
      </c>
      <c r="F31" s="77">
        <f>VLOOKUP($B$3,'Data for Bill Impacts'!$A$3:$Y$15,24,0)</f>
        <v>7.7000000000000002E-3</v>
      </c>
      <c r="G31" s="21">
        <f>E31*F31</f>
        <v>11.39446</v>
      </c>
      <c r="H31" s="21">
        <f t="shared" si="1"/>
        <v>0</v>
      </c>
      <c r="I31" s="22">
        <f t="shared" si="2"/>
        <v>0</v>
      </c>
      <c r="J31" s="22">
        <f t="shared" si="10"/>
        <v>4.5627588307062261E-2</v>
      </c>
      <c r="K31" s="107">
        <f t="shared" si="11"/>
        <v>4.6293444039444367E-2</v>
      </c>
    </row>
    <row r="32" spans="1:11" x14ac:dyDescent="0.2">
      <c r="A32" s="106" t="s">
        <v>41</v>
      </c>
      <c r="B32" s="72">
        <f>B8</f>
        <v>1479.8</v>
      </c>
      <c r="C32" s="125">
        <f>VLOOKUP($B$3,'Data for Bill Impacts'!$A$3:$Y$15,16,0)</f>
        <v>6.3E-3</v>
      </c>
      <c r="D32" s="21">
        <f>B32*C32</f>
        <v>9.3227399999999996</v>
      </c>
      <c r="E32" s="72">
        <f t="shared" si="6"/>
        <v>1479.8</v>
      </c>
      <c r="F32" s="77">
        <f>VLOOKUP($B$3,'Data for Bill Impacts'!$A$3:$Y$15,25,0)</f>
        <v>6.3E-3</v>
      </c>
      <c r="G32" s="21">
        <f>E32*F32</f>
        <v>9.3227399999999996</v>
      </c>
      <c r="H32" s="21">
        <f t="shared" si="1"/>
        <v>0</v>
      </c>
      <c r="I32" s="22">
        <f t="shared" si="2"/>
        <v>0</v>
      </c>
      <c r="J32" s="22">
        <f t="shared" si="10"/>
        <v>3.7331663160323665E-2</v>
      </c>
      <c r="K32" s="107">
        <f t="shared" si="11"/>
        <v>3.7876454214090839E-2</v>
      </c>
    </row>
    <row r="33" spans="1:11" s="1" customFormat="1" x14ac:dyDescent="0.2">
      <c r="A33" s="109" t="s">
        <v>76</v>
      </c>
      <c r="B33" s="73"/>
      <c r="C33" s="34"/>
      <c r="D33" s="34">
        <f>SUM(D31:D32)</f>
        <v>20.717199999999998</v>
      </c>
      <c r="E33" s="72"/>
      <c r="F33" s="34"/>
      <c r="G33" s="34">
        <f>SUM(G31:G32)</f>
        <v>20.717199999999998</v>
      </c>
      <c r="H33" s="34">
        <f t="shared" si="1"/>
        <v>0</v>
      </c>
      <c r="I33" s="35">
        <f t="shared" si="2"/>
        <v>0</v>
      </c>
      <c r="J33" s="35">
        <f t="shared" si="10"/>
        <v>8.2959251467385919E-2</v>
      </c>
      <c r="K33" s="110">
        <f t="shared" si="11"/>
        <v>8.41698982535352E-2</v>
      </c>
    </row>
    <row r="34" spans="1:11" s="1" customFormat="1" x14ac:dyDescent="0.2">
      <c r="A34" s="109" t="s">
        <v>93</v>
      </c>
      <c r="B34" s="73"/>
      <c r="C34" s="34"/>
      <c r="D34" s="34">
        <f>D29+D33</f>
        <v>68.172999999999988</v>
      </c>
      <c r="E34" s="72"/>
      <c r="F34" s="34"/>
      <c r="G34" s="34">
        <f>G29+G33</f>
        <v>68.922999999999988</v>
      </c>
      <c r="H34" s="34">
        <f t="shared" si="1"/>
        <v>0.75</v>
      </c>
      <c r="I34" s="35">
        <f t="shared" si="2"/>
        <v>1.1001422850688692E-2</v>
      </c>
      <c r="J34" s="35">
        <f t="shared" si="10"/>
        <v>0.27599291839083656</v>
      </c>
      <c r="K34" s="110">
        <f t="shared" si="11"/>
        <v>0.28002055766843037</v>
      </c>
    </row>
    <row r="35" spans="1:11" s="1" customFormat="1" x14ac:dyDescent="0.2">
      <c r="A35" s="109" t="s">
        <v>94</v>
      </c>
      <c r="B35" s="73"/>
      <c r="C35" s="34"/>
      <c r="D35" s="34">
        <f>D30+D33</f>
        <v>67.406121999999982</v>
      </c>
      <c r="E35" s="72"/>
      <c r="F35" s="34"/>
      <c r="G35" s="34">
        <f>G30+G33</f>
        <v>68.156121999999982</v>
      </c>
      <c r="H35" s="34">
        <f t="shared" si="1"/>
        <v>0.75</v>
      </c>
      <c r="I35" s="35">
        <f t="shared" si="2"/>
        <v>1.1126585801805958E-2</v>
      </c>
      <c r="J35" s="35">
        <f t="shared" si="10"/>
        <v>0.27292205819511484</v>
      </c>
      <c r="K35" s="110">
        <f t="shared" si="11"/>
        <v>0.27690488357961168</v>
      </c>
    </row>
    <row r="36" spans="1:11" x14ac:dyDescent="0.2">
      <c r="A36" s="106" t="s">
        <v>42</v>
      </c>
      <c r="B36" s="72">
        <f>B8</f>
        <v>1479.8</v>
      </c>
      <c r="C36" s="33">
        <v>3.5999999999999999E-3</v>
      </c>
      <c r="D36" s="21">
        <f>B36*C36</f>
        <v>5.32728</v>
      </c>
      <c r="E36" s="72">
        <f t="shared" si="6"/>
        <v>1479.8</v>
      </c>
      <c r="F36" s="33">
        <v>3.5999999999999999E-3</v>
      </c>
      <c r="G36" s="21">
        <f>E36*F36</f>
        <v>5.32728</v>
      </c>
      <c r="H36" s="21">
        <f t="shared" si="1"/>
        <v>0</v>
      </c>
      <c r="I36" s="22">
        <f t="shared" si="2"/>
        <v>0</v>
      </c>
      <c r="J36" s="22">
        <f t="shared" si="10"/>
        <v>2.1332378948756382E-2</v>
      </c>
      <c r="K36" s="107">
        <f t="shared" si="11"/>
        <v>2.1643688122337624E-2</v>
      </c>
    </row>
    <row r="37" spans="1:11" x14ac:dyDescent="0.2">
      <c r="A37" s="106" t="s">
        <v>43</v>
      </c>
      <c r="B37" s="72">
        <f>B8</f>
        <v>1479.8</v>
      </c>
      <c r="C37" s="33">
        <v>2.0999999999999999E-3</v>
      </c>
      <c r="D37" s="21">
        <f>B37*C37</f>
        <v>3.1075799999999996</v>
      </c>
      <c r="E37" s="72">
        <f t="shared" si="6"/>
        <v>1479.8</v>
      </c>
      <c r="F37" s="33">
        <v>2.0999999999999999E-3</v>
      </c>
      <c r="G37" s="21">
        <f>E37*F37</f>
        <v>3.1075799999999996</v>
      </c>
      <c r="H37" s="21">
        <f>G37-D37</f>
        <v>0</v>
      </c>
      <c r="I37" s="22">
        <f t="shared" si="2"/>
        <v>0</v>
      </c>
      <c r="J37" s="22">
        <f t="shared" si="10"/>
        <v>1.2443887720107887E-2</v>
      </c>
      <c r="K37" s="107">
        <f t="shared" si="11"/>
        <v>1.2625484738030279E-2</v>
      </c>
    </row>
    <row r="38" spans="1:11" x14ac:dyDescent="0.2">
      <c r="A38" s="106" t="s">
        <v>99</v>
      </c>
      <c r="B38" s="72">
        <f>B8</f>
        <v>1479.8</v>
      </c>
      <c r="C38" s="33">
        <v>1.1000000000000001E-3</v>
      </c>
      <c r="D38" s="21">
        <f>B38*C38</f>
        <v>1.62778</v>
      </c>
      <c r="E38" s="72">
        <f t="shared" si="6"/>
        <v>1479.8</v>
      </c>
      <c r="F38" s="33">
        <v>1.1000000000000001E-3</v>
      </c>
      <c r="G38" s="21">
        <f>E38*F38</f>
        <v>1.62778</v>
      </c>
      <c r="H38" s="21">
        <f>G38-D38</f>
        <v>0</v>
      </c>
      <c r="I38" s="22">
        <f t="shared" ref="I38" si="12">IF(ISERROR(H38/D38),0,(H38/D38))</f>
        <v>0</v>
      </c>
      <c r="J38" s="22">
        <f t="shared" ref="J38" si="13">G38/$G$46</f>
        <v>6.5182269010088945E-3</v>
      </c>
      <c r="K38" s="107">
        <f t="shared" ref="K38" si="14">G38/$G$51</f>
        <v>6.6133491484920521E-3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1.0010915020778137E-3</v>
      </c>
      <c r="K39" s="107">
        <f t="shared" si="11"/>
        <v>1.0157007010302454E-3</v>
      </c>
    </row>
    <row r="40" spans="1:11" s="1" customFormat="1" x14ac:dyDescent="0.2">
      <c r="A40" s="109" t="s">
        <v>45</v>
      </c>
      <c r="B40" s="73"/>
      <c r="C40" s="34"/>
      <c r="D40" s="34">
        <f>SUM(D36:D39)</f>
        <v>10.31264</v>
      </c>
      <c r="E40" s="72"/>
      <c r="F40" s="34"/>
      <c r="G40" s="34">
        <f>SUM(G36:G39)</f>
        <v>10.31264</v>
      </c>
      <c r="H40" s="34">
        <f t="shared" si="1"/>
        <v>0</v>
      </c>
      <c r="I40" s="35">
        <f t="shared" si="2"/>
        <v>0</v>
      </c>
      <c r="J40" s="35">
        <f t="shared" si="10"/>
        <v>4.1295585071950983E-2</v>
      </c>
      <c r="K40" s="110">
        <f t="shared" si="11"/>
        <v>4.1898222709890201E-2</v>
      </c>
    </row>
    <row r="41" spans="1:11" s="1" customFormat="1" ht="13.5" thickBot="1" x14ac:dyDescent="0.25">
      <c r="A41" s="111" t="s">
        <v>46</v>
      </c>
      <c r="B41" s="112">
        <f>B4</f>
        <v>1400</v>
      </c>
      <c r="C41" s="113">
        <v>0</v>
      </c>
      <c r="D41" s="114">
        <f>B41*C41</f>
        <v>0</v>
      </c>
      <c r="E41" s="115">
        <f t="shared" si="6"/>
        <v>1400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237.08563999999996</v>
      </c>
      <c r="E42" s="37"/>
      <c r="F42" s="38"/>
      <c r="G42" s="38">
        <f>SUM(G14,G25,G26,G27,G33,G40,G41)</f>
        <v>237.83563999999996</v>
      </c>
      <c r="H42" s="38">
        <f t="shared" si="1"/>
        <v>0.75</v>
      </c>
      <c r="I42" s="39">
        <f>IF(ISERROR(H42/D42),0,(H42/D42))</f>
        <v>3.1634138617589835E-3</v>
      </c>
      <c r="J42" s="39">
        <f t="shared" si="10"/>
        <v>0.95238095238095244</v>
      </c>
      <c r="K42" s="40"/>
    </row>
    <row r="43" spans="1:11" x14ac:dyDescent="0.2">
      <c r="A43" s="143" t="s">
        <v>108</v>
      </c>
      <c r="B43" s="42"/>
      <c r="C43" s="25">
        <v>0.13</v>
      </c>
      <c r="D43" s="25">
        <f>D42*C43</f>
        <v>30.821133199999995</v>
      </c>
      <c r="E43" s="25"/>
      <c r="F43" s="25">
        <f>C43</f>
        <v>0.13</v>
      </c>
      <c r="G43" s="25">
        <f>G42*F43</f>
        <v>30.918633199999995</v>
      </c>
      <c r="H43" s="25">
        <f t="shared" si="1"/>
        <v>9.7500000000000142E-2</v>
      </c>
      <c r="I43" s="43">
        <f t="shared" si="2"/>
        <v>3.1634138617589883E-3</v>
      </c>
      <c r="J43" s="43">
        <f t="shared" si="10"/>
        <v>0.12380952380952383</v>
      </c>
      <c r="K43" s="44"/>
    </row>
    <row r="44" spans="1:11" s="1" customFormat="1" x14ac:dyDescent="0.2">
      <c r="A44" s="45" t="s">
        <v>109</v>
      </c>
      <c r="B44" s="23"/>
      <c r="C44" s="24"/>
      <c r="D44" s="24">
        <f>SUM(D42:D43)</f>
        <v>267.90677319999998</v>
      </c>
      <c r="E44" s="24"/>
      <c r="F44" s="24"/>
      <c r="G44" s="24">
        <f>SUM(G42:G43)</f>
        <v>268.75427319999994</v>
      </c>
      <c r="H44" s="24">
        <f t="shared" si="1"/>
        <v>0.84749999999996817</v>
      </c>
      <c r="I44" s="26">
        <f t="shared" si="2"/>
        <v>3.1634138617588643E-3</v>
      </c>
      <c r="J44" s="26">
        <f t="shared" si="10"/>
        <v>1.0761904761904761</v>
      </c>
      <c r="K44" s="46"/>
    </row>
    <row r="45" spans="1:11" x14ac:dyDescent="0.2">
      <c r="A45" s="41" t="s">
        <v>110</v>
      </c>
      <c r="B45" s="42"/>
      <c r="C45" s="25">
        <v>-0.08</v>
      </c>
      <c r="D45" s="25">
        <f>D42*C45</f>
        <v>-18.966851199999997</v>
      </c>
      <c r="E45" s="25"/>
      <c r="F45" s="25">
        <f>C45</f>
        <v>-0.08</v>
      </c>
      <c r="G45" s="25">
        <f>G42*F45</f>
        <v>-19.026851199999996</v>
      </c>
      <c r="H45" s="25">
        <f t="shared" si="1"/>
        <v>-5.9999999999998721E-2</v>
      </c>
      <c r="I45" s="43">
        <f t="shared" si="2"/>
        <v>3.1634138617589159E-3</v>
      </c>
      <c r="J45" s="43">
        <f t="shared" si="10"/>
        <v>-7.6190476190476197E-2</v>
      </c>
      <c r="K45" s="44"/>
    </row>
    <row r="46" spans="1:11" s="1" customFormat="1" ht="13.5" thickBot="1" x14ac:dyDescent="0.25">
      <c r="A46" s="47" t="s">
        <v>111</v>
      </c>
      <c r="B46" s="48"/>
      <c r="C46" s="49"/>
      <c r="D46" s="49">
        <f>SUM(D44:D45)</f>
        <v>248.93992199999997</v>
      </c>
      <c r="E46" s="49"/>
      <c r="F46" s="49"/>
      <c r="G46" s="49">
        <f>SUM(G44:G45)</f>
        <v>249.72742199999993</v>
      </c>
      <c r="H46" s="49">
        <f t="shared" si="1"/>
        <v>0.78749999999996589</v>
      </c>
      <c r="I46" s="50">
        <f t="shared" si="2"/>
        <v>3.1634138617588465E-3</v>
      </c>
      <c r="J46" s="50">
        <f t="shared" si="10"/>
        <v>1</v>
      </c>
      <c r="K46" s="51"/>
    </row>
    <row r="47" spans="1:11" x14ac:dyDescent="0.2">
      <c r="A47" s="52" t="s">
        <v>112</v>
      </c>
      <c r="B47" s="53"/>
      <c r="C47" s="54"/>
      <c r="D47" s="54">
        <f>SUM(D18,D25,D26,D28,D33,D40,D41)</f>
        <v>233.66476199999994</v>
      </c>
      <c r="E47" s="54"/>
      <c r="F47" s="54"/>
      <c r="G47" s="54">
        <f>SUM(G18,G25,G26,G28,G33,G40,G41)</f>
        <v>234.41476199999994</v>
      </c>
      <c r="H47" s="54">
        <f>G47-D47</f>
        <v>0.75</v>
      </c>
      <c r="I47" s="55">
        <f>IF(ISERROR(H47/D47),0,(H47/D47))</f>
        <v>3.2097265911237407E-3</v>
      </c>
      <c r="J47" s="55"/>
      <c r="K47" s="56">
        <f>G47/$G$51</f>
        <v>0.95238095238095233</v>
      </c>
    </row>
    <row r="48" spans="1:11" x14ac:dyDescent="0.2">
      <c r="A48" s="57" t="s">
        <v>108</v>
      </c>
      <c r="B48" s="58"/>
      <c r="C48" s="30">
        <v>0.13</v>
      </c>
      <c r="D48" s="30">
        <f>D47*C48</f>
        <v>30.376419059999993</v>
      </c>
      <c r="E48" s="30"/>
      <c r="F48" s="30">
        <f>C48</f>
        <v>0.13</v>
      </c>
      <c r="G48" s="30">
        <f>G47*F48</f>
        <v>30.473919059999993</v>
      </c>
      <c r="H48" s="30">
        <f>G48-D48</f>
        <v>9.7500000000000142E-2</v>
      </c>
      <c r="I48" s="31">
        <f>IF(ISERROR(H48/D48),0,(H48/D48))</f>
        <v>3.2097265911237454E-3</v>
      </c>
      <c r="J48" s="31"/>
      <c r="K48" s="59">
        <f>G48/$G$51</f>
        <v>0.12380952380952381</v>
      </c>
    </row>
    <row r="49" spans="1:11" x14ac:dyDescent="0.2">
      <c r="A49" s="60" t="s">
        <v>113</v>
      </c>
      <c r="B49" s="28"/>
      <c r="C49" s="29"/>
      <c r="D49" s="29">
        <f>SUM(D47:D48)</f>
        <v>264.04118105999993</v>
      </c>
      <c r="E49" s="29"/>
      <c r="F49" s="29"/>
      <c r="G49" s="29">
        <f>SUM(G47:G48)</f>
        <v>264.88868105999995</v>
      </c>
      <c r="H49" s="29">
        <f>G49-D49</f>
        <v>0.84750000000002501</v>
      </c>
      <c r="I49" s="32">
        <f>IF(ISERROR(H49/D49),0,(H49/D49))</f>
        <v>3.2097265911238356E-3</v>
      </c>
      <c r="J49" s="32"/>
      <c r="K49" s="61">
        <f>G49/$G$51</f>
        <v>1.0761904761904761</v>
      </c>
    </row>
    <row r="50" spans="1:11" x14ac:dyDescent="0.2">
      <c r="A50" s="57" t="s">
        <v>110</v>
      </c>
      <c r="B50" s="58"/>
      <c r="C50" s="30">
        <v>-0.08</v>
      </c>
      <c r="D50" s="30">
        <f>D47*C50</f>
        <v>-18.693180959999996</v>
      </c>
      <c r="E50" s="30"/>
      <c r="F50" s="30">
        <f>C50</f>
        <v>-0.08</v>
      </c>
      <c r="G50" s="30">
        <f>G47*F50</f>
        <v>-18.753180959999995</v>
      </c>
      <c r="H50" s="30">
        <f>G50-D50</f>
        <v>-5.9999999999998721E-2</v>
      </c>
      <c r="I50" s="31">
        <f>IF(ISERROR(H50/D50),0,(H50/D50))</f>
        <v>3.2097265911236721E-3</v>
      </c>
      <c r="J50" s="31"/>
      <c r="K50" s="59">
        <f>G50/$G$51</f>
        <v>-7.6190476190476183E-2</v>
      </c>
    </row>
    <row r="51" spans="1:11" ht="13.5" thickBot="1" x14ac:dyDescent="0.25">
      <c r="A51" s="62" t="s">
        <v>114</v>
      </c>
      <c r="B51" s="63"/>
      <c r="C51" s="64"/>
      <c r="D51" s="64">
        <f>SUM(D49:D50)</f>
        <v>245.34800009999992</v>
      </c>
      <c r="E51" s="64"/>
      <c r="F51" s="64"/>
      <c r="G51" s="64">
        <f>SUM(G49:G50)</f>
        <v>246.13550009999994</v>
      </c>
      <c r="H51" s="64">
        <f>G51-D51</f>
        <v>0.78750000000002274</v>
      </c>
      <c r="I51" s="65">
        <f>IF(ISERROR(H51/D51),0,(H51/D51))</f>
        <v>3.2097265911238335E-3</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1" tint="0.499984740745262"/>
    <pageSetUpPr fitToPage="1"/>
  </sheetPr>
  <dimension ref="A1:J54"/>
  <sheetViews>
    <sheetView tabSelected="1" zoomScaleNormal="100" zoomScaleSheetLayoutView="100" workbookViewId="0">
      <selection activeCell="Q6" sqref="Q6"/>
    </sheetView>
  </sheetViews>
  <sheetFormatPr defaultRowHeight="12.75" x14ac:dyDescent="0.2"/>
  <cols>
    <col min="1" max="1" width="66.28515625" bestFit="1" customWidth="1"/>
    <col min="2" max="2" width="20.7109375" bestFit="1" customWidth="1"/>
    <col min="3" max="3" width="10.5703125" customWidth="1"/>
    <col min="4" max="4" width="10.5703125" bestFit="1" customWidth="1"/>
    <col min="5" max="5" width="11.7109375" customWidth="1"/>
    <col min="6" max="6" width="10.140625" customWidth="1"/>
    <col min="7" max="7" width="12.28515625" customWidth="1"/>
    <col min="8" max="8" width="10.85546875" bestFit="1" customWidth="1"/>
    <col min="9" max="9" width="11.140625" bestFit="1" customWidth="1"/>
    <col min="10" max="10" width="10.42578125" customWidth="1"/>
    <col min="256" max="256" width="66.28515625" bestFit="1" customWidth="1"/>
    <col min="257" max="257" width="20.7109375" bestFit="1" customWidth="1"/>
    <col min="258" max="258" width="10.5703125" customWidth="1"/>
    <col min="259" max="259" width="10.5703125" bestFit="1" customWidth="1"/>
    <col min="261" max="261" width="10.140625" customWidth="1"/>
    <col min="262" max="262" width="12.28515625" customWidth="1"/>
    <col min="263" max="263" width="10.85546875" bestFit="1" customWidth="1"/>
    <col min="264" max="264" width="11.140625" bestFit="1" customWidth="1"/>
    <col min="265" max="265" width="10.42578125" customWidth="1"/>
    <col min="512" max="512" width="66.28515625" bestFit="1" customWidth="1"/>
    <col min="513" max="513" width="20.7109375" bestFit="1" customWidth="1"/>
    <col min="514" max="514" width="10.5703125" customWidth="1"/>
    <col min="515" max="515" width="10.5703125" bestFit="1" customWidth="1"/>
    <col min="517" max="517" width="10.140625" customWidth="1"/>
    <col min="518" max="518" width="12.28515625" customWidth="1"/>
    <col min="519" max="519" width="10.85546875" bestFit="1" customWidth="1"/>
    <col min="520" max="520" width="11.140625" bestFit="1" customWidth="1"/>
    <col min="521" max="521" width="10.42578125" customWidth="1"/>
    <col min="768" max="768" width="66.28515625" bestFit="1" customWidth="1"/>
    <col min="769" max="769" width="20.7109375" bestFit="1" customWidth="1"/>
    <col min="770" max="770" width="10.5703125" customWidth="1"/>
    <col min="771" max="771" width="10.5703125" bestFit="1" customWidth="1"/>
    <col min="773" max="773" width="10.140625" customWidth="1"/>
    <col min="774" max="774" width="12.28515625" customWidth="1"/>
    <col min="775" max="775" width="10.85546875" bestFit="1" customWidth="1"/>
    <col min="776" max="776" width="11.140625" bestFit="1" customWidth="1"/>
    <col min="777" max="777" width="10.42578125" customWidth="1"/>
    <col min="1024" max="1024" width="66.28515625" bestFit="1" customWidth="1"/>
    <col min="1025" max="1025" width="20.7109375" bestFit="1" customWidth="1"/>
    <col min="1026" max="1026" width="10.5703125" customWidth="1"/>
    <col min="1027" max="1027" width="10.5703125" bestFit="1" customWidth="1"/>
    <col min="1029" max="1029" width="10.140625" customWidth="1"/>
    <col min="1030" max="1030" width="12.28515625" customWidth="1"/>
    <col min="1031" max="1031" width="10.85546875" bestFit="1" customWidth="1"/>
    <col min="1032" max="1032" width="11.140625" bestFit="1" customWidth="1"/>
    <col min="1033" max="1033" width="10.42578125" customWidth="1"/>
    <col min="1280" max="1280" width="66.28515625" bestFit="1" customWidth="1"/>
    <col min="1281" max="1281" width="20.7109375" bestFit="1" customWidth="1"/>
    <col min="1282" max="1282" width="10.5703125" customWidth="1"/>
    <col min="1283" max="1283" width="10.5703125" bestFit="1" customWidth="1"/>
    <col min="1285" max="1285" width="10.140625" customWidth="1"/>
    <col min="1286" max="1286" width="12.28515625" customWidth="1"/>
    <col min="1287" max="1287" width="10.85546875" bestFit="1" customWidth="1"/>
    <col min="1288" max="1288" width="11.140625" bestFit="1" customWidth="1"/>
    <col min="1289" max="1289" width="10.42578125" customWidth="1"/>
    <col min="1536" max="1536" width="66.28515625" bestFit="1" customWidth="1"/>
    <col min="1537" max="1537" width="20.7109375" bestFit="1" customWidth="1"/>
    <col min="1538" max="1538" width="10.5703125" customWidth="1"/>
    <col min="1539" max="1539" width="10.5703125" bestFit="1" customWidth="1"/>
    <col min="1541" max="1541" width="10.140625" customWidth="1"/>
    <col min="1542" max="1542" width="12.28515625" customWidth="1"/>
    <col min="1543" max="1543" width="10.85546875" bestFit="1" customWidth="1"/>
    <col min="1544" max="1544" width="11.140625" bestFit="1" customWidth="1"/>
    <col min="1545" max="1545" width="10.42578125" customWidth="1"/>
    <col min="1792" max="1792" width="66.28515625" bestFit="1" customWidth="1"/>
    <col min="1793" max="1793" width="20.7109375" bestFit="1" customWidth="1"/>
    <col min="1794" max="1794" width="10.5703125" customWidth="1"/>
    <col min="1795" max="1795" width="10.5703125" bestFit="1" customWidth="1"/>
    <col min="1797" max="1797" width="10.140625" customWidth="1"/>
    <col min="1798" max="1798" width="12.28515625" customWidth="1"/>
    <col min="1799" max="1799" width="10.85546875" bestFit="1" customWidth="1"/>
    <col min="1800" max="1800" width="11.140625" bestFit="1" customWidth="1"/>
    <col min="1801" max="1801" width="10.42578125" customWidth="1"/>
    <col min="2048" max="2048" width="66.28515625" bestFit="1" customWidth="1"/>
    <col min="2049" max="2049" width="20.7109375" bestFit="1" customWidth="1"/>
    <col min="2050" max="2050" width="10.5703125" customWidth="1"/>
    <col min="2051" max="2051" width="10.5703125" bestFit="1" customWidth="1"/>
    <col min="2053" max="2053" width="10.140625" customWidth="1"/>
    <col min="2054" max="2054" width="12.28515625" customWidth="1"/>
    <col min="2055" max="2055" width="10.85546875" bestFit="1" customWidth="1"/>
    <col min="2056" max="2056" width="11.140625" bestFit="1" customWidth="1"/>
    <col min="2057" max="2057" width="10.42578125" customWidth="1"/>
    <col min="2304" max="2304" width="66.28515625" bestFit="1" customWidth="1"/>
    <col min="2305" max="2305" width="20.7109375" bestFit="1" customWidth="1"/>
    <col min="2306" max="2306" width="10.5703125" customWidth="1"/>
    <col min="2307" max="2307" width="10.5703125" bestFit="1" customWidth="1"/>
    <col min="2309" max="2309" width="10.140625" customWidth="1"/>
    <col min="2310" max="2310" width="12.28515625" customWidth="1"/>
    <col min="2311" max="2311" width="10.85546875" bestFit="1" customWidth="1"/>
    <col min="2312" max="2312" width="11.140625" bestFit="1" customWidth="1"/>
    <col min="2313" max="2313" width="10.42578125" customWidth="1"/>
    <col min="2560" max="2560" width="66.28515625" bestFit="1" customWidth="1"/>
    <col min="2561" max="2561" width="20.7109375" bestFit="1" customWidth="1"/>
    <col min="2562" max="2562" width="10.5703125" customWidth="1"/>
    <col min="2563" max="2563" width="10.5703125" bestFit="1" customWidth="1"/>
    <col min="2565" max="2565" width="10.140625" customWidth="1"/>
    <col min="2566" max="2566" width="12.28515625" customWidth="1"/>
    <col min="2567" max="2567" width="10.85546875" bestFit="1" customWidth="1"/>
    <col min="2568" max="2568" width="11.140625" bestFit="1" customWidth="1"/>
    <col min="2569" max="2569" width="10.42578125" customWidth="1"/>
    <col min="2816" max="2816" width="66.28515625" bestFit="1" customWidth="1"/>
    <col min="2817" max="2817" width="20.7109375" bestFit="1" customWidth="1"/>
    <col min="2818" max="2818" width="10.5703125" customWidth="1"/>
    <col min="2819" max="2819" width="10.5703125" bestFit="1" customWidth="1"/>
    <col min="2821" max="2821" width="10.140625" customWidth="1"/>
    <col min="2822" max="2822" width="12.28515625" customWidth="1"/>
    <col min="2823" max="2823" width="10.85546875" bestFit="1" customWidth="1"/>
    <col min="2824" max="2824" width="11.140625" bestFit="1" customWidth="1"/>
    <col min="2825" max="2825" width="10.42578125" customWidth="1"/>
    <col min="3072" max="3072" width="66.28515625" bestFit="1" customWidth="1"/>
    <col min="3073" max="3073" width="20.7109375" bestFit="1" customWidth="1"/>
    <col min="3074" max="3074" width="10.5703125" customWidth="1"/>
    <col min="3075" max="3075" width="10.5703125" bestFit="1" customWidth="1"/>
    <col min="3077" max="3077" width="10.140625" customWidth="1"/>
    <col min="3078" max="3078" width="12.28515625" customWidth="1"/>
    <col min="3079" max="3079" width="10.85546875" bestFit="1" customWidth="1"/>
    <col min="3080" max="3080" width="11.140625" bestFit="1" customWidth="1"/>
    <col min="3081" max="3081" width="10.42578125" customWidth="1"/>
    <col min="3328" max="3328" width="66.28515625" bestFit="1" customWidth="1"/>
    <col min="3329" max="3329" width="20.7109375" bestFit="1" customWidth="1"/>
    <col min="3330" max="3330" width="10.5703125" customWidth="1"/>
    <col min="3331" max="3331" width="10.5703125" bestFit="1" customWidth="1"/>
    <col min="3333" max="3333" width="10.140625" customWidth="1"/>
    <col min="3334" max="3334" width="12.28515625" customWidth="1"/>
    <col min="3335" max="3335" width="10.85546875" bestFit="1" customWidth="1"/>
    <col min="3336" max="3336" width="11.140625" bestFit="1" customWidth="1"/>
    <col min="3337" max="3337" width="10.42578125" customWidth="1"/>
    <col min="3584" max="3584" width="66.28515625" bestFit="1" customWidth="1"/>
    <col min="3585" max="3585" width="20.7109375" bestFit="1" customWidth="1"/>
    <col min="3586" max="3586" width="10.5703125" customWidth="1"/>
    <col min="3587" max="3587" width="10.5703125" bestFit="1" customWidth="1"/>
    <col min="3589" max="3589" width="10.140625" customWidth="1"/>
    <col min="3590" max="3590" width="12.28515625" customWidth="1"/>
    <col min="3591" max="3591" width="10.85546875" bestFit="1" customWidth="1"/>
    <col min="3592" max="3592" width="11.140625" bestFit="1" customWidth="1"/>
    <col min="3593" max="3593" width="10.42578125" customWidth="1"/>
    <col min="3840" max="3840" width="66.28515625" bestFit="1" customWidth="1"/>
    <col min="3841" max="3841" width="20.7109375" bestFit="1" customWidth="1"/>
    <col min="3842" max="3842" width="10.5703125" customWidth="1"/>
    <col min="3843" max="3843" width="10.5703125" bestFit="1" customWidth="1"/>
    <col min="3845" max="3845" width="10.140625" customWidth="1"/>
    <col min="3846" max="3846" width="12.28515625" customWidth="1"/>
    <col min="3847" max="3847" width="10.85546875" bestFit="1" customWidth="1"/>
    <col min="3848" max="3848" width="11.140625" bestFit="1" customWidth="1"/>
    <col min="3849" max="3849" width="10.42578125" customWidth="1"/>
    <col min="4096" max="4096" width="66.28515625" bestFit="1" customWidth="1"/>
    <col min="4097" max="4097" width="20.7109375" bestFit="1" customWidth="1"/>
    <col min="4098" max="4098" width="10.5703125" customWidth="1"/>
    <col min="4099" max="4099" width="10.5703125" bestFit="1" customWidth="1"/>
    <col min="4101" max="4101" width="10.140625" customWidth="1"/>
    <col min="4102" max="4102" width="12.28515625" customWidth="1"/>
    <col min="4103" max="4103" width="10.85546875" bestFit="1" customWidth="1"/>
    <col min="4104" max="4104" width="11.140625" bestFit="1" customWidth="1"/>
    <col min="4105" max="4105" width="10.42578125" customWidth="1"/>
    <col min="4352" max="4352" width="66.28515625" bestFit="1" customWidth="1"/>
    <col min="4353" max="4353" width="20.7109375" bestFit="1" customWidth="1"/>
    <col min="4354" max="4354" width="10.5703125" customWidth="1"/>
    <col min="4355" max="4355" width="10.5703125" bestFit="1" customWidth="1"/>
    <col min="4357" max="4357" width="10.140625" customWidth="1"/>
    <col min="4358" max="4358" width="12.28515625" customWidth="1"/>
    <col min="4359" max="4359" width="10.85546875" bestFit="1" customWidth="1"/>
    <col min="4360" max="4360" width="11.140625" bestFit="1" customWidth="1"/>
    <col min="4361" max="4361" width="10.42578125" customWidth="1"/>
    <col min="4608" max="4608" width="66.28515625" bestFit="1" customWidth="1"/>
    <col min="4609" max="4609" width="20.7109375" bestFit="1" customWidth="1"/>
    <col min="4610" max="4610" width="10.5703125" customWidth="1"/>
    <col min="4611" max="4611" width="10.5703125" bestFit="1" customWidth="1"/>
    <col min="4613" max="4613" width="10.140625" customWidth="1"/>
    <col min="4614" max="4614" width="12.28515625" customWidth="1"/>
    <col min="4615" max="4615" width="10.85546875" bestFit="1" customWidth="1"/>
    <col min="4616" max="4616" width="11.140625" bestFit="1" customWidth="1"/>
    <col min="4617" max="4617" width="10.42578125" customWidth="1"/>
    <col min="4864" max="4864" width="66.28515625" bestFit="1" customWidth="1"/>
    <col min="4865" max="4865" width="20.7109375" bestFit="1" customWidth="1"/>
    <col min="4866" max="4866" width="10.5703125" customWidth="1"/>
    <col min="4867" max="4867" width="10.5703125" bestFit="1" customWidth="1"/>
    <col min="4869" max="4869" width="10.140625" customWidth="1"/>
    <col min="4870" max="4870" width="12.28515625" customWidth="1"/>
    <col min="4871" max="4871" width="10.85546875" bestFit="1" customWidth="1"/>
    <col min="4872" max="4872" width="11.140625" bestFit="1" customWidth="1"/>
    <col min="4873" max="4873" width="10.42578125" customWidth="1"/>
    <col min="5120" max="5120" width="66.28515625" bestFit="1" customWidth="1"/>
    <col min="5121" max="5121" width="20.7109375" bestFit="1" customWidth="1"/>
    <col min="5122" max="5122" width="10.5703125" customWidth="1"/>
    <col min="5123" max="5123" width="10.5703125" bestFit="1" customWidth="1"/>
    <col min="5125" max="5125" width="10.140625" customWidth="1"/>
    <col min="5126" max="5126" width="12.28515625" customWidth="1"/>
    <col min="5127" max="5127" width="10.85546875" bestFit="1" customWidth="1"/>
    <col min="5128" max="5128" width="11.140625" bestFit="1" customWidth="1"/>
    <col min="5129" max="5129" width="10.42578125" customWidth="1"/>
    <col min="5376" max="5376" width="66.28515625" bestFit="1" customWidth="1"/>
    <col min="5377" max="5377" width="20.7109375" bestFit="1" customWidth="1"/>
    <col min="5378" max="5378" width="10.5703125" customWidth="1"/>
    <col min="5379" max="5379" width="10.5703125" bestFit="1" customWidth="1"/>
    <col min="5381" max="5381" width="10.140625" customWidth="1"/>
    <col min="5382" max="5382" width="12.28515625" customWidth="1"/>
    <col min="5383" max="5383" width="10.85546875" bestFit="1" customWidth="1"/>
    <col min="5384" max="5384" width="11.140625" bestFit="1" customWidth="1"/>
    <col min="5385" max="5385" width="10.42578125" customWidth="1"/>
    <col min="5632" max="5632" width="66.28515625" bestFit="1" customWidth="1"/>
    <col min="5633" max="5633" width="20.7109375" bestFit="1" customWidth="1"/>
    <col min="5634" max="5634" width="10.5703125" customWidth="1"/>
    <col min="5635" max="5635" width="10.5703125" bestFit="1" customWidth="1"/>
    <col min="5637" max="5637" width="10.140625" customWidth="1"/>
    <col min="5638" max="5638" width="12.28515625" customWidth="1"/>
    <col min="5639" max="5639" width="10.85546875" bestFit="1" customWidth="1"/>
    <col min="5640" max="5640" width="11.140625" bestFit="1" customWidth="1"/>
    <col min="5641" max="5641" width="10.42578125" customWidth="1"/>
    <col min="5888" max="5888" width="66.28515625" bestFit="1" customWidth="1"/>
    <col min="5889" max="5889" width="20.7109375" bestFit="1" customWidth="1"/>
    <col min="5890" max="5890" width="10.5703125" customWidth="1"/>
    <col min="5891" max="5891" width="10.5703125" bestFit="1" customWidth="1"/>
    <col min="5893" max="5893" width="10.140625" customWidth="1"/>
    <col min="5894" max="5894" width="12.28515625" customWidth="1"/>
    <col min="5895" max="5895" width="10.85546875" bestFit="1" customWidth="1"/>
    <col min="5896" max="5896" width="11.140625" bestFit="1" customWidth="1"/>
    <col min="5897" max="5897" width="10.42578125" customWidth="1"/>
    <col min="6144" max="6144" width="66.28515625" bestFit="1" customWidth="1"/>
    <col min="6145" max="6145" width="20.7109375" bestFit="1" customWidth="1"/>
    <col min="6146" max="6146" width="10.5703125" customWidth="1"/>
    <col min="6147" max="6147" width="10.5703125" bestFit="1" customWidth="1"/>
    <col min="6149" max="6149" width="10.140625" customWidth="1"/>
    <col min="6150" max="6150" width="12.28515625" customWidth="1"/>
    <col min="6151" max="6151" width="10.85546875" bestFit="1" customWidth="1"/>
    <col min="6152" max="6152" width="11.140625" bestFit="1" customWidth="1"/>
    <col min="6153" max="6153" width="10.42578125" customWidth="1"/>
    <col min="6400" max="6400" width="66.28515625" bestFit="1" customWidth="1"/>
    <col min="6401" max="6401" width="20.7109375" bestFit="1" customWidth="1"/>
    <col min="6402" max="6402" width="10.5703125" customWidth="1"/>
    <col min="6403" max="6403" width="10.5703125" bestFit="1" customWidth="1"/>
    <col min="6405" max="6405" width="10.140625" customWidth="1"/>
    <col min="6406" max="6406" width="12.28515625" customWidth="1"/>
    <col min="6407" max="6407" width="10.85546875" bestFit="1" customWidth="1"/>
    <col min="6408" max="6408" width="11.140625" bestFit="1" customWidth="1"/>
    <col min="6409" max="6409" width="10.42578125" customWidth="1"/>
    <col min="6656" max="6656" width="66.28515625" bestFit="1" customWidth="1"/>
    <col min="6657" max="6657" width="20.7109375" bestFit="1" customWidth="1"/>
    <col min="6658" max="6658" width="10.5703125" customWidth="1"/>
    <col min="6659" max="6659" width="10.5703125" bestFit="1" customWidth="1"/>
    <col min="6661" max="6661" width="10.140625" customWidth="1"/>
    <col min="6662" max="6662" width="12.28515625" customWidth="1"/>
    <col min="6663" max="6663" width="10.85546875" bestFit="1" customWidth="1"/>
    <col min="6664" max="6664" width="11.140625" bestFit="1" customWidth="1"/>
    <col min="6665" max="6665" width="10.42578125" customWidth="1"/>
    <col min="6912" max="6912" width="66.28515625" bestFit="1" customWidth="1"/>
    <col min="6913" max="6913" width="20.7109375" bestFit="1" customWidth="1"/>
    <col min="6914" max="6914" width="10.5703125" customWidth="1"/>
    <col min="6915" max="6915" width="10.5703125" bestFit="1" customWidth="1"/>
    <col min="6917" max="6917" width="10.140625" customWidth="1"/>
    <col min="6918" max="6918" width="12.28515625" customWidth="1"/>
    <col min="6919" max="6919" width="10.85546875" bestFit="1" customWidth="1"/>
    <col min="6920" max="6920" width="11.140625" bestFit="1" customWidth="1"/>
    <col min="6921" max="6921" width="10.42578125" customWidth="1"/>
    <col min="7168" max="7168" width="66.28515625" bestFit="1" customWidth="1"/>
    <col min="7169" max="7169" width="20.7109375" bestFit="1" customWidth="1"/>
    <col min="7170" max="7170" width="10.5703125" customWidth="1"/>
    <col min="7171" max="7171" width="10.5703125" bestFit="1" customWidth="1"/>
    <col min="7173" max="7173" width="10.140625" customWidth="1"/>
    <col min="7174" max="7174" width="12.28515625" customWidth="1"/>
    <col min="7175" max="7175" width="10.85546875" bestFit="1" customWidth="1"/>
    <col min="7176" max="7176" width="11.140625" bestFit="1" customWidth="1"/>
    <col min="7177" max="7177" width="10.42578125" customWidth="1"/>
    <col min="7424" max="7424" width="66.28515625" bestFit="1" customWidth="1"/>
    <col min="7425" max="7425" width="20.7109375" bestFit="1" customWidth="1"/>
    <col min="7426" max="7426" width="10.5703125" customWidth="1"/>
    <col min="7427" max="7427" width="10.5703125" bestFit="1" customWidth="1"/>
    <col min="7429" max="7429" width="10.140625" customWidth="1"/>
    <col min="7430" max="7430" width="12.28515625" customWidth="1"/>
    <col min="7431" max="7431" width="10.85546875" bestFit="1" customWidth="1"/>
    <col min="7432" max="7432" width="11.140625" bestFit="1" customWidth="1"/>
    <col min="7433" max="7433" width="10.42578125" customWidth="1"/>
    <col min="7680" max="7680" width="66.28515625" bestFit="1" customWidth="1"/>
    <col min="7681" max="7681" width="20.7109375" bestFit="1" customWidth="1"/>
    <col min="7682" max="7682" width="10.5703125" customWidth="1"/>
    <col min="7683" max="7683" width="10.5703125" bestFit="1" customWidth="1"/>
    <col min="7685" max="7685" width="10.140625" customWidth="1"/>
    <col min="7686" max="7686" width="12.28515625" customWidth="1"/>
    <col min="7687" max="7687" width="10.85546875" bestFit="1" customWidth="1"/>
    <col min="7688" max="7688" width="11.140625" bestFit="1" customWidth="1"/>
    <col min="7689" max="7689" width="10.42578125" customWidth="1"/>
    <col min="7936" max="7936" width="66.28515625" bestFit="1" customWidth="1"/>
    <col min="7937" max="7937" width="20.7109375" bestFit="1" customWidth="1"/>
    <col min="7938" max="7938" width="10.5703125" customWidth="1"/>
    <col min="7939" max="7939" width="10.5703125" bestFit="1" customWidth="1"/>
    <col min="7941" max="7941" width="10.140625" customWidth="1"/>
    <col min="7942" max="7942" width="12.28515625" customWidth="1"/>
    <col min="7943" max="7943" width="10.85546875" bestFit="1" customWidth="1"/>
    <col min="7944" max="7944" width="11.140625" bestFit="1" customWidth="1"/>
    <col min="7945" max="7945" width="10.42578125" customWidth="1"/>
    <col min="8192" max="8192" width="66.28515625" bestFit="1" customWidth="1"/>
    <col min="8193" max="8193" width="20.7109375" bestFit="1" customWidth="1"/>
    <col min="8194" max="8194" width="10.5703125" customWidth="1"/>
    <col min="8195" max="8195" width="10.5703125" bestFit="1" customWidth="1"/>
    <col min="8197" max="8197" width="10.140625" customWidth="1"/>
    <col min="8198" max="8198" width="12.28515625" customWidth="1"/>
    <col min="8199" max="8199" width="10.85546875" bestFit="1" customWidth="1"/>
    <col min="8200" max="8200" width="11.140625" bestFit="1" customWidth="1"/>
    <col min="8201" max="8201" width="10.42578125" customWidth="1"/>
    <col min="8448" max="8448" width="66.28515625" bestFit="1" customWidth="1"/>
    <col min="8449" max="8449" width="20.7109375" bestFit="1" customWidth="1"/>
    <col min="8450" max="8450" width="10.5703125" customWidth="1"/>
    <col min="8451" max="8451" width="10.5703125" bestFit="1" customWidth="1"/>
    <col min="8453" max="8453" width="10.140625" customWidth="1"/>
    <col min="8454" max="8454" width="12.28515625" customWidth="1"/>
    <col min="8455" max="8455" width="10.85546875" bestFit="1" customWidth="1"/>
    <col min="8456" max="8456" width="11.140625" bestFit="1" customWidth="1"/>
    <col min="8457" max="8457" width="10.42578125" customWidth="1"/>
    <col min="8704" max="8704" width="66.28515625" bestFit="1" customWidth="1"/>
    <col min="8705" max="8705" width="20.7109375" bestFit="1" customWidth="1"/>
    <col min="8706" max="8706" width="10.5703125" customWidth="1"/>
    <col min="8707" max="8707" width="10.5703125" bestFit="1" customWidth="1"/>
    <col min="8709" max="8709" width="10.140625" customWidth="1"/>
    <col min="8710" max="8710" width="12.28515625" customWidth="1"/>
    <col min="8711" max="8711" width="10.85546875" bestFit="1" customWidth="1"/>
    <col min="8712" max="8712" width="11.140625" bestFit="1" customWidth="1"/>
    <col min="8713" max="8713" width="10.42578125" customWidth="1"/>
    <col min="8960" max="8960" width="66.28515625" bestFit="1" customWidth="1"/>
    <col min="8961" max="8961" width="20.7109375" bestFit="1" customWidth="1"/>
    <col min="8962" max="8962" width="10.5703125" customWidth="1"/>
    <col min="8963" max="8963" width="10.5703125" bestFit="1" customWidth="1"/>
    <col min="8965" max="8965" width="10.140625" customWidth="1"/>
    <col min="8966" max="8966" width="12.28515625" customWidth="1"/>
    <col min="8967" max="8967" width="10.85546875" bestFit="1" customWidth="1"/>
    <col min="8968" max="8968" width="11.140625" bestFit="1" customWidth="1"/>
    <col min="8969" max="8969" width="10.42578125" customWidth="1"/>
    <col min="9216" max="9216" width="66.28515625" bestFit="1" customWidth="1"/>
    <col min="9217" max="9217" width="20.7109375" bestFit="1" customWidth="1"/>
    <col min="9218" max="9218" width="10.5703125" customWidth="1"/>
    <col min="9219" max="9219" width="10.5703125" bestFit="1" customWidth="1"/>
    <col min="9221" max="9221" width="10.140625" customWidth="1"/>
    <col min="9222" max="9222" width="12.28515625" customWidth="1"/>
    <col min="9223" max="9223" width="10.85546875" bestFit="1" customWidth="1"/>
    <col min="9224" max="9224" width="11.140625" bestFit="1" customWidth="1"/>
    <col min="9225" max="9225" width="10.42578125" customWidth="1"/>
    <col min="9472" max="9472" width="66.28515625" bestFit="1" customWidth="1"/>
    <col min="9473" max="9473" width="20.7109375" bestFit="1" customWidth="1"/>
    <col min="9474" max="9474" width="10.5703125" customWidth="1"/>
    <col min="9475" max="9475" width="10.5703125" bestFit="1" customWidth="1"/>
    <col min="9477" max="9477" width="10.140625" customWidth="1"/>
    <col min="9478" max="9478" width="12.28515625" customWidth="1"/>
    <col min="9479" max="9479" width="10.85546875" bestFit="1" customWidth="1"/>
    <col min="9480" max="9480" width="11.140625" bestFit="1" customWidth="1"/>
    <col min="9481" max="9481" width="10.42578125" customWidth="1"/>
    <col min="9728" max="9728" width="66.28515625" bestFit="1" customWidth="1"/>
    <col min="9729" max="9729" width="20.7109375" bestFit="1" customWidth="1"/>
    <col min="9730" max="9730" width="10.5703125" customWidth="1"/>
    <col min="9731" max="9731" width="10.5703125" bestFit="1" customWidth="1"/>
    <col min="9733" max="9733" width="10.140625" customWidth="1"/>
    <col min="9734" max="9734" width="12.28515625" customWidth="1"/>
    <col min="9735" max="9735" width="10.85546875" bestFit="1" customWidth="1"/>
    <col min="9736" max="9736" width="11.140625" bestFit="1" customWidth="1"/>
    <col min="9737" max="9737" width="10.42578125" customWidth="1"/>
    <col min="9984" max="9984" width="66.28515625" bestFit="1" customWidth="1"/>
    <col min="9985" max="9985" width="20.7109375" bestFit="1" customWidth="1"/>
    <col min="9986" max="9986" width="10.5703125" customWidth="1"/>
    <col min="9987" max="9987" width="10.5703125" bestFit="1" customWidth="1"/>
    <col min="9989" max="9989" width="10.140625" customWidth="1"/>
    <col min="9990" max="9990" width="12.28515625" customWidth="1"/>
    <col min="9991" max="9991" width="10.85546875" bestFit="1" customWidth="1"/>
    <col min="9992" max="9992" width="11.140625" bestFit="1" customWidth="1"/>
    <col min="9993" max="9993" width="10.42578125" customWidth="1"/>
    <col min="10240" max="10240" width="66.28515625" bestFit="1" customWidth="1"/>
    <col min="10241" max="10241" width="20.7109375" bestFit="1" customWidth="1"/>
    <col min="10242" max="10242" width="10.5703125" customWidth="1"/>
    <col min="10243" max="10243" width="10.5703125" bestFit="1" customWidth="1"/>
    <col min="10245" max="10245" width="10.140625" customWidth="1"/>
    <col min="10246" max="10246" width="12.28515625" customWidth="1"/>
    <col min="10247" max="10247" width="10.85546875" bestFit="1" customWidth="1"/>
    <col min="10248" max="10248" width="11.140625" bestFit="1" customWidth="1"/>
    <col min="10249" max="10249" width="10.42578125" customWidth="1"/>
    <col min="10496" max="10496" width="66.28515625" bestFit="1" customWidth="1"/>
    <col min="10497" max="10497" width="20.7109375" bestFit="1" customWidth="1"/>
    <col min="10498" max="10498" width="10.5703125" customWidth="1"/>
    <col min="10499" max="10499" width="10.5703125" bestFit="1" customWidth="1"/>
    <col min="10501" max="10501" width="10.140625" customWidth="1"/>
    <col min="10502" max="10502" width="12.28515625" customWidth="1"/>
    <col min="10503" max="10503" width="10.85546875" bestFit="1" customWidth="1"/>
    <col min="10504" max="10504" width="11.140625" bestFit="1" customWidth="1"/>
    <col min="10505" max="10505" width="10.42578125" customWidth="1"/>
    <col min="10752" max="10752" width="66.28515625" bestFit="1" customWidth="1"/>
    <col min="10753" max="10753" width="20.7109375" bestFit="1" customWidth="1"/>
    <col min="10754" max="10754" width="10.5703125" customWidth="1"/>
    <col min="10755" max="10755" width="10.5703125" bestFit="1" customWidth="1"/>
    <col min="10757" max="10757" width="10.140625" customWidth="1"/>
    <col min="10758" max="10758" width="12.28515625" customWidth="1"/>
    <col min="10759" max="10759" width="10.85546875" bestFit="1" customWidth="1"/>
    <col min="10760" max="10760" width="11.140625" bestFit="1" customWidth="1"/>
    <col min="10761" max="10761" width="10.42578125" customWidth="1"/>
    <col min="11008" max="11008" width="66.28515625" bestFit="1" customWidth="1"/>
    <col min="11009" max="11009" width="20.7109375" bestFit="1" customWidth="1"/>
    <col min="11010" max="11010" width="10.5703125" customWidth="1"/>
    <col min="11011" max="11011" width="10.5703125" bestFit="1" customWidth="1"/>
    <col min="11013" max="11013" width="10.140625" customWidth="1"/>
    <col min="11014" max="11014" width="12.28515625" customWidth="1"/>
    <col min="11015" max="11015" width="10.85546875" bestFit="1" customWidth="1"/>
    <col min="11016" max="11016" width="11.140625" bestFit="1" customWidth="1"/>
    <col min="11017" max="11017" width="10.42578125" customWidth="1"/>
    <col min="11264" max="11264" width="66.28515625" bestFit="1" customWidth="1"/>
    <col min="11265" max="11265" width="20.7109375" bestFit="1" customWidth="1"/>
    <col min="11266" max="11266" width="10.5703125" customWidth="1"/>
    <col min="11267" max="11267" width="10.5703125" bestFit="1" customWidth="1"/>
    <col min="11269" max="11269" width="10.140625" customWidth="1"/>
    <col min="11270" max="11270" width="12.28515625" customWidth="1"/>
    <col min="11271" max="11271" width="10.85546875" bestFit="1" customWidth="1"/>
    <col min="11272" max="11272" width="11.140625" bestFit="1" customWidth="1"/>
    <col min="11273" max="11273" width="10.42578125" customWidth="1"/>
    <col min="11520" max="11520" width="66.28515625" bestFit="1" customWidth="1"/>
    <col min="11521" max="11521" width="20.7109375" bestFit="1" customWidth="1"/>
    <col min="11522" max="11522" width="10.5703125" customWidth="1"/>
    <col min="11523" max="11523" width="10.5703125" bestFit="1" customWidth="1"/>
    <col min="11525" max="11525" width="10.140625" customWidth="1"/>
    <col min="11526" max="11526" width="12.28515625" customWidth="1"/>
    <col min="11527" max="11527" width="10.85546875" bestFit="1" customWidth="1"/>
    <col min="11528" max="11528" width="11.140625" bestFit="1" customWidth="1"/>
    <col min="11529" max="11529" width="10.42578125" customWidth="1"/>
    <col min="11776" max="11776" width="66.28515625" bestFit="1" customWidth="1"/>
    <col min="11777" max="11777" width="20.7109375" bestFit="1" customWidth="1"/>
    <col min="11778" max="11778" width="10.5703125" customWidth="1"/>
    <col min="11779" max="11779" width="10.5703125" bestFit="1" customWidth="1"/>
    <col min="11781" max="11781" width="10.140625" customWidth="1"/>
    <col min="11782" max="11782" width="12.28515625" customWidth="1"/>
    <col min="11783" max="11783" width="10.85546875" bestFit="1" customWidth="1"/>
    <col min="11784" max="11784" width="11.140625" bestFit="1" customWidth="1"/>
    <col min="11785" max="11785" width="10.42578125" customWidth="1"/>
    <col min="12032" max="12032" width="66.28515625" bestFit="1" customWidth="1"/>
    <col min="12033" max="12033" width="20.7109375" bestFit="1" customWidth="1"/>
    <col min="12034" max="12034" width="10.5703125" customWidth="1"/>
    <col min="12035" max="12035" width="10.5703125" bestFit="1" customWidth="1"/>
    <col min="12037" max="12037" width="10.140625" customWidth="1"/>
    <col min="12038" max="12038" width="12.28515625" customWidth="1"/>
    <col min="12039" max="12039" width="10.85546875" bestFit="1" customWidth="1"/>
    <col min="12040" max="12040" width="11.140625" bestFit="1" customWidth="1"/>
    <col min="12041" max="12041" width="10.42578125" customWidth="1"/>
    <col min="12288" max="12288" width="66.28515625" bestFit="1" customWidth="1"/>
    <col min="12289" max="12289" width="20.7109375" bestFit="1" customWidth="1"/>
    <col min="12290" max="12290" width="10.5703125" customWidth="1"/>
    <col min="12291" max="12291" width="10.5703125" bestFit="1" customWidth="1"/>
    <col min="12293" max="12293" width="10.140625" customWidth="1"/>
    <col min="12294" max="12294" width="12.28515625" customWidth="1"/>
    <col min="12295" max="12295" width="10.85546875" bestFit="1" customWidth="1"/>
    <col min="12296" max="12296" width="11.140625" bestFit="1" customWidth="1"/>
    <col min="12297" max="12297" width="10.42578125" customWidth="1"/>
    <col min="12544" max="12544" width="66.28515625" bestFit="1" customWidth="1"/>
    <col min="12545" max="12545" width="20.7109375" bestFit="1" customWidth="1"/>
    <col min="12546" max="12546" width="10.5703125" customWidth="1"/>
    <col min="12547" max="12547" width="10.5703125" bestFit="1" customWidth="1"/>
    <col min="12549" max="12549" width="10.140625" customWidth="1"/>
    <col min="12550" max="12550" width="12.28515625" customWidth="1"/>
    <col min="12551" max="12551" width="10.85546875" bestFit="1" customWidth="1"/>
    <col min="12552" max="12552" width="11.140625" bestFit="1" customWidth="1"/>
    <col min="12553" max="12553" width="10.42578125" customWidth="1"/>
    <col min="12800" max="12800" width="66.28515625" bestFit="1" customWidth="1"/>
    <col min="12801" max="12801" width="20.7109375" bestFit="1" customWidth="1"/>
    <col min="12802" max="12802" width="10.5703125" customWidth="1"/>
    <col min="12803" max="12803" width="10.5703125" bestFit="1" customWidth="1"/>
    <col min="12805" max="12805" width="10.140625" customWidth="1"/>
    <col min="12806" max="12806" width="12.28515625" customWidth="1"/>
    <col min="12807" max="12807" width="10.85546875" bestFit="1" customWidth="1"/>
    <col min="12808" max="12808" width="11.140625" bestFit="1" customWidth="1"/>
    <col min="12809" max="12809" width="10.42578125" customWidth="1"/>
    <col min="13056" max="13056" width="66.28515625" bestFit="1" customWidth="1"/>
    <col min="13057" max="13057" width="20.7109375" bestFit="1" customWidth="1"/>
    <col min="13058" max="13058" width="10.5703125" customWidth="1"/>
    <col min="13059" max="13059" width="10.5703125" bestFit="1" customWidth="1"/>
    <col min="13061" max="13061" width="10.140625" customWidth="1"/>
    <col min="13062" max="13062" width="12.28515625" customWidth="1"/>
    <col min="13063" max="13063" width="10.85546875" bestFit="1" customWidth="1"/>
    <col min="13064" max="13064" width="11.140625" bestFit="1" customWidth="1"/>
    <col min="13065" max="13065" width="10.42578125" customWidth="1"/>
    <col min="13312" max="13312" width="66.28515625" bestFit="1" customWidth="1"/>
    <col min="13313" max="13313" width="20.7109375" bestFit="1" customWidth="1"/>
    <col min="13314" max="13314" width="10.5703125" customWidth="1"/>
    <col min="13315" max="13315" width="10.5703125" bestFit="1" customWidth="1"/>
    <col min="13317" max="13317" width="10.140625" customWidth="1"/>
    <col min="13318" max="13318" width="12.28515625" customWidth="1"/>
    <col min="13319" max="13319" width="10.85546875" bestFit="1" customWidth="1"/>
    <col min="13320" max="13320" width="11.140625" bestFit="1" customWidth="1"/>
    <col min="13321" max="13321" width="10.42578125" customWidth="1"/>
    <col min="13568" max="13568" width="66.28515625" bestFit="1" customWidth="1"/>
    <col min="13569" max="13569" width="20.7109375" bestFit="1" customWidth="1"/>
    <col min="13570" max="13570" width="10.5703125" customWidth="1"/>
    <col min="13571" max="13571" width="10.5703125" bestFit="1" customWidth="1"/>
    <col min="13573" max="13573" width="10.140625" customWidth="1"/>
    <col min="13574" max="13574" width="12.28515625" customWidth="1"/>
    <col min="13575" max="13575" width="10.85546875" bestFit="1" customWidth="1"/>
    <col min="13576" max="13576" width="11.140625" bestFit="1" customWidth="1"/>
    <col min="13577" max="13577" width="10.42578125" customWidth="1"/>
    <col min="13824" max="13824" width="66.28515625" bestFit="1" customWidth="1"/>
    <col min="13825" max="13825" width="20.7109375" bestFit="1" customWidth="1"/>
    <col min="13826" max="13826" width="10.5703125" customWidth="1"/>
    <col min="13827" max="13827" width="10.5703125" bestFit="1" customWidth="1"/>
    <col min="13829" max="13829" width="10.140625" customWidth="1"/>
    <col min="13830" max="13830" width="12.28515625" customWidth="1"/>
    <col min="13831" max="13831" width="10.85546875" bestFit="1" customWidth="1"/>
    <col min="13832" max="13832" width="11.140625" bestFit="1" customWidth="1"/>
    <col min="13833" max="13833" width="10.42578125" customWidth="1"/>
    <col min="14080" max="14080" width="66.28515625" bestFit="1" customWidth="1"/>
    <col min="14081" max="14081" width="20.7109375" bestFit="1" customWidth="1"/>
    <col min="14082" max="14082" width="10.5703125" customWidth="1"/>
    <col min="14083" max="14083" width="10.5703125" bestFit="1" customWidth="1"/>
    <col min="14085" max="14085" width="10.140625" customWidth="1"/>
    <col min="14086" max="14086" width="12.28515625" customWidth="1"/>
    <col min="14087" max="14087" width="10.85546875" bestFit="1" customWidth="1"/>
    <col min="14088" max="14088" width="11.140625" bestFit="1" customWidth="1"/>
    <col min="14089" max="14089" width="10.42578125" customWidth="1"/>
    <col min="14336" max="14336" width="66.28515625" bestFit="1" customWidth="1"/>
    <col min="14337" max="14337" width="20.7109375" bestFit="1" customWidth="1"/>
    <col min="14338" max="14338" width="10.5703125" customWidth="1"/>
    <col min="14339" max="14339" width="10.5703125" bestFit="1" customWidth="1"/>
    <col min="14341" max="14341" width="10.140625" customWidth="1"/>
    <col min="14342" max="14342" width="12.28515625" customWidth="1"/>
    <col min="14343" max="14343" width="10.85546875" bestFit="1" customWidth="1"/>
    <col min="14344" max="14344" width="11.140625" bestFit="1" customWidth="1"/>
    <col min="14345" max="14345" width="10.42578125" customWidth="1"/>
    <col min="14592" max="14592" width="66.28515625" bestFit="1" customWidth="1"/>
    <col min="14593" max="14593" width="20.7109375" bestFit="1" customWidth="1"/>
    <col min="14594" max="14594" width="10.5703125" customWidth="1"/>
    <col min="14595" max="14595" width="10.5703125" bestFit="1" customWidth="1"/>
    <col min="14597" max="14597" width="10.140625" customWidth="1"/>
    <col min="14598" max="14598" width="12.28515625" customWidth="1"/>
    <col min="14599" max="14599" width="10.85546875" bestFit="1" customWidth="1"/>
    <col min="14600" max="14600" width="11.140625" bestFit="1" customWidth="1"/>
    <col min="14601" max="14601" width="10.42578125" customWidth="1"/>
    <col min="14848" max="14848" width="66.28515625" bestFit="1" customWidth="1"/>
    <col min="14849" max="14849" width="20.7109375" bestFit="1" customWidth="1"/>
    <col min="14850" max="14850" width="10.5703125" customWidth="1"/>
    <col min="14851" max="14851" width="10.5703125" bestFit="1" customWidth="1"/>
    <col min="14853" max="14853" width="10.140625" customWidth="1"/>
    <col min="14854" max="14854" width="12.28515625" customWidth="1"/>
    <col min="14855" max="14855" width="10.85546875" bestFit="1" customWidth="1"/>
    <col min="14856" max="14856" width="11.140625" bestFit="1" customWidth="1"/>
    <col min="14857" max="14857" width="10.42578125" customWidth="1"/>
    <col min="15104" max="15104" width="66.28515625" bestFit="1" customWidth="1"/>
    <col min="15105" max="15105" width="20.7109375" bestFit="1" customWidth="1"/>
    <col min="15106" max="15106" width="10.5703125" customWidth="1"/>
    <col min="15107" max="15107" width="10.5703125" bestFit="1" customWidth="1"/>
    <col min="15109" max="15109" width="10.140625" customWidth="1"/>
    <col min="15110" max="15110" width="12.28515625" customWidth="1"/>
    <col min="15111" max="15111" width="10.85546875" bestFit="1" customWidth="1"/>
    <col min="15112" max="15112" width="11.140625" bestFit="1" customWidth="1"/>
    <col min="15113" max="15113" width="10.42578125" customWidth="1"/>
    <col min="15360" max="15360" width="66.28515625" bestFit="1" customWidth="1"/>
    <col min="15361" max="15361" width="20.7109375" bestFit="1" customWidth="1"/>
    <col min="15362" max="15362" width="10.5703125" customWidth="1"/>
    <col min="15363" max="15363" width="10.5703125" bestFit="1" customWidth="1"/>
    <col min="15365" max="15365" width="10.140625" customWidth="1"/>
    <col min="15366" max="15366" width="12.28515625" customWidth="1"/>
    <col min="15367" max="15367" width="10.85546875" bestFit="1" customWidth="1"/>
    <col min="15368" max="15368" width="11.140625" bestFit="1" customWidth="1"/>
    <col min="15369" max="15369" width="10.42578125" customWidth="1"/>
    <col min="15616" max="15616" width="66.28515625" bestFit="1" customWidth="1"/>
    <col min="15617" max="15617" width="20.7109375" bestFit="1" customWidth="1"/>
    <col min="15618" max="15618" width="10.5703125" customWidth="1"/>
    <col min="15619" max="15619" width="10.5703125" bestFit="1" customWidth="1"/>
    <col min="15621" max="15621" width="10.140625" customWidth="1"/>
    <col min="15622" max="15622" width="12.28515625" customWidth="1"/>
    <col min="15623" max="15623" width="10.85546875" bestFit="1" customWidth="1"/>
    <col min="15624" max="15624" width="11.140625" bestFit="1" customWidth="1"/>
    <col min="15625" max="15625" width="10.42578125" customWidth="1"/>
    <col min="15872" max="15872" width="66.28515625" bestFit="1" customWidth="1"/>
    <col min="15873" max="15873" width="20.7109375" bestFit="1" customWidth="1"/>
    <col min="15874" max="15874" width="10.5703125" customWidth="1"/>
    <col min="15875" max="15875" width="10.5703125" bestFit="1" customWidth="1"/>
    <col min="15877" max="15877" width="10.140625" customWidth="1"/>
    <col min="15878" max="15878" width="12.28515625" customWidth="1"/>
    <col min="15879" max="15879" width="10.85546875" bestFit="1" customWidth="1"/>
    <col min="15880" max="15880" width="11.140625" bestFit="1" customWidth="1"/>
    <col min="15881" max="15881" width="10.42578125" customWidth="1"/>
    <col min="16128" max="16128" width="66.28515625" bestFit="1" customWidth="1"/>
    <col min="16129" max="16129" width="20.7109375" bestFit="1" customWidth="1"/>
    <col min="16130" max="16130" width="10.5703125" customWidth="1"/>
    <col min="16131" max="16131" width="10.5703125" bestFit="1" customWidth="1"/>
    <col min="16133" max="16133" width="10.140625" customWidth="1"/>
    <col min="16134" max="16134" width="12.28515625" customWidth="1"/>
    <col min="16135" max="16135" width="10.85546875" bestFit="1" customWidth="1"/>
    <col min="16136" max="16136" width="11.140625" bestFit="1" customWidth="1"/>
    <col min="16137" max="16137" width="10.42578125" customWidth="1"/>
  </cols>
  <sheetData>
    <row r="1" spans="1:10" ht="16.5" thickBot="1" x14ac:dyDescent="0.3">
      <c r="A1" s="203" t="s">
        <v>128</v>
      </c>
      <c r="B1" s="204"/>
      <c r="C1" s="204"/>
      <c r="D1" s="204"/>
      <c r="E1" s="204"/>
      <c r="F1" s="204"/>
      <c r="G1" s="204"/>
      <c r="H1" s="204"/>
      <c r="I1" s="204"/>
      <c r="J1" s="205"/>
    </row>
    <row r="3" spans="1:10" x14ac:dyDescent="0.2">
      <c r="A3" s="12" t="s">
        <v>13</v>
      </c>
      <c r="B3" s="12" t="s">
        <v>121</v>
      </c>
    </row>
    <row r="4" spans="1:10" x14ac:dyDescent="0.2">
      <c r="A4" s="14" t="s">
        <v>62</v>
      </c>
      <c r="B4" s="78">
        <v>175000</v>
      </c>
    </row>
    <row r="5" spans="1:10" x14ac:dyDescent="0.2">
      <c r="A5" s="14" t="s">
        <v>16</v>
      </c>
      <c r="B5" s="78">
        <v>500</v>
      </c>
    </row>
    <row r="6" spans="1:10" x14ac:dyDescent="0.2">
      <c r="A6" s="14" t="s">
        <v>20</v>
      </c>
      <c r="B6" s="79">
        <f>VLOOKUP($B$3,'Data for Bill Impacts'!$A$3:$Y$25,2,0)</f>
        <v>1.0563</v>
      </c>
    </row>
    <row r="7" spans="1:10" x14ac:dyDescent="0.2">
      <c r="A7" s="80" t="s">
        <v>48</v>
      </c>
      <c r="B7" s="81">
        <f>B4/(B5*730)</f>
        <v>0.47945205479452052</v>
      </c>
    </row>
    <row r="8" spans="1:10" x14ac:dyDescent="0.2">
      <c r="A8" s="14" t="s">
        <v>15</v>
      </c>
      <c r="B8" s="78">
        <f>VLOOKUP($B$3,'Data for Bill Impacts'!$A$3:$Y$25,4,0)</f>
        <v>0</v>
      </c>
    </row>
    <row r="9" spans="1:10" x14ac:dyDescent="0.2">
      <c r="A9" s="14" t="s">
        <v>82</v>
      </c>
      <c r="B9" s="78">
        <f>B4*B6</f>
        <v>184852.5</v>
      </c>
    </row>
    <row r="10" spans="1:10" x14ac:dyDescent="0.2">
      <c r="A10" s="14" t="s">
        <v>21</v>
      </c>
      <c r="B10" s="15" t="s">
        <v>19</v>
      </c>
    </row>
    <row r="11" spans="1:10" ht="13.5" thickBot="1" x14ac:dyDescent="0.25"/>
    <row r="12" spans="1:10" s="19" customFormat="1" ht="26.25" thickBot="1" x14ac:dyDescent="0.25">
      <c r="A12" s="16"/>
      <c r="B12" s="17" t="s">
        <v>22</v>
      </c>
      <c r="C12" s="17" t="s">
        <v>23</v>
      </c>
      <c r="D12" s="17" t="s">
        <v>24</v>
      </c>
      <c r="E12" s="17" t="s">
        <v>22</v>
      </c>
      <c r="F12" s="17" t="s">
        <v>25</v>
      </c>
      <c r="G12" s="17" t="s">
        <v>26</v>
      </c>
      <c r="H12" s="17" t="s">
        <v>27</v>
      </c>
      <c r="I12" s="17" t="s">
        <v>28</v>
      </c>
      <c r="J12" s="122" t="s">
        <v>49</v>
      </c>
    </row>
    <row r="13" spans="1:10" x14ac:dyDescent="0.2">
      <c r="A13" s="100" t="s">
        <v>31</v>
      </c>
      <c r="B13" s="101">
        <f>B9</f>
        <v>184852.5</v>
      </c>
      <c r="C13" s="102">
        <v>0.10299999999999999</v>
      </c>
      <c r="D13" s="103">
        <f>B13*C13</f>
        <v>19039.807499999999</v>
      </c>
      <c r="E13" s="101">
        <f>B13</f>
        <v>184852.5</v>
      </c>
      <c r="F13" s="102">
        <f>C13</f>
        <v>0.10299999999999999</v>
      </c>
      <c r="G13" s="103">
        <f>E13*F13</f>
        <v>19039.807499999999</v>
      </c>
      <c r="H13" s="103">
        <f>G13-D13</f>
        <v>0</v>
      </c>
      <c r="I13" s="104">
        <f>IF(ISERROR(H13/D13),0,(H13/D13))</f>
        <v>0</v>
      </c>
      <c r="J13" s="123">
        <f t="shared" ref="J13:J30" si="0">G13/$G$38</f>
        <v>0.71841507726010545</v>
      </c>
    </row>
    <row r="14" spans="1:10" x14ac:dyDescent="0.2">
      <c r="A14" s="106" t="s">
        <v>32</v>
      </c>
      <c r="B14" s="72">
        <v>0</v>
      </c>
      <c r="C14" s="20">
        <v>0.121</v>
      </c>
      <c r="D14" s="21">
        <f>B14*C14</f>
        <v>0</v>
      </c>
      <c r="E14" s="72">
        <f t="shared" ref="E14" si="1">B14</f>
        <v>0</v>
      </c>
      <c r="F14" s="20">
        <f>C14</f>
        <v>0.121</v>
      </c>
      <c r="G14" s="21">
        <f>E14*F14</f>
        <v>0</v>
      </c>
      <c r="H14" s="21">
        <f t="shared" ref="H14:H38" si="2">G14-D14</f>
        <v>0</v>
      </c>
      <c r="I14" s="22">
        <f t="shared" ref="I14:I33" si="3">IF(ISERROR(H14/D14),0,(H14/D14))</f>
        <v>0</v>
      </c>
      <c r="J14" s="124">
        <f t="shared" si="0"/>
        <v>0</v>
      </c>
    </row>
    <row r="15" spans="1:10" s="1" customFormat="1" x14ac:dyDescent="0.2">
      <c r="A15" s="45" t="s">
        <v>33</v>
      </c>
      <c r="B15" s="23"/>
      <c r="C15" s="24"/>
      <c r="D15" s="24">
        <f>SUM(D13:D14)</f>
        <v>19039.807499999999</v>
      </c>
      <c r="E15" s="75"/>
      <c r="F15" s="24"/>
      <c r="G15" s="24">
        <f>SUM(G13:G14)</f>
        <v>19039.807499999999</v>
      </c>
      <c r="H15" s="24">
        <f t="shared" si="2"/>
        <v>0</v>
      </c>
      <c r="I15" s="26">
        <f t="shared" si="3"/>
        <v>0</v>
      </c>
      <c r="J15" s="46">
        <f t="shared" si="0"/>
        <v>0.71841507726010545</v>
      </c>
    </row>
    <row r="16" spans="1:10" s="1" customFormat="1" hidden="1" x14ac:dyDescent="0.2">
      <c r="A16" s="106" t="s">
        <v>38</v>
      </c>
      <c r="B16" s="72">
        <v>1</v>
      </c>
      <c r="C16" s="77">
        <f>VLOOKUP($B$3,'Data for Bill Impacts'!$A$3:$Y$25,7,0)</f>
        <v>208.51</v>
      </c>
      <c r="D16" s="21">
        <f>B16*C16</f>
        <v>208.51</v>
      </c>
      <c r="E16" s="72">
        <f t="shared" ref="E16:E31" si="4">B16</f>
        <v>1</v>
      </c>
      <c r="F16" s="77">
        <f>VLOOKUP($B$3,'Data for Bill Impacts'!$A$3:$Y$25,17,0)</f>
        <v>252.3</v>
      </c>
      <c r="G16" s="21">
        <f>E16*F16</f>
        <v>252.3</v>
      </c>
      <c r="H16" s="21">
        <f t="shared" si="2"/>
        <v>43.79000000000002</v>
      </c>
      <c r="I16" s="22">
        <f t="shared" si="3"/>
        <v>0.21001390820584157</v>
      </c>
      <c r="J16" s="124">
        <f t="shared" si="0"/>
        <v>9.5198506598727223E-3</v>
      </c>
    </row>
    <row r="17" spans="1:10" hidden="1" x14ac:dyDescent="0.2">
      <c r="A17" s="106" t="s">
        <v>83</v>
      </c>
      <c r="B17" s="72">
        <v>1</v>
      </c>
      <c r="C17" s="77">
        <f>VLOOKUP($B$3,'Data for Bill Impacts'!$A$3:$Y$25,8,0)</f>
        <v>0</v>
      </c>
      <c r="D17" s="21">
        <f>B17*C17</f>
        <v>0</v>
      </c>
      <c r="E17" s="72">
        <f t="shared" si="4"/>
        <v>1</v>
      </c>
      <c r="F17" s="77">
        <f>VLOOKUP($B$3,'Data for Bill Impacts'!$A$3:$Y$25,12,0)</f>
        <v>0</v>
      </c>
      <c r="G17" s="21">
        <f t="shared" ref="G17:G19" si="5">E17*F17</f>
        <v>0</v>
      </c>
      <c r="H17" s="21">
        <f t="shared" si="2"/>
        <v>0</v>
      </c>
      <c r="I17" s="22">
        <f t="shared" si="3"/>
        <v>0</v>
      </c>
      <c r="J17" s="124">
        <f t="shared" si="0"/>
        <v>0</v>
      </c>
    </row>
    <row r="18" spans="1:10" x14ac:dyDescent="0.2">
      <c r="A18" s="106" t="s">
        <v>84</v>
      </c>
      <c r="B18" s="72">
        <v>1</v>
      </c>
      <c r="C18" s="77">
        <f>VLOOKUP($B$3,'Data for Bill Impacts'!$A$3:$Y$25,11,0)</f>
        <v>0</v>
      </c>
      <c r="D18" s="21">
        <f t="shared" ref="D18:D19" si="6">B18*C18</f>
        <v>0</v>
      </c>
      <c r="E18" s="72">
        <f t="shared" si="4"/>
        <v>1</v>
      </c>
      <c r="F18" s="77">
        <f>VLOOKUP($B$3,'Data for Bill Impacts'!$A$3:$Y$25,20,0)</f>
        <v>0</v>
      </c>
      <c r="G18" s="21">
        <f t="shared" si="5"/>
        <v>0</v>
      </c>
      <c r="H18" s="21">
        <f t="shared" si="2"/>
        <v>0</v>
      </c>
      <c r="I18" s="22">
        <f t="shared" si="3"/>
        <v>0</v>
      </c>
      <c r="J18" s="124">
        <f t="shared" si="0"/>
        <v>0</v>
      </c>
    </row>
    <row r="19" spans="1:10" x14ac:dyDescent="0.2">
      <c r="A19" s="106" t="s">
        <v>85</v>
      </c>
      <c r="B19" s="72">
        <v>1</v>
      </c>
      <c r="C19" s="77">
        <f>VLOOKUP($B$3,'Data for Bill Impacts'!$A$3:$Y$25,13,0)</f>
        <v>0</v>
      </c>
      <c r="D19" s="21">
        <f t="shared" si="6"/>
        <v>0</v>
      </c>
      <c r="E19" s="72">
        <f t="shared" si="4"/>
        <v>1</v>
      </c>
      <c r="F19" s="77">
        <f>VLOOKUP($B$3,'Data for Bill Impacts'!$A$3:$Y$25,22,0)</f>
        <v>0</v>
      </c>
      <c r="G19" s="21">
        <f t="shared" si="5"/>
        <v>0</v>
      </c>
      <c r="H19" s="21">
        <f t="shared" si="2"/>
        <v>0</v>
      </c>
      <c r="I19" s="22">
        <f t="shared" si="3"/>
        <v>0</v>
      </c>
      <c r="J19" s="124">
        <f t="shared" si="0"/>
        <v>0</v>
      </c>
    </row>
    <row r="20" spans="1:10" s="1" customFormat="1" hidden="1" x14ac:dyDescent="0.2">
      <c r="A20" s="106" t="s">
        <v>86</v>
      </c>
      <c r="B20" s="72">
        <f>IF($B$10="kWh",$B$4,$B$5)</f>
        <v>500</v>
      </c>
      <c r="C20" s="77">
        <f>VLOOKUP($B$3,'Data for Bill Impacts'!$A$3:$Y$25,12,0)</f>
        <v>0</v>
      </c>
      <c r="D20" s="21">
        <f>B20*C20</f>
        <v>0</v>
      </c>
      <c r="E20" s="72">
        <f>B20</f>
        <v>500</v>
      </c>
      <c r="F20" s="77">
        <f>VLOOKUP($B$3,'Data for Bill Impacts'!$A$3:$Y$25,12,0)</f>
        <v>0</v>
      </c>
      <c r="G20" s="21">
        <f>E20*F20</f>
        <v>0</v>
      </c>
      <c r="H20" s="21">
        <f>G20-D20</f>
        <v>0</v>
      </c>
      <c r="I20" s="22">
        <f>IF(ISERROR(H20/D20),0,(H20/D20))</f>
        <v>0</v>
      </c>
      <c r="J20" s="124">
        <f t="shared" si="0"/>
        <v>0</v>
      </c>
    </row>
    <row r="21" spans="1:10" s="1" customFormat="1" x14ac:dyDescent="0.2">
      <c r="A21" s="106" t="s">
        <v>129</v>
      </c>
      <c r="B21" s="72">
        <f>IF($B$10="kWh",$B$4,$B$5)</f>
        <v>500</v>
      </c>
      <c r="C21" s="77">
        <f>VLOOKUP($B$3,'Data for Bill Impacts'!$A$3:$Y$25,14,0)</f>
        <v>0</v>
      </c>
      <c r="D21" s="21">
        <f>B21*C21</f>
        <v>0</v>
      </c>
      <c r="E21" s="72">
        <f>B21</f>
        <v>500</v>
      </c>
      <c r="F21" s="77">
        <f>VLOOKUP($B$3,'Data for Bill Impacts'!$A$3:$Y$25,23,0)</f>
        <v>0</v>
      </c>
      <c r="G21" s="21">
        <f>E21*F21</f>
        <v>0</v>
      </c>
      <c r="H21" s="21">
        <f>G21-D21</f>
        <v>0</v>
      </c>
      <c r="I21" s="22">
        <f>IF(ISERROR(H21/D21),0,(H21/D21))</f>
        <v>0</v>
      </c>
      <c r="J21" s="124">
        <f t="shared" si="0"/>
        <v>0</v>
      </c>
    </row>
    <row r="22" spans="1:10" x14ac:dyDescent="0.2">
      <c r="A22" s="106" t="s">
        <v>117</v>
      </c>
      <c r="B22" s="72">
        <f>B9</f>
        <v>184852.5</v>
      </c>
      <c r="C22" s="125">
        <f>VLOOKUP($B$3,'Data for Bill Impacts'!$A$3:$Y$25,20,0)</f>
        <v>0</v>
      </c>
      <c r="D22" s="21">
        <f>B22*C22</f>
        <v>0</v>
      </c>
      <c r="E22" s="72">
        <f t="shared" si="4"/>
        <v>184852.5</v>
      </c>
      <c r="F22" s="125">
        <f>VLOOKUP($B$3,'Data for Bill Impacts'!$A$3:$Y$25,21,0)</f>
        <v>0</v>
      </c>
      <c r="G22" s="21">
        <f>E22*F22</f>
        <v>0</v>
      </c>
      <c r="H22" s="21">
        <f t="shared" si="2"/>
        <v>0</v>
      </c>
      <c r="I22" s="22">
        <f t="shared" si="3"/>
        <v>0</v>
      </c>
      <c r="J22" s="124">
        <f t="shared" si="0"/>
        <v>0</v>
      </c>
    </row>
    <row r="23" spans="1:10" x14ac:dyDescent="0.2">
      <c r="A23" s="109" t="s">
        <v>79</v>
      </c>
      <c r="B23" s="73"/>
      <c r="C23" s="154"/>
      <c r="D23" s="34">
        <f>SUM(D16:D22)</f>
        <v>208.51</v>
      </c>
      <c r="E23" s="72"/>
      <c r="F23" s="34"/>
      <c r="G23" s="34">
        <f>SUM(G16:G22)</f>
        <v>252.3</v>
      </c>
      <c r="H23" s="34">
        <f t="shared" si="2"/>
        <v>43.79000000000002</v>
      </c>
      <c r="I23" s="35">
        <f t="shared" si="3"/>
        <v>0.21001390820584157</v>
      </c>
      <c r="J23" s="110">
        <f t="shared" si="0"/>
        <v>9.5198506598727223E-3</v>
      </c>
    </row>
    <row r="24" spans="1:10" x14ac:dyDescent="0.2">
      <c r="A24" s="106" t="s">
        <v>40</v>
      </c>
      <c r="B24" s="72">
        <f>B5</f>
        <v>500</v>
      </c>
      <c r="C24" s="125">
        <f>VLOOKUP($B$3,'Data for Bill Impacts'!$A$3:$Y$25,15,0)</f>
        <v>1.8483000000000001</v>
      </c>
      <c r="D24" s="21">
        <f>B24*C24</f>
        <v>924.15</v>
      </c>
      <c r="E24" s="72">
        <f t="shared" si="4"/>
        <v>500</v>
      </c>
      <c r="F24" s="77">
        <f>VLOOKUP($B$3,'Data for Bill Impacts'!$A$3:$Y$25,24,0)</f>
        <v>1.8483000000000001</v>
      </c>
      <c r="G24" s="21">
        <f>E24*F24</f>
        <v>924.15</v>
      </c>
      <c r="H24" s="21">
        <f t="shared" si="2"/>
        <v>0</v>
      </c>
      <c r="I24" s="22">
        <f t="shared" si="3"/>
        <v>0</v>
      </c>
      <c r="J24" s="124">
        <f t="shared" si="0"/>
        <v>3.4870273433695503E-2</v>
      </c>
    </row>
    <row r="25" spans="1:10" s="1" customFormat="1" x14ac:dyDescent="0.2">
      <c r="A25" s="106" t="s">
        <v>41</v>
      </c>
      <c r="B25" s="72">
        <f>B5</f>
        <v>500</v>
      </c>
      <c r="C25" s="77">
        <f>VLOOKUP($B$3,'Data for Bill Impacts'!$A$3:$Y$25,16,0)</f>
        <v>1.5101</v>
      </c>
      <c r="D25" s="21">
        <f>B25*C25</f>
        <v>755.05</v>
      </c>
      <c r="E25" s="72">
        <f t="shared" si="4"/>
        <v>500</v>
      </c>
      <c r="F25" s="77">
        <f>VLOOKUP($B$3,'Data for Bill Impacts'!$A$3:$Y$25,25,0)</f>
        <v>1.5101</v>
      </c>
      <c r="G25" s="21">
        <f>E25*F25</f>
        <v>755.05</v>
      </c>
      <c r="H25" s="21">
        <f t="shared" si="2"/>
        <v>0</v>
      </c>
      <c r="I25" s="22">
        <f t="shared" si="3"/>
        <v>0</v>
      </c>
      <c r="J25" s="124">
        <f t="shared" si="0"/>
        <v>2.8489747287898926E-2</v>
      </c>
    </row>
    <row r="26" spans="1:10" x14ac:dyDescent="0.2">
      <c r="A26" s="109" t="s">
        <v>76</v>
      </c>
      <c r="B26" s="73"/>
      <c r="C26" s="34"/>
      <c r="D26" s="34">
        <f>SUM(D24:D25)</f>
        <v>1679.1999999999998</v>
      </c>
      <c r="E26" s="72"/>
      <c r="F26" s="34"/>
      <c r="G26" s="34">
        <f>SUM(G24:G25)</f>
        <v>1679.1999999999998</v>
      </c>
      <c r="H26" s="34">
        <f t="shared" si="2"/>
        <v>0</v>
      </c>
      <c r="I26" s="35">
        <f t="shared" si="3"/>
        <v>0</v>
      </c>
      <c r="J26" s="110">
        <f t="shared" si="0"/>
        <v>6.3360020721594426E-2</v>
      </c>
    </row>
    <row r="27" spans="1:10" s="1" customFormat="1" x14ac:dyDescent="0.2">
      <c r="A27" s="109" t="s">
        <v>80</v>
      </c>
      <c r="B27" s="73"/>
      <c r="C27" s="34"/>
      <c r="D27" s="34">
        <f>D23+D26</f>
        <v>1887.7099999999998</v>
      </c>
      <c r="E27" s="72"/>
      <c r="F27" s="34"/>
      <c r="G27" s="34">
        <f>G23+G26</f>
        <v>1931.4999999999998</v>
      </c>
      <c r="H27" s="34">
        <f t="shared" si="2"/>
        <v>43.789999999999964</v>
      </c>
      <c r="I27" s="35">
        <f t="shared" si="3"/>
        <v>2.3197419095094037E-2</v>
      </c>
      <c r="J27" s="110">
        <f t="shared" si="0"/>
        <v>7.2879871381467148E-2</v>
      </c>
    </row>
    <row r="28" spans="1:10" x14ac:dyDescent="0.2">
      <c r="A28" s="106" t="s">
        <v>42</v>
      </c>
      <c r="B28" s="72">
        <f>B9</f>
        <v>184852.5</v>
      </c>
      <c r="C28" s="33">
        <v>3.5999999999999999E-3</v>
      </c>
      <c r="D28" s="21">
        <f>B28*C28</f>
        <v>665.46899999999994</v>
      </c>
      <c r="E28" s="72">
        <f t="shared" si="4"/>
        <v>184852.5</v>
      </c>
      <c r="F28" s="33">
        <v>3.5999999999999999E-3</v>
      </c>
      <c r="G28" s="21">
        <f>E28*F28</f>
        <v>665.46899999999994</v>
      </c>
      <c r="H28" s="21">
        <f t="shared" si="2"/>
        <v>0</v>
      </c>
      <c r="I28" s="22">
        <f t="shared" si="3"/>
        <v>0</v>
      </c>
      <c r="J28" s="124">
        <f t="shared" si="0"/>
        <v>2.5109653185790091E-2</v>
      </c>
    </row>
    <row r="29" spans="1:10" x14ac:dyDescent="0.2">
      <c r="A29" s="106" t="s">
        <v>43</v>
      </c>
      <c r="B29" s="72">
        <f>B9</f>
        <v>184852.5</v>
      </c>
      <c r="C29" s="33">
        <v>2.0999999999999999E-3</v>
      </c>
      <c r="D29" s="21">
        <f>B29*C29</f>
        <v>388.19024999999999</v>
      </c>
      <c r="E29" s="72">
        <f t="shared" si="4"/>
        <v>184852.5</v>
      </c>
      <c r="F29" s="33">
        <v>2.0999999999999999E-3</v>
      </c>
      <c r="G29" s="21">
        <f>E29*F29</f>
        <v>388.19024999999999</v>
      </c>
      <c r="H29" s="21">
        <f>G29-D29</f>
        <v>0</v>
      </c>
      <c r="I29" s="22">
        <f t="shared" si="3"/>
        <v>0</v>
      </c>
      <c r="J29" s="124">
        <f t="shared" si="0"/>
        <v>1.4647297691710888E-2</v>
      </c>
    </row>
    <row r="30" spans="1:10" x14ac:dyDescent="0.2">
      <c r="A30" s="106" t="s">
        <v>99</v>
      </c>
      <c r="B30" s="72">
        <f>B9</f>
        <v>184852.5</v>
      </c>
      <c r="C30" s="33">
        <v>1.1000000000000001E-3</v>
      </c>
      <c r="D30" s="21">
        <f>B30*C30</f>
        <v>203.33775</v>
      </c>
      <c r="E30" s="72">
        <f t="shared" si="4"/>
        <v>184852.5</v>
      </c>
      <c r="F30" s="33">
        <v>1.1000000000000001E-3</v>
      </c>
      <c r="G30" s="21">
        <f>E30*F30</f>
        <v>203.33775</v>
      </c>
      <c r="H30" s="21">
        <f>G30-D30</f>
        <v>0</v>
      </c>
      <c r="I30" s="22">
        <f t="shared" si="3"/>
        <v>0</v>
      </c>
      <c r="J30" s="124">
        <f t="shared" si="0"/>
        <v>7.6723940289914177E-3</v>
      </c>
    </row>
    <row r="31" spans="1:10" x14ac:dyDescent="0.2">
      <c r="A31" s="106" t="s">
        <v>44</v>
      </c>
      <c r="B31" s="72">
        <v>1</v>
      </c>
      <c r="C31" s="21">
        <v>0.25</v>
      </c>
      <c r="D31" s="21">
        <f>B31*C31</f>
        <v>0.25</v>
      </c>
      <c r="E31" s="72">
        <f t="shared" si="4"/>
        <v>1</v>
      </c>
      <c r="F31" s="21">
        <f>C31</f>
        <v>0.25</v>
      </c>
      <c r="G31" s="21">
        <f>E31*F31</f>
        <v>0.25</v>
      </c>
      <c r="H31" s="21">
        <f t="shared" si="2"/>
        <v>0</v>
      </c>
      <c r="I31" s="22">
        <f t="shared" si="3"/>
        <v>0</v>
      </c>
      <c r="J31" s="124">
        <f>G31/$G$38</f>
        <v>9.4330664485460989E-6</v>
      </c>
    </row>
    <row r="32" spans="1:10" x14ac:dyDescent="0.2">
      <c r="A32" s="109" t="s">
        <v>45</v>
      </c>
      <c r="B32" s="73"/>
      <c r="C32" s="34"/>
      <c r="D32" s="34">
        <f>SUM(D28:D31)</f>
        <v>1257.2469999999998</v>
      </c>
      <c r="E32" s="72"/>
      <c r="F32" s="34"/>
      <c r="G32" s="34">
        <f>SUM(G28:G31)</f>
        <v>1257.2469999999998</v>
      </c>
      <c r="H32" s="34">
        <f t="shared" si="2"/>
        <v>0</v>
      </c>
      <c r="I32" s="35">
        <f t="shared" si="3"/>
        <v>0</v>
      </c>
      <c r="J32" s="110">
        <f>G32/$G$38</f>
        <v>4.7438777972940938E-2</v>
      </c>
    </row>
    <row r="33" spans="1:10" ht="13.5" thickBot="1" x14ac:dyDescent="0.25">
      <c r="A33" s="111" t="s">
        <v>46</v>
      </c>
      <c r="B33" s="112">
        <f>B4</f>
        <v>175000</v>
      </c>
      <c r="C33" s="113">
        <v>7.0000000000000001E-3</v>
      </c>
      <c r="D33" s="114">
        <f>B33*C33</f>
        <v>1225</v>
      </c>
      <c r="E33" s="115">
        <f t="shared" ref="E33" si="7">B33</f>
        <v>175000</v>
      </c>
      <c r="F33" s="113">
        <f>C33</f>
        <v>7.0000000000000001E-3</v>
      </c>
      <c r="G33" s="114">
        <f>E33*F33</f>
        <v>1225</v>
      </c>
      <c r="H33" s="114">
        <f t="shared" si="2"/>
        <v>0</v>
      </c>
      <c r="I33" s="116">
        <f t="shared" si="3"/>
        <v>0</v>
      </c>
      <c r="J33" s="117">
        <f t="shared" ref="J33:J38" si="8">G33/$G$38</f>
        <v>4.6222025597875881E-2</v>
      </c>
    </row>
    <row r="34" spans="1:10" x14ac:dyDescent="0.2">
      <c r="A34" s="36" t="s">
        <v>116</v>
      </c>
      <c r="B34" s="37"/>
      <c r="C34" s="38"/>
      <c r="D34" s="38">
        <f>SUM(D15,D23,D26,D32,D33)</f>
        <v>23409.764499999997</v>
      </c>
      <c r="E34" s="37"/>
      <c r="F34" s="38"/>
      <c r="G34" s="38">
        <f>SUM(G15,G23,G26,G32,G33)</f>
        <v>23453.554499999998</v>
      </c>
      <c r="H34" s="38">
        <f t="shared" si="2"/>
        <v>43.790000000000873</v>
      </c>
      <c r="I34" s="39">
        <f>IF(ISERROR(H34/D34),0,(H34/D34))</f>
        <v>1.8705869510135772E-3</v>
      </c>
      <c r="J34" s="40">
        <f t="shared" si="8"/>
        <v>0.88495575221238942</v>
      </c>
    </row>
    <row r="35" spans="1:10" x14ac:dyDescent="0.2">
      <c r="A35" s="45" t="s">
        <v>108</v>
      </c>
      <c r="B35" s="42"/>
      <c r="C35" s="25">
        <v>0.13</v>
      </c>
      <c r="D35" s="25">
        <f>D34*C35</f>
        <v>3043.2693849999996</v>
      </c>
      <c r="E35" s="25"/>
      <c r="F35" s="25">
        <f>C35</f>
        <v>0.13</v>
      </c>
      <c r="G35" s="25">
        <f>G34*F35</f>
        <v>3048.9620850000001</v>
      </c>
      <c r="H35" s="25">
        <f t="shared" si="2"/>
        <v>5.6927000000005137</v>
      </c>
      <c r="I35" s="43">
        <f t="shared" ref="I35:I38" si="9">IF(ISERROR(H35/D35),0,(H35/D35))</f>
        <v>1.8705869510137088E-3</v>
      </c>
      <c r="J35" s="44">
        <f t="shared" si="8"/>
        <v>0.11504424778761063</v>
      </c>
    </row>
    <row r="36" spans="1:10" x14ac:dyDescent="0.2">
      <c r="A36" s="45" t="s">
        <v>109</v>
      </c>
      <c r="B36" s="23"/>
      <c r="C36" s="24"/>
      <c r="D36" s="24">
        <f>SUM(D34:D35)</f>
        <v>26453.033884999997</v>
      </c>
      <c r="E36" s="24"/>
      <c r="F36" s="24"/>
      <c r="G36" s="24">
        <f>SUM(G34:G35)</f>
        <v>26502.516584999998</v>
      </c>
      <c r="H36" s="24">
        <f t="shared" si="2"/>
        <v>49.482700000000477</v>
      </c>
      <c r="I36" s="26">
        <f t="shared" si="9"/>
        <v>1.8705869510135579E-3</v>
      </c>
      <c r="J36" s="46">
        <f t="shared" si="8"/>
        <v>1</v>
      </c>
    </row>
    <row r="37" spans="1:10" x14ac:dyDescent="0.2">
      <c r="A37" s="45" t="s">
        <v>110</v>
      </c>
      <c r="B37" s="42"/>
      <c r="C37" s="25">
        <v>0</v>
      </c>
      <c r="D37" s="25">
        <f>D34*C37</f>
        <v>0</v>
      </c>
      <c r="E37" s="25"/>
      <c r="F37" s="25">
        <f>C37</f>
        <v>0</v>
      </c>
      <c r="G37" s="25">
        <f>G34*F37</f>
        <v>0</v>
      </c>
      <c r="H37" s="25">
        <f t="shared" si="2"/>
        <v>0</v>
      </c>
      <c r="I37" s="43">
        <f t="shared" si="9"/>
        <v>0</v>
      </c>
      <c r="J37" s="44">
        <f t="shared" si="8"/>
        <v>0</v>
      </c>
    </row>
    <row r="38" spans="1:10" ht="13.5" thickBot="1" x14ac:dyDescent="0.25">
      <c r="A38" s="45" t="s">
        <v>111</v>
      </c>
      <c r="B38" s="48"/>
      <c r="C38" s="49"/>
      <c r="D38" s="49">
        <f>SUM(D36:D37)</f>
        <v>26453.033884999997</v>
      </c>
      <c r="E38" s="49"/>
      <c r="F38" s="49"/>
      <c r="G38" s="49">
        <f>SUM(G36:G37)</f>
        <v>26502.516584999998</v>
      </c>
      <c r="H38" s="49">
        <f t="shared" si="2"/>
        <v>49.482700000000477</v>
      </c>
      <c r="I38" s="50">
        <f t="shared" si="9"/>
        <v>1.8705869510135579E-3</v>
      </c>
      <c r="J38" s="51">
        <f t="shared" si="8"/>
        <v>1</v>
      </c>
    </row>
    <row r="39" spans="1:10" x14ac:dyDescent="0.2">
      <c r="A39" s="185"/>
      <c r="F39" s="68"/>
    </row>
    <row r="40" spans="1:10" x14ac:dyDescent="0.2">
      <c r="A40" s="185"/>
      <c r="F40" s="68"/>
    </row>
    <row r="41" spans="1:10" x14ac:dyDescent="0.2">
      <c r="A41" s="185"/>
    </row>
    <row r="42" spans="1:10" x14ac:dyDescent="0.2">
      <c r="A42" s="185"/>
    </row>
    <row r="43" spans="1:10" x14ac:dyDescent="0.2">
      <c r="A43" s="185"/>
    </row>
    <row r="44" spans="1:10" x14ac:dyDescent="0.2">
      <c r="A44" s="185"/>
    </row>
    <row r="45" spans="1:10" x14ac:dyDescent="0.2">
      <c r="A45" s="185"/>
    </row>
    <row r="46" spans="1:10" x14ac:dyDescent="0.2">
      <c r="A46" s="185"/>
    </row>
    <row r="47" spans="1:10" x14ac:dyDescent="0.2">
      <c r="A47" s="185"/>
    </row>
    <row r="48" spans="1:10" x14ac:dyDescent="0.2">
      <c r="A48" s="185"/>
    </row>
    <row r="49" spans="1:1" x14ac:dyDescent="0.2">
      <c r="A49" s="185"/>
    </row>
    <row r="50" spans="1:1" x14ac:dyDescent="0.2">
      <c r="A50" s="185"/>
    </row>
    <row r="51" spans="1:1" x14ac:dyDescent="0.2">
      <c r="A51" s="185"/>
    </row>
    <row r="52" spans="1:1" x14ac:dyDescent="0.2">
      <c r="A52" s="185"/>
    </row>
    <row r="53" spans="1:1" x14ac:dyDescent="0.2">
      <c r="A53" s="185"/>
    </row>
    <row r="54" spans="1:1" x14ac:dyDescent="0.2">
      <c r="A54" s="185"/>
    </row>
  </sheetData>
  <mergeCells count="1">
    <mergeCell ref="A1:J1"/>
  </mergeCells>
  <dataValidations count="1">
    <dataValidation type="list" allowBlank="1" showInputMessage="1" showErrorMessage="1" sqref="WVI983032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B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B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B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B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B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B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B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B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B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B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B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B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B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B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formula1>Demand</formula1>
    </dataValidation>
  </dataValidation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Impacts'!$A$12:$A$21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tint="0.499984740745262"/>
    <pageSetUpPr fitToPage="1"/>
  </sheetPr>
  <dimension ref="A1:K68"/>
  <sheetViews>
    <sheetView tabSelected="1" topLeftCell="A19"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124</v>
      </c>
      <c r="B1" s="204"/>
      <c r="C1" s="204"/>
      <c r="D1" s="204"/>
      <c r="E1" s="204"/>
      <c r="F1" s="204"/>
      <c r="G1" s="204"/>
      <c r="H1" s="204"/>
      <c r="I1" s="204"/>
      <c r="J1" s="204"/>
      <c r="K1" s="205"/>
    </row>
    <row r="3" spans="1:11" x14ac:dyDescent="0.2">
      <c r="A3" s="12" t="s">
        <v>13</v>
      </c>
      <c r="B3" s="12" t="s">
        <v>1</v>
      </c>
    </row>
    <row r="4" spans="1:11" x14ac:dyDescent="0.2">
      <c r="A4" s="14" t="s">
        <v>62</v>
      </c>
      <c r="B4" s="14">
        <v>400</v>
      </c>
    </row>
    <row r="5" spans="1:11" x14ac:dyDescent="0.2">
      <c r="A5" s="14" t="s">
        <v>16</v>
      </c>
      <c r="B5" s="14">
        <f>VLOOKUP($B$3,'Data for Bill Impacts'!$A$3:$Y$15,5,0)</f>
        <v>0</v>
      </c>
    </row>
    <row r="6" spans="1:11" x14ac:dyDescent="0.2">
      <c r="A6" s="14" t="s">
        <v>20</v>
      </c>
      <c r="B6" s="14">
        <f>VLOOKUP($B$3,'Data for Bill Impacts'!$A$3:$Y$15,2,0)</f>
        <v>1.0760000000000001</v>
      </c>
    </row>
    <row r="7" spans="1:11" x14ac:dyDescent="0.2">
      <c r="A7" s="14" t="s">
        <v>15</v>
      </c>
      <c r="B7" s="14">
        <f>VLOOKUP($B$3,'Data for Bill Impacts'!$A$3:$Y$15,4,0)</f>
        <v>600</v>
      </c>
    </row>
    <row r="8" spans="1:11" x14ac:dyDescent="0.2">
      <c r="A8" s="14" t="s">
        <v>82</v>
      </c>
      <c r="B8" s="149">
        <f>B4*B6</f>
        <v>430.40000000000003</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400</v>
      </c>
      <c r="C12" s="102">
        <v>0.10299999999999999</v>
      </c>
      <c r="D12" s="103">
        <f>B12*C12</f>
        <v>41.199999999999996</v>
      </c>
      <c r="E12" s="101">
        <f>B12</f>
        <v>400</v>
      </c>
      <c r="F12" s="102">
        <f>C12</f>
        <v>0.10299999999999999</v>
      </c>
      <c r="G12" s="103">
        <f>E12*F12</f>
        <v>41.199999999999996</v>
      </c>
      <c r="H12" s="103">
        <f>G12-D12</f>
        <v>0</v>
      </c>
      <c r="I12" s="104">
        <f>IF(ISERROR(H12/D12),0,(H12/D12))</f>
        <v>0</v>
      </c>
      <c r="J12" s="104">
        <f>G12/$G$46</f>
        <v>0.34121222167849113</v>
      </c>
      <c r="K12" s="105"/>
    </row>
    <row r="13" spans="1:11" x14ac:dyDescent="0.2">
      <c r="A13" s="106" t="s">
        <v>32</v>
      </c>
      <c r="B13" s="72">
        <f>IF(B4&gt;B7,(B4)-B7,0)</f>
        <v>0</v>
      </c>
      <c r="C13" s="20">
        <v>0.121</v>
      </c>
      <c r="D13" s="21">
        <f>B13*C13</f>
        <v>0</v>
      </c>
      <c r="E13" s="72">
        <f t="shared" ref="E13" si="0">B13</f>
        <v>0</v>
      </c>
      <c r="F13" s="20">
        <f>C13</f>
        <v>0.121</v>
      </c>
      <c r="G13" s="21">
        <f>E13*F13</f>
        <v>0</v>
      </c>
      <c r="H13" s="21">
        <f t="shared" ref="H13:H46" si="1">G13-D13</f>
        <v>0</v>
      </c>
      <c r="I13" s="22">
        <f t="shared" ref="I13:I46" si="2">IF(ISERROR(H13/D13),0,(H13/D13))</f>
        <v>0</v>
      </c>
      <c r="J13" s="22">
        <f>G13/$G$46</f>
        <v>0</v>
      </c>
      <c r="K13" s="107"/>
    </row>
    <row r="14" spans="1:11" s="1" customFormat="1" x14ac:dyDescent="0.2">
      <c r="A14" s="45" t="s">
        <v>33</v>
      </c>
      <c r="B14" s="23"/>
      <c r="C14" s="24"/>
      <c r="D14" s="24">
        <f>SUM(D12:D13)</f>
        <v>41.199999999999996</v>
      </c>
      <c r="E14" s="75"/>
      <c r="F14" s="24"/>
      <c r="G14" s="24">
        <f>SUM(G12:G13)</f>
        <v>41.199999999999996</v>
      </c>
      <c r="H14" s="24">
        <f t="shared" si="1"/>
        <v>0</v>
      </c>
      <c r="I14" s="26">
        <f t="shared" si="2"/>
        <v>0</v>
      </c>
      <c r="J14" s="26">
        <f>G14/$G$46</f>
        <v>0.34121222167849113</v>
      </c>
      <c r="K14" s="107"/>
    </row>
    <row r="15" spans="1:11" s="1" customFormat="1" x14ac:dyDescent="0.2">
      <c r="A15" s="108" t="s">
        <v>34</v>
      </c>
      <c r="B15" s="74">
        <f>B4*0.65</f>
        <v>260</v>
      </c>
      <c r="C15" s="27">
        <v>8.6999999999999994E-2</v>
      </c>
      <c r="D15" s="21">
        <f>B15*C15</f>
        <v>22.619999999999997</v>
      </c>
      <c r="E15" s="72">
        <f t="shared" ref="E15:F17" si="3">B15</f>
        <v>260</v>
      </c>
      <c r="F15" s="27">
        <f t="shared" si="3"/>
        <v>8.6999999999999994E-2</v>
      </c>
      <c r="G15" s="21">
        <f>E15*F15</f>
        <v>22.619999999999997</v>
      </c>
      <c r="H15" s="21">
        <f t="shared" si="1"/>
        <v>0</v>
      </c>
      <c r="I15" s="22">
        <f t="shared" si="2"/>
        <v>0</v>
      </c>
      <c r="J15" s="22"/>
      <c r="K15" s="107">
        <f t="shared" ref="K15:K26" si="4">G15/$G$51</f>
        <v>0.18163192653351834</v>
      </c>
    </row>
    <row r="16" spans="1:11" s="1" customFormat="1" x14ac:dyDescent="0.2">
      <c r="A16" s="108" t="s">
        <v>35</v>
      </c>
      <c r="B16" s="74">
        <f>B4*0.17</f>
        <v>68</v>
      </c>
      <c r="C16" s="27">
        <v>0.13200000000000001</v>
      </c>
      <c r="D16" s="21">
        <f>B16*C16</f>
        <v>8.9760000000000009</v>
      </c>
      <c r="E16" s="72">
        <f t="shared" si="3"/>
        <v>68</v>
      </c>
      <c r="F16" s="27">
        <f t="shared" si="3"/>
        <v>0.13200000000000001</v>
      </c>
      <c r="G16" s="21">
        <f>E16*F16</f>
        <v>8.9760000000000009</v>
      </c>
      <c r="H16" s="21">
        <f t="shared" si="1"/>
        <v>0</v>
      </c>
      <c r="I16" s="22">
        <f t="shared" si="2"/>
        <v>0</v>
      </c>
      <c r="J16" s="22"/>
      <c r="K16" s="107">
        <f t="shared" si="4"/>
        <v>7.2074631855210472E-2</v>
      </c>
    </row>
    <row r="17" spans="1:11" s="1" customFormat="1" x14ac:dyDescent="0.2">
      <c r="A17" s="108" t="s">
        <v>36</v>
      </c>
      <c r="B17" s="74">
        <f>B4*0.18</f>
        <v>72</v>
      </c>
      <c r="C17" s="27">
        <v>0.18</v>
      </c>
      <c r="D17" s="21">
        <f>B17*C17</f>
        <v>12.959999999999999</v>
      </c>
      <c r="E17" s="72">
        <f t="shared" si="3"/>
        <v>72</v>
      </c>
      <c r="F17" s="27">
        <f t="shared" si="3"/>
        <v>0.18</v>
      </c>
      <c r="G17" s="21">
        <f>E17*F17</f>
        <v>12.959999999999999</v>
      </c>
      <c r="H17" s="21">
        <f t="shared" si="1"/>
        <v>0</v>
      </c>
      <c r="I17" s="22">
        <f t="shared" si="2"/>
        <v>0</v>
      </c>
      <c r="J17" s="22"/>
      <c r="K17" s="107">
        <f t="shared" si="4"/>
        <v>0.10406497647543757</v>
      </c>
    </row>
    <row r="18" spans="1:11" s="1" customFormat="1" x14ac:dyDescent="0.2">
      <c r="A18" s="60" t="s">
        <v>37</v>
      </c>
      <c r="B18" s="28"/>
      <c r="C18" s="29"/>
      <c r="D18" s="29">
        <f>SUM(D15:D17)</f>
        <v>44.555999999999997</v>
      </c>
      <c r="E18" s="76"/>
      <c r="F18" s="29"/>
      <c r="G18" s="29">
        <f>SUM(G15:G17)</f>
        <v>44.555999999999997</v>
      </c>
      <c r="H18" s="30">
        <f t="shared" si="1"/>
        <v>0</v>
      </c>
      <c r="I18" s="31">
        <f t="shared" si="2"/>
        <v>0</v>
      </c>
      <c r="J18" s="32">
        <f t="shared" ref="J18:J23" si="5">G18/$G$46</f>
        <v>0.36900611041521481</v>
      </c>
      <c r="K18" s="61">
        <f t="shared" si="4"/>
        <v>0.35777153486416641</v>
      </c>
    </row>
    <row r="19" spans="1:11" x14ac:dyDescent="0.2">
      <c r="A19" s="106" t="s">
        <v>38</v>
      </c>
      <c r="B19" s="72">
        <v>1</v>
      </c>
      <c r="C19" s="77">
        <f>VLOOKUP($B$3,'Data for Bill Impacts'!$A$3:$Y$15,7,0)</f>
        <v>52.36</v>
      </c>
      <c r="D19" s="21">
        <f>B19*C19</f>
        <v>52.36</v>
      </c>
      <c r="E19" s="72">
        <f t="shared" ref="E19:E41" si="6">B19</f>
        <v>1</v>
      </c>
      <c r="F19" s="77">
        <f>VLOOKUP($B$3,'Data for Bill Impacts'!$A$3:$Y$15,17,0)</f>
        <v>58.34</v>
      </c>
      <c r="G19" s="21">
        <f>E19*F19</f>
        <v>58.34</v>
      </c>
      <c r="H19" s="21">
        <f t="shared" si="1"/>
        <v>5.980000000000004</v>
      </c>
      <c r="I19" s="22">
        <f t="shared" si="2"/>
        <v>0.11420932009167312</v>
      </c>
      <c r="J19" s="22">
        <f t="shared" si="5"/>
        <v>0.48316313137677608</v>
      </c>
      <c r="K19" s="107">
        <f t="shared" si="4"/>
        <v>0.46845298823896825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400</v>
      </c>
      <c r="C23" s="77">
        <f>VLOOKUP($B$3,'Data for Bill Impacts'!$A$3:$Y$15,10,0)</f>
        <v>1.1599999999999999E-2</v>
      </c>
      <c r="D23" s="21">
        <f>B23*C23</f>
        <v>4.6399999999999997</v>
      </c>
      <c r="E23" s="72">
        <f t="shared" si="6"/>
        <v>400</v>
      </c>
      <c r="F23" s="77">
        <f>VLOOKUP($B$3,'Data for Bill Impacts'!$A$3:$Y$15,19,0)</f>
        <v>6.6E-3</v>
      </c>
      <c r="G23" s="21">
        <f>E23*F23</f>
        <v>2.64</v>
      </c>
      <c r="H23" s="21">
        <f t="shared" si="1"/>
        <v>-1.9999999999999996</v>
      </c>
      <c r="I23" s="22">
        <f t="shared" si="2"/>
        <v>-0.43103448275862061</v>
      </c>
      <c r="J23" s="22">
        <f t="shared" si="5"/>
        <v>2.1864084107553802E-2</v>
      </c>
      <c r="K23" s="107">
        <f t="shared" si="4"/>
        <v>2.1198421133885433E-2</v>
      </c>
    </row>
    <row r="24" spans="1:11" x14ac:dyDescent="0.2">
      <c r="A24" s="106" t="s">
        <v>129</v>
      </c>
      <c r="B24" s="72">
        <f>IF($B$9="kWh",$B$4,$B$5)</f>
        <v>400</v>
      </c>
      <c r="C24" s="125">
        <f>VLOOKUP($B$3,'Data for Bill Impacts'!$A$3:$Y$15,14,0)</f>
        <v>2.0000000000000001E-4</v>
      </c>
      <c r="D24" s="21">
        <f>B24*C24</f>
        <v>0.08</v>
      </c>
      <c r="E24" s="72">
        <f t="shared" si="6"/>
        <v>400</v>
      </c>
      <c r="F24" s="125">
        <f>VLOOKUP($B$3,'Data for Bill Impacts'!$A$3:$Y$15,23,0)</f>
        <v>2.0000000000000001E-4</v>
      </c>
      <c r="G24" s="21">
        <f>E24*F24</f>
        <v>0.08</v>
      </c>
      <c r="H24" s="21">
        <f t="shared" si="1"/>
        <v>0</v>
      </c>
      <c r="I24" s="22">
        <f>IF(ISERROR(H24/D24),0,(H24/D24))</f>
        <v>0</v>
      </c>
      <c r="J24" s="22">
        <f t="shared" ref="J24" si="9">G24/$G$46</f>
        <v>6.6254800325920616E-4</v>
      </c>
      <c r="K24" s="107">
        <f t="shared" si="4"/>
        <v>6.4237639799652826E-4</v>
      </c>
    </row>
    <row r="25" spans="1:11" s="1" customFormat="1" x14ac:dyDescent="0.2">
      <c r="A25" s="109" t="s">
        <v>72</v>
      </c>
      <c r="B25" s="73"/>
      <c r="C25" s="34"/>
      <c r="D25" s="34">
        <f>SUM(D19:D24)</f>
        <v>57.08</v>
      </c>
      <c r="E25" s="72"/>
      <c r="F25" s="34"/>
      <c r="G25" s="34">
        <f>SUM(G19:G24)</f>
        <v>61.06</v>
      </c>
      <c r="H25" s="34">
        <f t="shared" si="1"/>
        <v>3.980000000000004</v>
      </c>
      <c r="I25" s="35">
        <f t="shared" si="2"/>
        <v>6.9726699369306311E-2</v>
      </c>
      <c r="J25" s="35">
        <f>G25/$G$46</f>
        <v>0.50568976348758909</v>
      </c>
      <c r="K25" s="110">
        <f t="shared" si="4"/>
        <v>0.4902937857708502</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6.5426615321846609E-3</v>
      </c>
      <c r="K26" s="107">
        <f t="shared" si="4"/>
        <v>6.3434669302157168E-3</v>
      </c>
    </row>
    <row r="27" spans="1:11" s="1" customFormat="1" x14ac:dyDescent="0.2">
      <c r="A27" s="118" t="s">
        <v>75</v>
      </c>
      <c r="B27" s="119">
        <f>B8-B4</f>
        <v>30.400000000000034</v>
      </c>
      <c r="C27" s="120">
        <f>IF(B4&gt;B7,C13,C12)</f>
        <v>0.10299999999999999</v>
      </c>
      <c r="D27" s="21">
        <f>B27*C27</f>
        <v>3.1312000000000033</v>
      </c>
      <c r="E27" s="72">
        <f>B27</f>
        <v>30.400000000000034</v>
      </c>
      <c r="F27" s="120">
        <f>C27</f>
        <v>0.10299999999999999</v>
      </c>
      <c r="G27" s="21">
        <f>E27*F27</f>
        <v>3.1312000000000033</v>
      </c>
      <c r="H27" s="21">
        <f t="shared" si="1"/>
        <v>0</v>
      </c>
      <c r="I27" s="22">
        <f>IF(ISERROR(H27/D27),0,(H27/D27))</f>
        <v>0</v>
      </c>
      <c r="J27" s="22">
        <f t="shared" ref="J27:J46" si="10">G27/$G$46</f>
        <v>2.5932128847565353E-2</v>
      </c>
      <c r="K27" s="107">
        <f t="shared" ref="K27:K41" si="11">G27/$G$51</f>
        <v>2.5142612217584143E-2</v>
      </c>
    </row>
    <row r="28" spans="1:11" s="1" customFormat="1" x14ac:dyDescent="0.2">
      <c r="A28" s="118" t="s">
        <v>74</v>
      </c>
      <c r="B28" s="119">
        <f>B8-B4</f>
        <v>30.400000000000034</v>
      </c>
      <c r="C28" s="120">
        <f>0.65*C15+0.17*C16+0.18*C17</f>
        <v>0.11139</v>
      </c>
      <c r="D28" s="21">
        <f>B28*C28</f>
        <v>3.3862560000000039</v>
      </c>
      <c r="E28" s="72">
        <f>B28</f>
        <v>30.400000000000034</v>
      </c>
      <c r="F28" s="120">
        <f>C28</f>
        <v>0.11139</v>
      </c>
      <c r="G28" s="21">
        <f>E28*F28</f>
        <v>3.3862560000000039</v>
      </c>
      <c r="H28" s="21">
        <f t="shared" si="1"/>
        <v>0</v>
      </c>
      <c r="I28" s="22">
        <f>IF(ISERROR(H28/D28),0,(H28/D28))</f>
        <v>0</v>
      </c>
      <c r="J28" s="22">
        <f t="shared" si="10"/>
        <v>2.8044464391556362E-2</v>
      </c>
      <c r="K28" s="107">
        <f t="shared" si="11"/>
        <v>2.7190636649676678E-2</v>
      </c>
    </row>
    <row r="29" spans="1:11" s="1" customFormat="1" x14ac:dyDescent="0.2">
      <c r="A29" s="109" t="s">
        <v>78</v>
      </c>
      <c r="B29" s="73"/>
      <c r="C29" s="34"/>
      <c r="D29" s="34">
        <f>SUM(D25,D26:D27)</f>
        <v>61.001199999999997</v>
      </c>
      <c r="E29" s="72"/>
      <c r="F29" s="34"/>
      <c r="G29" s="34">
        <f>SUM(G25,G26:G27)</f>
        <v>64.981200000000001</v>
      </c>
      <c r="H29" s="34">
        <f t="shared" si="1"/>
        <v>3.980000000000004</v>
      </c>
      <c r="I29" s="35">
        <f>IF(ISERROR(H29/D29),0,(H29/D29))</f>
        <v>6.524461813865963E-2</v>
      </c>
      <c r="J29" s="35">
        <f t="shared" si="10"/>
        <v>0.53816455386733908</v>
      </c>
      <c r="K29" s="110">
        <f t="shared" si="11"/>
        <v>0.52177986491865003</v>
      </c>
    </row>
    <row r="30" spans="1:11" s="1" customFormat="1" x14ac:dyDescent="0.2">
      <c r="A30" s="109" t="s">
        <v>77</v>
      </c>
      <c r="B30" s="73"/>
      <c r="C30" s="34"/>
      <c r="D30" s="34">
        <f>SUM(D25,D26,D28)</f>
        <v>61.256256</v>
      </c>
      <c r="E30" s="72"/>
      <c r="F30" s="34"/>
      <c r="G30" s="34">
        <f>SUM(G25,G26,G28)</f>
        <v>65.236256000000012</v>
      </c>
      <c r="H30" s="34">
        <f t="shared" si="1"/>
        <v>3.9800000000000111</v>
      </c>
      <c r="I30" s="35">
        <f>IF(ISERROR(H30/D30),0,(H30/D30))</f>
        <v>6.4972955578610797E-2</v>
      </c>
      <c r="J30" s="35">
        <f t="shared" si="10"/>
        <v>0.54027688941133012</v>
      </c>
      <c r="K30" s="110">
        <f t="shared" si="11"/>
        <v>0.52382788935074265</v>
      </c>
    </row>
    <row r="31" spans="1:11" x14ac:dyDescent="0.2">
      <c r="A31" s="106" t="s">
        <v>40</v>
      </c>
      <c r="B31" s="72">
        <f>B8</f>
        <v>430.40000000000003</v>
      </c>
      <c r="C31" s="125">
        <f>VLOOKUP($B$3,'Data for Bill Impacts'!$A$3:$Y$15,15,0)</f>
        <v>7.1999999999999998E-3</v>
      </c>
      <c r="D31" s="21">
        <f>B31*C31</f>
        <v>3.0988800000000003</v>
      </c>
      <c r="E31" s="72">
        <f t="shared" si="6"/>
        <v>430.40000000000003</v>
      </c>
      <c r="F31" s="77">
        <f>VLOOKUP($B$3,'Data for Bill Impacts'!$A$3:$Y$15,24,0)</f>
        <v>7.1999999999999998E-3</v>
      </c>
      <c r="G31" s="21">
        <f>E31*F31</f>
        <v>3.0988800000000003</v>
      </c>
      <c r="H31" s="21">
        <f t="shared" si="1"/>
        <v>0</v>
      </c>
      <c r="I31" s="22">
        <f t="shared" si="2"/>
        <v>0</v>
      </c>
      <c r="J31" s="22">
        <f t="shared" si="10"/>
        <v>2.5664459454248612E-2</v>
      </c>
      <c r="K31" s="107">
        <f t="shared" si="11"/>
        <v>2.488309215279352E-2</v>
      </c>
    </row>
    <row r="32" spans="1:11" x14ac:dyDescent="0.2">
      <c r="A32" s="106" t="s">
        <v>41</v>
      </c>
      <c r="B32" s="72">
        <f>B8</f>
        <v>430.40000000000003</v>
      </c>
      <c r="C32" s="125">
        <f>VLOOKUP($B$3,'Data for Bill Impacts'!$A$3:$Y$15,16,0)</f>
        <v>5.8999999999999999E-3</v>
      </c>
      <c r="D32" s="21">
        <f>B32*C32</f>
        <v>2.5393600000000003</v>
      </c>
      <c r="E32" s="72">
        <f t="shared" si="6"/>
        <v>430.40000000000003</v>
      </c>
      <c r="F32" s="77">
        <f>VLOOKUP($B$3,'Data for Bill Impacts'!$A$3:$Y$15,25,0)</f>
        <v>5.8999999999999999E-3</v>
      </c>
      <c r="G32" s="21">
        <f>E32*F32</f>
        <v>2.5393600000000003</v>
      </c>
      <c r="H32" s="21">
        <f t="shared" si="1"/>
        <v>0</v>
      </c>
      <c r="I32" s="22">
        <f t="shared" si="2"/>
        <v>0</v>
      </c>
      <c r="J32" s="22">
        <f t="shared" si="10"/>
        <v>2.1030598719453723E-2</v>
      </c>
      <c r="K32" s="107">
        <f t="shared" si="11"/>
        <v>2.0390311625205802E-2</v>
      </c>
    </row>
    <row r="33" spans="1:11" s="1" customFormat="1" x14ac:dyDescent="0.2">
      <c r="A33" s="109" t="s">
        <v>76</v>
      </c>
      <c r="B33" s="73"/>
      <c r="C33" s="34"/>
      <c r="D33" s="34">
        <f>SUM(D31:D32)</f>
        <v>5.6382400000000006</v>
      </c>
      <c r="E33" s="72"/>
      <c r="F33" s="34"/>
      <c r="G33" s="34">
        <f>SUM(G31:G32)</f>
        <v>5.6382400000000006</v>
      </c>
      <c r="H33" s="34">
        <f t="shared" si="1"/>
        <v>0</v>
      </c>
      <c r="I33" s="35">
        <f t="shared" si="2"/>
        <v>0</v>
      </c>
      <c r="J33" s="35">
        <f t="shared" si="10"/>
        <v>4.6695058173702335E-2</v>
      </c>
      <c r="K33" s="110">
        <f t="shared" si="11"/>
        <v>4.5273403777999321E-2</v>
      </c>
    </row>
    <row r="34" spans="1:11" s="1" customFormat="1" x14ac:dyDescent="0.2">
      <c r="A34" s="109" t="s">
        <v>93</v>
      </c>
      <c r="B34" s="73"/>
      <c r="C34" s="34"/>
      <c r="D34" s="34">
        <f>D29+D33</f>
        <v>66.639439999999993</v>
      </c>
      <c r="E34" s="72"/>
      <c r="F34" s="34"/>
      <c r="G34" s="34">
        <f>G29+G33</f>
        <v>70.619439999999997</v>
      </c>
      <c r="H34" s="34">
        <f t="shared" si="1"/>
        <v>3.980000000000004</v>
      </c>
      <c r="I34" s="35">
        <f t="shared" si="2"/>
        <v>5.9724391441464762E-2</v>
      </c>
      <c r="J34" s="35">
        <f t="shared" si="10"/>
        <v>0.58485961204104131</v>
      </c>
      <c r="K34" s="110">
        <f t="shared" si="11"/>
        <v>0.56705326869664929</v>
      </c>
    </row>
    <row r="35" spans="1:11" s="1" customFormat="1" x14ac:dyDescent="0.2">
      <c r="A35" s="109" t="s">
        <v>94</v>
      </c>
      <c r="B35" s="73"/>
      <c r="C35" s="34"/>
      <c r="D35" s="34">
        <f>D30+D33</f>
        <v>66.894496000000004</v>
      </c>
      <c r="E35" s="72"/>
      <c r="F35" s="34"/>
      <c r="G35" s="34">
        <f>G30+G33</f>
        <v>70.874496000000008</v>
      </c>
      <c r="H35" s="34">
        <f t="shared" si="1"/>
        <v>3.980000000000004</v>
      </c>
      <c r="I35" s="35">
        <f t="shared" si="2"/>
        <v>5.9496673687473536E-2</v>
      </c>
      <c r="J35" s="35">
        <f t="shared" si="10"/>
        <v>0.58697194758503246</v>
      </c>
      <c r="K35" s="110">
        <f t="shared" si="11"/>
        <v>0.56910129312874191</v>
      </c>
    </row>
    <row r="36" spans="1:11" x14ac:dyDescent="0.2">
      <c r="A36" s="106" t="s">
        <v>42</v>
      </c>
      <c r="B36" s="72">
        <f>B8</f>
        <v>430.40000000000003</v>
      </c>
      <c r="C36" s="33">
        <v>3.5999999999999999E-3</v>
      </c>
      <c r="D36" s="21">
        <f>B36*C36</f>
        <v>1.5494400000000002</v>
      </c>
      <c r="E36" s="72">
        <f t="shared" si="6"/>
        <v>430.40000000000003</v>
      </c>
      <c r="F36" s="33">
        <v>3.5999999999999999E-3</v>
      </c>
      <c r="G36" s="21">
        <f>E36*F36</f>
        <v>1.5494400000000002</v>
      </c>
      <c r="H36" s="21">
        <f t="shared" si="1"/>
        <v>0</v>
      </c>
      <c r="I36" s="22">
        <f t="shared" si="2"/>
        <v>0</v>
      </c>
      <c r="J36" s="22">
        <f t="shared" si="10"/>
        <v>1.2832229727124306E-2</v>
      </c>
      <c r="K36" s="107">
        <f t="shared" si="11"/>
        <v>1.244154607639676E-2</v>
      </c>
    </row>
    <row r="37" spans="1:11" x14ac:dyDescent="0.2">
      <c r="A37" s="106" t="s">
        <v>43</v>
      </c>
      <c r="B37" s="72">
        <f>B8</f>
        <v>430.40000000000003</v>
      </c>
      <c r="C37" s="33">
        <v>2.0999999999999999E-3</v>
      </c>
      <c r="D37" s="21">
        <f>B37*C37</f>
        <v>0.90383999999999998</v>
      </c>
      <c r="E37" s="72">
        <f t="shared" si="6"/>
        <v>430.40000000000003</v>
      </c>
      <c r="F37" s="33">
        <v>2.0999999999999999E-3</v>
      </c>
      <c r="G37" s="21">
        <f>E37*F37</f>
        <v>0.90383999999999998</v>
      </c>
      <c r="H37" s="21">
        <f>G37-D37</f>
        <v>0</v>
      </c>
      <c r="I37" s="22">
        <f t="shared" si="2"/>
        <v>0</v>
      </c>
      <c r="J37" s="22">
        <f t="shared" si="10"/>
        <v>7.4854673408225108E-3</v>
      </c>
      <c r="K37" s="107">
        <f t="shared" si="11"/>
        <v>7.2575685445647759E-3</v>
      </c>
    </row>
    <row r="38" spans="1:11" x14ac:dyDescent="0.2">
      <c r="A38" s="106" t="s">
        <v>99</v>
      </c>
      <c r="B38" s="72">
        <f>B8</f>
        <v>430.40000000000003</v>
      </c>
      <c r="C38" s="33">
        <v>1.1000000000000001E-3</v>
      </c>
      <c r="D38" s="21">
        <f>B38*C38</f>
        <v>0.47344000000000008</v>
      </c>
      <c r="E38" s="72">
        <f t="shared" si="6"/>
        <v>430.40000000000003</v>
      </c>
      <c r="F38" s="33">
        <v>1.1000000000000001E-3</v>
      </c>
      <c r="G38" s="21">
        <f>E38*F38</f>
        <v>0.47344000000000008</v>
      </c>
      <c r="H38" s="21">
        <f>G38-D38</f>
        <v>0</v>
      </c>
      <c r="I38" s="22">
        <f t="shared" ref="I38" si="12">IF(ISERROR(H38/D38),0,(H38/D38))</f>
        <v>0</v>
      </c>
      <c r="J38" s="22">
        <f t="shared" ref="J38" si="13">G38/$G$46</f>
        <v>3.9209590832879823E-3</v>
      </c>
      <c r="K38" s="107">
        <f t="shared" ref="K38" si="14">G38/$G$51</f>
        <v>3.8015835233434548E-3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2.0704625101850191E-3</v>
      </c>
      <c r="K39" s="107">
        <f t="shared" si="11"/>
        <v>2.0074262437391509E-3</v>
      </c>
    </row>
    <row r="40" spans="1:11" s="1" customFormat="1" x14ac:dyDescent="0.2">
      <c r="A40" s="109" t="s">
        <v>45</v>
      </c>
      <c r="B40" s="73"/>
      <c r="C40" s="34"/>
      <c r="D40" s="34">
        <f>SUM(D36:D39)</f>
        <v>3.1767200000000004</v>
      </c>
      <c r="E40" s="72"/>
      <c r="F40" s="34"/>
      <c r="G40" s="34">
        <f>SUM(G36:G39)</f>
        <v>3.1767200000000004</v>
      </c>
      <c r="H40" s="34">
        <f t="shared" si="1"/>
        <v>0</v>
      </c>
      <c r="I40" s="35">
        <f t="shared" si="2"/>
        <v>0</v>
      </c>
      <c r="J40" s="35">
        <f t="shared" si="10"/>
        <v>2.6309118661419818E-2</v>
      </c>
      <c r="K40" s="110">
        <f t="shared" si="11"/>
        <v>2.5508124388044142E-2</v>
      </c>
    </row>
    <row r="41" spans="1:11" s="1" customFormat="1" ht="13.5" thickBot="1" x14ac:dyDescent="0.25">
      <c r="A41" s="111" t="s">
        <v>46</v>
      </c>
      <c r="B41" s="112">
        <f>B4</f>
        <v>400</v>
      </c>
      <c r="C41" s="113">
        <v>0</v>
      </c>
      <c r="D41" s="114">
        <f>B41*C41</f>
        <v>0</v>
      </c>
      <c r="E41" s="115">
        <f t="shared" si="6"/>
        <v>400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111.01616000000001</v>
      </c>
      <c r="E42" s="37"/>
      <c r="F42" s="38"/>
      <c r="G42" s="38">
        <f>SUM(G14,G25,G26,G27,G33,G40,G41)</f>
        <v>114.99616</v>
      </c>
      <c r="H42" s="38">
        <f t="shared" si="1"/>
        <v>3.9799999999999898</v>
      </c>
      <c r="I42" s="39">
        <f>IF(ISERROR(H42/D42),0,(H42/D42))</f>
        <v>3.5850636519944384E-2</v>
      </c>
      <c r="J42" s="39">
        <f t="shared" si="10"/>
        <v>0.95238095238095233</v>
      </c>
      <c r="K42" s="40"/>
    </row>
    <row r="43" spans="1:11" x14ac:dyDescent="0.2">
      <c r="A43" s="143" t="s">
        <v>108</v>
      </c>
      <c r="B43" s="42"/>
      <c r="C43" s="25">
        <v>0.13</v>
      </c>
      <c r="D43" s="25">
        <f>D42*C43</f>
        <v>14.432100800000002</v>
      </c>
      <c r="E43" s="25"/>
      <c r="F43" s="25">
        <f>C43</f>
        <v>0.13</v>
      </c>
      <c r="G43" s="25">
        <f>G42*F43</f>
        <v>14.949500800000001</v>
      </c>
      <c r="H43" s="25">
        <f t="shared" si="1"/>
        <v>0.51739999999999853</v>
      </c>
      <c r="I43" s="43">
        <f t="shared" si="2"/>
        <v>3.5850636519944377E-2</v>
      </c>
      <c r="J43" s="43">
        <f t="shared" si="10"/>
        <v>0.12380952380952381</v>
      </c>
      <c r="K43" s="44"/>
    </row>
    <row r="44" spans="1:11" s="1" customFormat="1" x14ac:dyDescent="0.2">
      <c r="A44" s="45" t="s">
        <v>109</v>
      </c>
      <c r="B44" s="23"/>
      <c r="C44" s="24"/>
      <c r="D44" s="24">
        <f>SUM(D42:D43)</f>
        <v>125.44826080000001</v>
      </c>
      <c r="E44" s="24"/>
      <c r="F44" s="24"/>
      <c r="G44" s="24">
        <f>SUM(G42:G43)</f>
        <v>129.94566080000001</v>
      </c>
      <c r="H44" s="24">
        <f t="shared" si="1"/>
        <v>4.497399999999999</v>
      </c>
      <c r="I44" s="26">
        <f t="shared" si="2"/>
        <v>3.5850636519944475E-2</v>
      </c>
      <c r="J44" s="26">
        <f t="shared" si="10"/>
        <v>1.0761904761904764</v>
      </c>
      <c r="K44" s="46"/>
    </row>
    <row r="45" spans="1:11" x14ac:dyDescent="0.2">
      <c r="A45" s="41" t="s">
        <v>110</v>
      </c>
      <c r="B45" s="42"/>
      <c r="C45" s="25">
        <v>-0.08</v>
      </c>
      <c r="D45" s="25">
        <f>D42*C45</f>
        <v>-8.8812928000000007</v>
      </c>
      <c r="E45" s="25"/>
      <c r="F45" s="25">
        <f>C45</f>
        <v>-0.08</v>
      </c>
      <c r="G45" s="25">
        <f>G42*F45</f>
        <v>-9.1996928000000011</v>
      </c>
      <c r="H45" s="25">
        <f t="shared" si="1"/>
        <v>-0.31840000000000046</v>
      </c>
      <c r="I45" s="43">
        <f t="shared" si="2"/>
        <v>3.585063651994453E-2</v>
      </c>
      <c r="J45" s="43">
        <f t="shared" si="10"/>
        <v>-7.6190476190476197E-2</v>
      </c>
      <c r="K45" s="44"/>
    </row>
    <row r="46" spans="1:11" s="1" customFormat="1" ht="13.5" thickBot="1" x14ac:dyDescent="0.25">
      <c r="A46" s="47" t="s">
        <v>111</v>
      </c>
      <c r="B46" s="48"/>
      <c r="C46" s="49"/>
      <c r="D46" s="49">
        <f>SUM(D44:D45)</f>
        <v>116.56696800000002</v>
      </c>
      <c r="E46" s="49"/>
      <c r="F46" s="49"/>
      <c r="G46" s="49">
        <f>SUM(G44:G45)</f>
        <v>120.745968</v>
      </c>
      <c r="H46" s="49">
        <f t="shared" si="1"/>
        <v>4.1789999999999878</v>
      </c>
      <c r="I46" s="50">
        <f t="shared" si="2"/>
        <v>3.5850636519944377E-2</v>
      </c>
      <c r="J46" s="50">
        <f t="shared" si="10"/>
        <v>1</v>
      </c>
      <c r="K46" s="51"/>
    </row>
    <row r="47" spans="1:11" x14ac:dyDescent="0.2">
      <c r="A47" s="52" t="s">
        <v>112</v>
      </c>
      <c r="B47" s="53"/>
      <c r="C47" s="54"/>
      <c r="D47" s="54">
        <f>SUM(D18,D25,D26,D28,D33,D40,D41)</f>
        <v>114.627216</v>
      </c>
      <c r="E47" s="54"/>
      <c r="F47" s="54"/>
      <c r="G47" s="54">
        <f>SUM(G18,G25,G26,G28,G33,G40,G41)</f>
        <v>118.60721600000001</v>
      </c>
      <c r="H47" s="54">
        <f>G47-D47</f>
        <v>3.980000000000004</v>
      </c>
      <c r="I47" s="55">
        <f>IF(ISERROR(H47/D47),0,(H47/D47))</f>
        <v>3.4721248049852348E-2</v>
      </c>
      <c r="J47" s="55"/>
      <c r="K47" s="56">
        <f>G47/$G$51</f>
        <v>0.95238095238095244</v>
      </c>
    </row>
    <row r="48" spans="1:11" x14ac:dyDescent="0.2">
      <c r="A48" s="144" t="s">
        <v>108</v>
      </c>
      <c r="B48" s="58"/>
      <c r="C48" s="30">
        <v>0.13</v>
      </c>
      <c r="D48" s="30">
        <f>D47*C48</f>
        <v>14.901538080000002</v>
      </c>
      <c r="E48" s="30"/>
      <c r="F48" s="30">
        <f>C48</f>
        <v>0.13</v>
      </c>
      <c r="G48" s="30">
        <f>G47*F48</f>
        <v>15.418938080000002</v>
      </c>
      <c r="H48" s="30">
        <f>G48-D48</f>
        <v>0.5174000000000003</v>
      </c>
      <c r="I48" s="31">
        <f>IF(ISERROR(H48/D48),0,(H48/D48))</f>
        <v>3.4721248049852334E-2</v>
      </c>
      <c r="J48" s="31"/>
      <c r="K48" s="59">
        <f>G48/$G$51</f>
        <v>0.12380952380952383</v>
      </c>
    </row>
    <row r="49" spans="1:11" x14ac:dyDescent="0.2">
      <c r="A49" s="60" t="s">
        <v>113</v>
      </c>
      <c r="B49" s="28"/>
      <c r="C49" s="29"/>
      <c r="D49" s="29">
        <f>SUM(D47:D48)</f>
        <v>129.52875408</v>
      </c>
      <c r="E49" s="29"/>
      <c r="F49" s="29"/>
      <c r="G49" s="29">
        <f>SUM(G47:G48)</f>
        <v>134.02615408</v>
      </c>
      <c r="H49" s="29">
        <f>G49-D49</f>
        <v>4.497399999999999</v>
      </c>
      <c r="I49" s="32">
        <f>IF(ISERROR(H49/D49),0,(H49/D49))</f>
        <v>3.4721248049852306E-2</v>
      </c>
      <c r="J49" s="32"/>
      <c r="K49" s="61">
        <f>G49/$G$51</f>
        <v>1.0761904761904761</v>
      </c>
    </row>
    <row r="50" spans="1:11" x14ac:dyDescent="0.2">
      <c r="A50" s="57" t="s">
        <v>110</v>
      </c>
      <c r="B50" s="58"/>
      <c r="C50" s="30">
        <v>-0.08</v>
      </c>
      <c r="D50" s="30">
        <f>D47*C50</f>
        <v>-9.1701772800000008</v>
      </c>
      <c r="E50" s="30"/>
      <c r="F50" s="30">
        <f>C50</f>
        <v>-0.08</v>
      </c>
      <c r="G50" s="30">
        <f>G47*F50</f>
        <v>-9.4885772800000012</v>
      </c>
      <c r="H50" s="30">
        <f>G50-D50</f>
        <v>-0.31840000000000046</v>
      </c>
      <c r="I50" s="31">
        <f>IF(ISERROR(H50/D50),0,(H50/D50))</f>
        <v>3.4721248049852362E-2</v>
      </c>
      <c r="J50" s="31"/>
      <c r="K50" s="59">
        <f>G50/$G$51</f>
        <v>-7.6190476190476197E-2</v>
      </c>
    </row>
    <row r="51" spans="1:11" ht="13.5" thickBot="1" x14ac:dyDescent="0.25">
      <c r="A51" s="62" t="s">
        <v>114</v>
      </c>
      <c r="B51" s="63"/>
      <c r="C51" s="64"/>
      <c r="D51" s="64">
        <f>SUM(D49:D50)</f>
        <v>120.35857679999999</v>
      </c>
      <c r="E51" s="64"/>
      <c r="F51" s="64"/>
      <c r="G51" s="64">
        <f>SUM(G49:G50)</f>
        <v>124.5375768</v>
      </c>
      <c r="H51" s="64">
        <f>G51-D51</f>
        <v>4.179000000000002</v>
      </c>
      <c r="I51" s="65">
        <f>IF(ISERROR(H51/D51),0,(H51/D51))</f>
        <v>3.4721248049852334E-2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row>
    <row r="65" spans="6:6" x14ac:dyDescent="0.2">
      <c r="F65" s="68"/>
    </row>
    <row r="66" spans="6:6" x14ac:dyDescent="0.2">
      <c r="F66" s="68"/>
    </row>
    <row r="67" spans="6:6" x14ac:dyDescent="0.2">
      <c r="F67" s="68"/>
    </row>
    <row r="68" spans="6:6" x14ac:dyDescent="0.2">
      <c r="F68" s="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pageSetUpPr fitToPage="1"/>
  </sheetPr>
  <dimension ref="A1:K68"/>
  <sheetViews>
    <sheetView tabSelected="1" zoomScaleNormal="100" zoomScaleSheetLayoutView="100" workbookViewId="0">
      <selection activeCell="Q6" sqref="Q6"/>
    </sheetView>
  </sheetViews>
  <sheetFormatPr defaultRowHeight="12.75" x14ac:dyDescent="0.2"/>
  <cols>
    <col min="1" max="1" width="53.28515625" customWidth="1"/>
    <col min="2" max="2" width="15.5703125" bestFit="1" customWidth="1"/>
    <col min="3" max="3" width="10.5703125" customWidth="1"/>
    <col min="4" max="4" width="10.5703125" bestFit="1" customWidth="1"/>
    <col min="5" max="5" width="10.42578125" customWidth="1"/>
    <col min="6" max="6" width="10.140625" customWidth="1"/>
    <col min="7" max="7" width="12.28515625" customWidth="1"/>
    <col min="8" max="8" width="10.85546875" bestFit="1" customWidth="1"/>
    <col min="9" max="9" width="11.140625" bestFit="1" customWidth="1"/>
    <col min="10" max="10" width="10.42578125" customWidth="1"/>
    <col min="11" max="11" width="9.140625" style="13"/>
    <col min="257" max="257" width="53.28515625" customWidth="1"/>
    <col min="258" max="258" width="15.5703125" bestFit="1" customWidth="1"/>
    <col min="259" max="259" width="10.5703125" customWidth="1"/>
    <col min="260" max="260" width="10.5703125" bestFit="1" customWidth="1"/>
    <col min="262" max="262" width="10.140625" customWidth="1"/>
    <col min="263" max="263" width="12.28515625" customWidth="1"/>
    <col min="264" max="264" width="10.85546875" bestFit="1" customWidth="1"/>
    <col min="265" max="265" width="11.140625" bestFit="1" customWidth="1"/>
    <col min="266" max="266" width="10.42578125" customWidth="1"/>
    <col min="513" max="513" width="53.28515625" customWidth="1"/>
    <col min="514" max="514" width="15.5703125" bestFit="1" customWidth="1"/>
    <col min="515" max="515" width="10.5703125" customWidth="1"/>
    <col min="516" max="516" width="10.5703125" bestFit="1" customWidth="1"/>
    <col min="518" max="518" width="10.140625" customWidth="1"/>
    <col min="519" max="519" width="12.28515625" customWidth="1"/>
    <col min="520" max="520" width="10.85546875" bestFit="1" customWidth="1"/>
    <col min="521" max="521" width="11.140625" bestFit="1" customWidth="1"/>
    <col min="522" max="522" width="10.42578125" customWidth="1"/>
    <col min="769" max="769" width="53.28515625" customWidth="1"/>
    <col min="770" max="770" width="15.5703125" bestFit="1" customWidth="1"/>
    <col min="771" max="771" width="10.5703125" customWidth="1"/>
    <col min="772" max="772" width="10.5703125" bestFit="1" customWidth="1"/>
    <col min="774" max="774" width="10.140625" customWidth="1"/>
    <col min="775" max="775" width="12.28515625" customWidth="1"/>
    <col min="776" max="776" width="10.85546875" bestFit="1" customWidth="1"/>
    <col min="777" max="777" width="11.140625" bestFit="1" customWidth="1"/>
    <col min="778" max="778" width="10.42578125" customWidth="1"/>
    <col min="1025" max="1025" width="53.28515625" customWidth="1"/>
    <col min="1026" max="1026" width="15.5703125" bestFit="1" customWidth="1"/>
    <col min="1027" max="1027" width="10.5703125" customWidth="1"/>
    <col min="1028" max="1028" width="10.5703125" bestFit="1" customWidth="1"/>
    <col min="1030" max="1030" width="10.140625" customWidth="1"/>
    <col min="1031" max="1031" width="12.28515625" customWidth="1"/>
    <col min="1032" max="1032" width="10.85546875" bestFit="1" customWidth="1"/>
    <col min="1033" max="1033" width="11.140625" bestFit="1" customWidth="1"/>
    <col min="1034" max="1034" width="10.42578125" customWidth="1"/>
    <col min="1281" max="1281" width="53.28515625" customWidth="1"/>
    <col min="1282" max="1282" width="15.5703125" bestFit="1" customWidth="1"/>
    <col min="1283" max="1283" width="10.5703125" customWidth="1"/>
    <col min="1284" max="1284" width="10.5703125" bestFit="1" customWidth="1"/>
    <col min="1286" max="1286" width="10.140625" customWidth="1"/>
    <col min="1287" max="1287" width="12.28515625" customWidth="1"/>
    <col min="1288" max="1288" width="10.85546875" bestFit="1" customWidth="1"/>
    <col min="1289" max="1289" width="11.140625" bestFit="1" customWidth="1"/>
    <col min="1290" max="1290" width="10.42578125" customWidth="1"/>
    <col min="1537" max="1537" width="53.28515625" customWidth="1"/>
    <col min="1538" max="1538" width="15.5703125" bestFit="1" customWidth="1"/>
    <col min="1539" max="1539" width="10.5703125" customWidth="1"/>
    <col min="1540" max="1540" width="10.5703125" bestFit="1" customWidth="1"/>
    <col min="1542" max="1542" width="10.140625" customWidth="1"/>
    <col min="1543" max="1543" width="12.28515625" customWidth="1"/>
    <col min="1544" max="1544" width="10.85546875" bestFit="1" customWidth="1"/>
    <col min="1545" max="1545" width="11.140625" bestFit="1" customWidth="1"/>
    <col min="1546" max="1546" width="10.42578125" customWidth="1"/>
    <col min="1793" max="1793" width="53.28515625" customWidth="1"/>
    <col min="1794" max="1794" width="15.5703125" bestFit="1" customWidth="1"/>
    <col min="1795" max="1795" width="10.5703125" customWidth="1"/>
    <col min="1796" max="1796" width="10.5703125" bestFit="1" customWidth="1"/>
    <col min="1798" max="1798" width="10.140625" customWidth="1"/>
    <col min="1799" max="1799" width="12.28515625" customWidth="1"/>
    <col min="1800" max="1800" width="10.85546875" bestFit="1" customWidth="1"/>
    <col min="1801" max="1801" width="11.140625" bestFit="1" customWidth="1"/>
    <col min="1802" max="1802" width="10.42578125" customWidth="1"/>
    <col min="2049" max="2049" width="53.28515625" customWidth="1"/>
    <col min="2050" max="2050" width="15.5703125" bestFit="1" customWidth="1"/>
    <col min="2051" max="2051" width="10.5703125" customWidth="1"/>
    <col min="2052" max="2052" width="10.5703125" bestFit="1" customWidth="1"/>
    <col min="2054" max="2054" width="10.140625" customWidth="1"/>
    <col min="2055" max="2055" width="12.28515625" customWidth="1"/>
    <col min="2056" max="2056" width="10.85546875" bestFit="1" customWidth="1"/>
    <col min="2057" max="2057" width="11.140625" bestFit="1" customWidth="1"/>
    <col min="2058" max="2058" width="10.42578125" customWidth="1"/>
    <col min="2305" max="2305" width="53.28515625" customWidth="1"/>
    <col min="2306" max="2306" width="15.5703125" bestFit="1" customWidth="1"/>
    <col min="2307" max="2307" width="10.5703125" customWidth="1"/>
    <col min="2308" max="2308" width="10.5703125" bestFit="1" customWidth="1"/>
    <col min="2310" max="2310" width="10.140625" customWidth="1"/>
    <col min="2311" max="2311" width="12.28515625" customWidth="1"/>
    <col min="2312" max="2312" width="10.85546875" bestFit="1" customWidth="1"/>
    <col min="2313" max="2313" width="11.140625" bestFit="1" customWidth="1"/>
    <col min="2314" max="2314" width="10.42578125" customWidth="1"/>
    <col min="2561" max="2561" width="53.28515625" customWidth="1"/>
    <col min="2562" max="2562" width="15.5703125" bestFit="1" customWidth="1"/>
    <col min="2563" max="2563" width="10.5703125" customWidth="1"/>
    <col min="2564" max="2564" width="10.5703125" bestFit="1" customWidth="1"/>
    <col min="2566" max="2566" width="10.140625" customWidth="1"/>
    <col min="2567" max="2567" width="12.28515625" customWidth="1"/>
    <col min="2568" max="2568" width="10.85546875" bestFit="1" customWidth="1"/>
    <col min="2569" max="2569" width="11.140625" bestFit="1" customWidth="1"/>
    <col min="2570" max="2570" width="10.42578125" customWidth="1"/>
    <col min="2817" max="2817" width="53.28515625" customWidth="1"/>
    <col min="2818" max="2818" width="15.5703125" bestFit="1" customWidth="1"/>
    <col min="2819" max="2819" width="10.5703125" customWidth="1"/>
    <col min="2820" max="2820" width="10.5703125" bestFit="1" customWidth="1"/>
    <col min="2822" max="2822" width="10.140625" customWidth="1"/>
    <col min="2823" max="2823" width="12.28515625" customWidth="1"/>
    <col min="2824" max="2824" width="10.85546875" bestFit="1" customWidth="1"/>
    <col min="2825" max="2825" width="11.140625" bestFit="1" customWidth="1"/>
    <col min="2826" max="2826" width="10.42578125" customWidth="1"/>
    <col min="3073" max="3073" width="53.28515625" customWidth="1"/>
    <col min="3074" max="3074" width="15.5703125" bestFit="1" customWidth="1"/>
    <col min="3075" max="3075" width="10.5703125" customWidth="1"/>
    <col min="3076" max="3076" width="10.5703125" bestFit="1" customWidth="1"/>
    <col min="3078" max="3078" width="10.140625" customWidth="1"/>
    <col min="3079" max="3079" width="12.28515625" customWidth="1"/>
    <col min="3080" max="3080" width="10.85546875" bestFit="1" customWidth="1"/>
    <col min="3081" max="3081" width="11.140625" bestFit="1" customWidth="1"/>
    <col min="3082" max="3082" width="10.42578125" customWidth="1"/>
    <col min="3329" max="3329" width="53.28515625" customWidth="1"/>
    <col min="3330" max="3330" width="15.5703125" bestFit="1" customWidth="1"/>
    <col min="3331" max="3331" width="10.5703125" customWidth="1"/>
    <col min="3332" max="3332" width="10.5703125" bestFit="1" customWidth="1"/>
    <col min="3334" max="3334" width="10.140625" customWidth="1"/>
    <col min="3335" max="3335" width="12.28515625" customWidth="1"/>
    <col min="3336" max="3336" width="10.85546875" bestFit="1" customWidth="1"/>
    <col min="3337" max="3337" width="11.140625" bestFit="1" customWidth="1"/>
    <col min="3338" max="3338" width="10.42578125" customWidth="1"/>
    <col min="3585" max="3585" width="53.28515625" customWidth="1"/>
    <col min="3586" max="3586" width="15.5703125" bestFit="1" customWidth="1"/>
    <col min="3587" max="3587" width="10.5703125" customWidth="1"/>
    <col min="3588" max="3588" width="10.5703125" bestFit="1" customWidth="1"/>
    <col min="3590" max="3590" width="10.140625" customWidth="1"/>
    <col min="3591" max="3591" width="12.28515625" customWidth="1"/>
    <col min="3592" max="3592" width="10.85546875" bestFit="1" customWidth="1"/>
    <col min="3593" max="3593" width="11.140625" bestFit="1" customWidth="1"/>
    <col min="3594" max="3594" width="10.42578125" customWidth="1"/>
    <col min="3841" max="3841" width="53.28515625" customWidth="1"/>
    <col min="3842" max="3842" width="15.5703125" bestFit="1" customWidth="1"/>
    <col min="3843" max="3843" width="10.5703125" customWidth="1"/>
    <col min="3844" max="3844" width="10.5703125" bestFit="1" customWidth="1"/>
    <col min="3846" max="3846" width="10.140625" customWidth="1"/>
    <col min="3847" max="3847" width="12.28515625" customWidth="1"/>
    <col min="3848" max="3848" width="10.85546875" bestFit="1" customWidth="1"/>
    <col min="3849" max="3849" width="11.140625" bestFit="1" customWidth="1"/>
    <col min="3850" max="3850" width="10.42578125" customWidth="1"/>
    <col min="4097" max="4097" width="53.28515625" customWidth="1"/>
    <col min="4098" max="4098" width="15.5703125" bestFit="1" customWidth="1"/>
    <col min="4099" max="4099" width="10.5703125" customWidth="1"/>
    <col min="4100" max="4100" width="10.5703125" bestFit="1" customWidth="1"/>
    <col min="4102" max="4102" width="10.140625" customWidth="1"/>
    <col min="4103" max="4103" width="12.28515625" customWidth="1"/>
    <col min="4104" max="4104" width="10.85546875" bestFit="1" customWidth="1"/>
    <col min="4105" max="4105" width="11.140625" bestFit="1" customWidth="1"/>
    <col min="4106" max="4106" width="10.42578125" customWidth="1"/>
    <col min="4353" max="4353" width="53.28515625" customWidth="1"/>
    <col min="4354" max="4354" width="15.5703125" bestFit="1" customWidth="1"/>
    <col min="4355" max="4355" width="10.5703125" customWidth="1"/>
    <col min="4356" max="4356" width="10.5703125" bestFit="1" customWidth="1"/>
    <col min="4358" max="4358" width="10.140625" customWidth="1"/>
    <col min="4359" max="4359" width="12.28515625" customWidth="1"/>
    <col min="4360" max="4360" width="10.85546875" bestFit="1" customWidth="1"/>
    <col min="4361" max="4361" width="11.140625" bestFit="1" customWidth="1"/>
    <col min="4362" max="4362" width="10.42578125" customWidth="1"/>
    <col min="4609" max="4609" width="53.28515625" customWidth="1"/>
    <col min="4610" max="4610" width="15.5703125" bestFit="1" customWidth="1"/>
    <col min="4611" max="4611" width="10.5703125" customWidth="1"/>
    <col min="4612" max="4612" width="10.5703125" bestFit="1" customWidth="1"/>
    <col min="4614" max="4614" width="10.140625" customWidth="1"/>
    <col min="4615" max="4615" width="12.28515625" customWidth="1"/>
    <col min="4616" max="4616" width="10.85546875" bestFit="1" customWidth="1"/>
    <col min="4617" max="4617" width="11.140625" bestFit="1" customWidth="1"/>
    <col min="4618" max="4618" width="10.42578125" customWidth="1"/>
    <col min="4865" max="4865" width="53.28515625" customWidth="1"/>
    <col min="4866" max="4866" width="15.5703125" bestFit="1" customWidth="1"/>
    <col min="4867" max="4867" width="10.5703125" customWidth="1"/>
    <col min="4868" max="4868" width="10.5703125" bestFit="1" customWidth="1"/>
    <col min="4870" max="4870" width="10.140625" customWidth="1"/>
    <col min="4871" max="4871" width="12.28515625" customWidth="1"/>
    <col min="4872" max="4872" width="10.85546875" bestFit="1" customWidth="1"/>
    <col min="4873" max="4873" width="11.140625" bestFit="1" customWidth="1"/>
    <col min="4874" max="4874" width="10.42578125" customWidth="1"/>
    <col min="5121" max="5121" width="53.28515625" customWidth="1"/>
    <col min="5122" max="5122" width="15.5703125" bestFit="1" customWidth="1"/>
    <col min="5123" max="5123" width="10.5703125" customWidth="1"/>
    <col min="5124" max="5124" width="10.5703125" bestFit="1" customWidth="1"/>
    <col min="5126" max="5126" width="10.140625" customWidth="1"/>
    <col min="5127" max="5127" width="12.28515625" customWidth="1"/>
    <col min="5128" max="5128" width="10.85546875" bestFit="1" customWidth="1"/>
    <col min="5129" max="5129" width="11.140625" bestFit="1" customWidth="1"/>
    <col min="5130" max="5130" width="10.42578125" customWidth="1"/>
    <col min="5377" max="5377" width="53.28515625" customWidth="1"/>
    <col min="5378" max="5378" width="15.5703125" bestFit="1" customWidth="1"/>
    <col min="5379" max="5379" width="10.5703125" customWidth="1"/>
    <col min="5380" max="5380" width="10.5703125" bestFit="1" customWidth="1"/>
    <col min="5382" max="5382" width="10.140625" customWidth="1"/>
    <col min="5383" max="5383" width="12.28515625" customWidth="1"/>
    <col min="5384" max="5384" width="10.85546875" bestFit="1" customWidth="1"/>
    <col min="5385" max="5385" width="11.140625" bestFit="1" customWidth="1"/>
    <col min="5386" max="5386" width="10.42578125" customWidth="1"/>
    <col min="5633" max="5633" width="53.28515625" customWidth="1"/>
    <col min="5634" max="5634" width="15.5703125" bestFit="1" customWidth="1"/>
    <col min="5635" max="5635" width="10.5703125" customWidth="1"/>
    <col min="5636" max="5636" width="10.5703125" bestFit="1" customWidth="1"/>
    <col min="5638" max="5638" width="10.140625" customWidth="1"/>
    <col min="5639" max="5639" width="12.28515625" customWidth="1"/>
    <col min="5640" max="5640" width="10.85546875" bestFit="1" customWidth="1"/>
    <col min="5641" max="5641" width="11.140625" bestFit="1" customWidth="1"/>
    <col min="5642" max="5642" width="10.42578125" customWidth="1"/>
    <col min="5889" max="5889" width="53.28515625" customWidth="1"/>
    <col min="5890" max="5890" width="15.5703125" bestFit="1" customWidth="1"/>
    <col min="5891" max="5891" width="10.5703125" customWidth="1"/>
    <col min="5892" max="5892" width="10.5703125" bestFit="1" customWidth="1"/>
    <col min="5894" max="5894" width="10.140625" customWidth="1"/>
    <col min="5895" max="5895" width="12.28515625" customWidth="1"/>
    <col min="5896" max="5896" width="10.85546875" bestFit="1" customWidth="1"/>
    <col min="5897" max="5897" width="11.140625" bestFit="1" customWidth="1"/>
    <col min="5898" max="5898" width="10.42578125" customWidth="1"/>
    <col min="6145" max="6145" width="53.28515625" customWidth="1"/>
    <col min="6146" max="6146" width="15.5703125" bestFit="1" customWidth="1"/>
    <col min="6147" max="6147" width="10.5703125" customWidth="1"/>
    <col min="6148" max="6148" width="10.5703125" bestFit="1" customWidth="1"/>
    <col min="6150" max="6150" width="10.140625" customWidth="1"/>
    <col min="6151" max="6151" width="12.28515625" customWidth="1"/>
    <col min="6152" max="6152" width="10.85546875" bestFit="1" customWidth="1"/>
    <col min="6153" max="6153" width="11.140625" bestFit="1" customWidth="1"/>
    <col min="6154" max="6154" width="10.42578125" customWidth="1"/>
    <col min="6401" max="6401" width="53.28515625" customWidth="1"/>
    <col min="6402" max="6402" width="15.5703125" bestFit="1" customWidth="1"/>
    <col min="6403" max="6403" width="10.5703125" customWidth="1"/>
    <col min="6404" max="6404" width="10.5703125" bestFit="1" customWidth="1"/>
    <col min="6406" max="6406" width="10.140625" customWidth="1"/>
    <col min="6407" max="6407" width="12.28515625" customWidth="1"/>
    <col min="6408" max="6408" width="10.85546875" bestFit="1" customWidth="1"/>
    <col min="6409" max="6409" width="11.140625" bestFit="1" customWidth="1"/>
    <col min="6410" max="6410" width="10.42578125" customWidth="1"/>
    <col min="6657" max="6657" width="53.28515625" customWidth="1"/>
    <col min="6658" max="6658" width="15.5703125" bestFit="1" customWidth="1"/>
    <col min="6659" max="6659" width="10.5703125" customWidth="1"/>
    <col min="6660" max="6660" width="10.5703125" bestFit="1" customWidth="1"/>
    <col min="6662" max="6662" width="10.140625" customWidth="1"/>
    <col min="6663" max="6663" width="12.28515625" customWidth="1"/>
    <col min="6664" max="6664" width="10.85546875" bestFit="1" customWidth="1"/>
    <col min="6665" max="6665" width="11.140625" bestFit="1" customWidth="1"/>
    <col min="6666" max="6666" width="10.42578125" customWidth="1"/>
    <col min="6913" max="6913" width="53.28515625" customWidth="1"/>
    <col min="6914" max="6914" width="15.5703125" bestFit="1" customWidth="1"/>
    <col min="6915" max="6915" width="10.5703125" customWidth="1"/>
    <col min="6916" max="6916" width="10.5703125" bestFit="1" customWidth="1"/>
    <col min="6918" max="6918" width="10.140625" customWidth="1"/>
    <col min="6919" max="6919" width="12.28515625" customWidth="1"/>
    <col min="6920" max="6920" width="10.85546875" bestFit="1" customWidth="1"/>
    <col min="6921" max="6921" width="11.140625" bestFit="1" customWidth="1"/>
    <col min="6922" max="6922" width="10.42578125" customWidth="1"/>
    <col min="7169" max="7169" width="53.28515625" customWidth="1"/>
    <col min="7170" max="7170" width="15.5703125" bestFit="1" customWidth="1"/>
    <col min="7171" max="7171" width="10.5703125" customWidth="1"/>
    <col min="7172" max="7172" width="10.5703125" bestFit="1" customWidth="1"/>
    <col min="7174" max="7174" width="10.140625" customWidth="1"/>
    <col min="7175" max="7175" width="12.28515625" customWidth="1"/>
    <col min="7176" max="7176" width="10.85546875" bestFit="1" customWidth="1"/>
    <col min="7177" max="7177" width="11.140625" bestFit="1" customWidth="1"/>
    <col min="7178" max="7178" width="10.42578125" customWidth="1"/>
    <col min="7425" max="7425" width="53.28515625" customWidth="1"/>
    <col min="7426" max="7426" width="15.5703125" bestFit="1" customWidth="1"/>
    <col min="7427" max="7427" width="10.5703125" customWidth="1"/>
    <col min="7428" max="7428" width="10.5703125" bestFit="1" customWidth="1"/>
    <col min="7430" max="7430" width="10.140625" customWidth="1"/>
    <col min="7431" max="7431" width="12.28515625" customWidth="1"/>
    <col min="7432" max="7432" width="10.85546875" bestFit="1" customWidth="1"/>
    <col min="7433" max="7433" width="11.140625" bestFit="1" customWidth="1"/>
    <col min="7434" max="7434" width="10.42578125" customWidth="1"/>
    <col min="7681" max="7681" width="53.28515625" customWidth="1"/>
    <col min="7682" max="7682" width="15.5703125" bestFit="1" customWidth="1"/>
    <col min="7683" max="7683" width="10.5703125" customWidth="1"/>
    <col min="7684" max="7684" width="10.5703125" bestFit="1" customWidth="1"/>
    <col min="7686" max="7686" width="10.140625" customWidth="1"/>
    <col min="7687" max="7687" width="12.28515625" customWidth="1"/>
    <col min="7688" max="7688" width="10.85546875" bestFit="1" customWidth="1"/>
    <col min="7689" max="7689" width="11.140625" bestFit="1" customWidth="1"/>
    <col min="7690" max="7690" width="10.42578125" customWidth="1"/>
    <col min="7937" max="7937" width="53.28515625" customWidth="1"/>
    <col min="7938" max="7938" width="15.5703125" bestFit="1" customWidth="1"/>
    <col min="7939" max="7939" width="10.5703125" customWidth="1"/>
    <col min="7940" max="7940" width="10.5703125" bestFit="1" customWidth="1"/>
    <col min="7942" max="7942" width="10.140625" customWidth="1"/>
    <col min="7943" max="7943" width="12.28515625" customWidth="1"/>
    <col min="7944" max="7944" width="10.85546875" bestFit="1" customWidth="1"/>
    <col min="7945" max="7945" width="11.140625" bestFit="1" customWidth="1"/>
    <col min="7946" max="7946" width="10.42578125" customWidth="1"/>
    <col min="8193" max="8193" width="53.28515625" customWidth="1"/>
    <col min="8194" max="8194" width="15.5703125" bestFit="1" customWidth="1"/>
    <col min="8195" max="8195" width="10.5703125" customWidth="1"/>
    <col min="8196" max="8196" width="10.5703125" bestFit="1" customWidth="1"/>
    <col min="8198" max="8198" width="10.140625" customWidth="1"/>
    <col min="8199" max="8199" width="12.28515625" customWidth="1"/>
    <col min="8200" max="8200" width="10.85546875" bestFit="1" customWidth="1"/>
    <col min="8201" max="8201" width="11.140625" bestFit="1" customWidth="1"/>
    <col min="8202" max="8202" width="10.42578125" customWidth="1"/>
    <col min="8449" max="8449" width="53.28515625" customWidth="1"/>
    <col min="8450" max="8450" width="15.5703125" bestFit="1" customWidth="1"/>
    <col min="8451" max="8451" width="10.5703125" customWidth="1"/>
    <col min="8452" max="8452" width="10.5703125" bestFit="1" customWidth="1"/>
    <col min="8454" max="8454" width="10.140625" customWidth="1"/>
    <col min="8455" max="8455" width="12.28515625" customWidth="1"/>
    <col min="8456" max="8456" width="10.85546875" bestFit="1" customWidth="1"/>
    <col min="8457" max="8457" width="11.140625" bestFit="1" customWidth="1"/>
    <col min="8458" max="8458" width="10.42578125" customWidth="1"/>
    <col min="8705" max="8705" width="53.28515625" customWidth="1"/>
    <col min="8706" max="8706" width="15.5703125" bestFit="1" customWidth="1"/>
    <col min="8707" max="8707" width="10.5703125" customWidth="1"/>
    <col min="8708" max="8708" width="10.5703125" bestFit="1" customWidth="1"/>
    <col min="8710" max="8710" width="10.140625" customWidth="1"/>
    <col min="8711" max="8711" width="12.28515625" customWidth="1"/>
    <col min="8712" max="8712" width="10.85546875" bestFit="1" customWidth="1"/>
    <col min="8713" max="8713" width="11.140625" bestFit="1" customWidth="1"/>
    <col min="8714" max="8714" width="10.42578125" customWidth="1"/>
    <col min="8961" max="8961" width="53.28515625" customWidth="1"/>
    <col min="8962" max="8962" width="15.5703125" bestFit="1" customWidth="1"/>
    <col min="8963" max="8963" width="10.5703125" customWidth="1"/>
    <col min="8964" max="8964" width="10.5703125" bestFit="1" customWidth="1"/>
    <col min="8966" max="8966" width="10.140625" customWidth="1"/>
    <col min="8967" max="8967" width="12.28515625" customWidth="1"/>
    <col min="8968" max="8968" width="10.85546875" bestFit="1" customWidth="1"/>
    <col min="8969" max="8969" width="11.140625" bestFit="1" customWidth="1"/>
    <col min="8970" max="8970" width="10.42578125" customWidth="1"/>
    <col min="9217" max="9217" width="53.28515625" customWidth="1"/>
    <col min="9218" max="9218" width="15.5703125" bestFit="1" customWidth="1"/>
    <col min="9219" max="9219" width="10.5703125" customWidth="1"/>
    <col min="9220" max="9220" width="10.5703125" bestFit="1" customWidth="1"/>
    <col min="9222" max="9222" width="10.140625" customWidth="1"/>
    <col min="9223" max="9223" width="12.28515625" customWidth="1"/>
    <col min="9224" max="9224" width="10.85546875" bestFit="1" customWidth="1"/>
    <col min="9225" max="9225" width="11.140625" bestFit="1" customWidth="1"/>
    <col min="9226" max="9226" width="10.42578125" customWidth="1"/>
    <col min="9473" max="9473" width="53.28515625" customWidth="1"/>
    <col min="9474" max="9474" width="15.5703125" bestFit="1" customWidth="1"/>
    <col min="9475" max="9475" width="10.5703125" customWidth="1"/>
    <col min="9476" max="9476" width="10.5703125" bestFit="1" customWidth="1"/>
    <col min="9478" max="9478" width="10.140625" customWidth="1"/>
    <col min="9479" max="9479" width="12.28515625" customWidth="1"/>
    <col min="9480" max="9480" width="10.85546875" bestFit="1" customWidth="1"/>
    <col min="9481" max="9481" width="11.140625" bestFit="1" customWidth="1"/>
    <col min="9482" max="9482" width="10.42578125" customWidth="1"/>
    <col min="9729" max="9729" width="53.28515625" customWidth="1"/>
    <col min="9730" max="9730" width="15.5703125" bestFit="1" customWidth="1"/>
    <col min="9731" max="9731" width="10.5703125" customWidth="1"/>
    <col min="9732" max="9732" width="10.5703125" bestFit="1" customWidth="1"/>
    <col min="9734" max="9734" width="10.140625" customWidth="1"/>
    <col min="9735" max="9735" width="12.28515625" customWidth="1"/>
    <col min="9736" max="9736" width="10.85546875" bestFit="1" customWidth="1"/>
    <col min="9737" max="9737" width="11.140625" bestFit="1" customWidth="1"/>
    <col min="9738" max="9738" width="10.42578125" customWidth="1"/>
    <col min="9985" max="9985" width="53.28515625" customWidth="1"/>
    <col min="9986" max="9986" width="15.5703125" bestFit="1" customWidth="1"/>
    <col min="9987" max="9987" width="10.5703125" customWidth="1"/>
    <col min="9988" max="9988" width="10.5703125" bestFit="1" customWidth="1"/>
    <col min="9990" max="9990" width="10.140625" customWidth="1"/>
    <col min="9991" max="9991" width="12.28515625" customWidth="1"/>
    <col min="9992" max="9992" width="10.85546875" bestFit="1" customWidth="1"/>
    <col min="9993" max="9993" width="11.140625" bestFit="1" customWidth="1"/>
    <col min="9994" max="9994" width="10.42578125" customWidth="1"/>
    <col min="10241" max="10241" width="53.28515625" customWidth="1"/>
    <col min="10242" max="10242" width="15.5703125" bestFit="1" customWidth="1"/>
    <col min="10243" max="10243" width="10.5703125" customWidth="1"/>
    <col min="10244" max="10244" width="10.5703125" bestFit="1" customWidth="1"/>
    <col min="10246" max="10246" width="10.140625" customWidth="1"/>
    <col min="10247" max="10247" width="12.28515625" customWidth="1"/>
    <col min="10248" max="10248" width="10.85546875" bestFit="1" customWidth="1"/>
    <col min="10249" max="10249" width="11.140625" bestFit="1" customWidth="1"/>
    <col min="10250" max="10250" width="10.42578125" customWidth="1"/>
    <col min="10497" max="10497" width="53.28515625" customWidth="1"/>
    <col min="10498" max="10498" width="15.5703125" bestFit="1" customWidth="1"/>
    <col min="10499" max="10499" width="10.5703125" customWidth="1"/>
    <col min="10500" max="10500" width="10.5703125" bestFit="1" customWidth="1"/>
    <col min="10502" max="10502" width="10.140625" customWidth="1"/>
    <col min="10503" max="10503" width="12.28515625" customWidth="1"/>
    <col min="10504" max="10504" width="10.85546875" bestFit="1" customWidth="1"/>
    <col min="10505" max="10505" width="11.140625" bestFit="1" customWidth="1"/>
    <col min="10506" max="10506" width="10.42578125" customWidth="1"/>
    <col min="10753" max="10753" width="53.28515625" customWidth="1"/>
    <col min="10754" max="10754" width="15.5703125" bestFit="1" customWidth="1"/>
    <col min="10755" max="10755" width="10.5703125" customWidth="1"/>
    <col min="10756" max="10756" width="10.5703125" bestFit="1" customWidth="1"/>
    <col min="10758" max="10758" width="10.140625" customWidth="1"/>
    <col min="10759" max="10759" width="12.28515625" customWidth="1"/>
    <col min="10760" max="10760" width="10.85546875" bestFit="1" customWidth="1"/>
    <col min="10761" max="10761" width="11.140625" bestFit="1" customWidth="1"/>
    <col min="10762" max="10762" width="10.42578125" customWidth="1"/>
    <col min="11009" max="11009" width="53.28515625" customWidth="1"/>
    <col min="11010" max="11010" width="15.5703125" bestFit="1" customWidth="1"/>
    <col min="11011" max="11011" width="10.5703125" customWidth="1"/>
    <col min="11012" max="11012" width="10.5703125" bestFit="1" customWidth="1"/>
    <col min="11014" max="11014" width="10.140625" customWidth="1"/>
    <col min="11015" max="11015" width="12.28515625" customWidth="1"/>
    <col min="11016" max="11016" width="10.85546875" bestFit="1" customWidth="1"/>
    <col min="11017" max="11017" width="11.140625" bestFit="1" customWidth="1"/>
    <col min="11018" max="11018" width="10.42578125" customWidth="1"/>
    <col min="11265" max="11265" width="53.28515625" customWidth="1"/>
    <col min="11266" max="11266" width="15.5703125" bestFit="1" customWidth="1"/>
    <col min="11267" max="11267" width="10.5703125" customWidth="1"/>
    <col min="11268" max="11268" width="10.5703125" bestFit="1" customWidth="1"/>
    <col min="11270" max="11270" width="10.140625" customWidth="1"/>
    <col min="11271" max="11271" width="12.28515625" customWidth="1"/>
    <col min="11272" max="11272" width="10.85546875" bestFit="1" customWidth="1"/>
    <col min="11273" max="11273" width="11.140625" bestFit="1" customWidth="1"/>
    <col min="11274" max="11274" width="10.42578125" customWidth="1"/>
    <col min="11521" max="11521" width="53.28515625" customWidth="1"/>
    <col min="11522" max="11522" width="15.5703125" bestFit="1" customWidth="1"/>
    <col min="11523" max="11523" width="10.5703125" customWidth="1"/>
    <col min="11524" max="11524" width="10.5703125" bestFit="1" customWidth="1"/>
    <col min="11526" max="11526" width="10.140625" customWidth="1"/>
    <col min="11527" max="11527" width="12.28515625" customWidth="1"/>
    <col min="11528" max="11528" width="10.85546875" bestFit="1" customWidth="1"/>
    <col min="11529" max="11529" width="11.140625" bestFit="1" customWidth="1"/>
    <col min="11530" max="11530" width="10.42578125" customWidth="1"/>
    <col min="11777" max="11777" width="53.28515625" customWidth="1"/>
    <col min="11778" max="11778" width="15.5703125" bestFit="1" customWidth="1"/>
    <col min="11779" max="11779" width="10.5703125" customWidth="1"/>
    <col min="11780" max="11780" width="10.5703125" bestFit="1" customWidth="1"/>
    <col min="11782" max="11782" width="10.140625" customWidth="1"/>
    <col min="11783" max="11783" width="12.28515625" customWidth="1"/>
    <col min="11784" max="11784" width="10.85546875" bestFit="1" customWidth="1"/>
    <col min="11785" max="11785" width="11.140625" bestFit="1" customWidth="1"/>
    <col min="11786" max="11786" width="10.42578125" customWidth="1"/>
    <col min="12033" max="12033" width="53.28515625" customWidth="1"/>
    <col min="12034" max="12034" width="15.5703125" bestFit="1" customWidth="1"/>
    <col min="12035" max="12035" width="10.5703125" customWidth="1"/>
    <col min="12036" max="12036" width="10.5703125" bestFit="1" customWidth="1"/>
    <col min="12038" max="12038" width="10.140625" customWidth="1"/>
    <col min="12039" max="12039" width="12.28515625" customWidth="1"/>
    <col min="12040" max="12040" width="10.85546875" bestFit="1" customWidth="1"/>
    <col min="12041" max="12041" width="11.140625" bestFit="1" customWidth="1"/>
    <col min="12042" max="12042" width="10.42578125" customWidth="1"/>
    <col min="12289" max="12289" width="53.28515625" customWidth="1"/>
    <col min="12290" max="12290" width="15.5703125" bestFit="1" customWidth="1"/>
    <col min="12291" max="12291" width="10.5703125" customWidth="1"/>
    <col min="12292" max="12292" width="10.5703125" bestFit="1" customWidth="1"/>
    <col min="12294" max="12294" width="10.140625" customWidth="1"/>
    <col min="12295" max="12295" width="12.28515625" customWidth="1"/>
    <col min="12296" max="12296" width="10.85546875" bestFit="1" customWidth="1"/>
    <col min="12297" max="12297" width="11.140625" bestFit="1" customWidth="1"/>
    <col min="12298" max="12298" width="10.42578125" customWidth="1"/>
    <col min="12545" max="12545" width="53.28515625" customWidth="1"/>
    <col min="12546" max="12546" width="15.5703125" bestFit="1" customWidth="1"/>
    <col min="12547" max="12547" width="10.5703125" customWidth="1"/>
    <col min="12548" max="12548" width="10.5703125" bestFit="1" customWidth="1"/>
    <col min="12550" max="12550" width="10.140625" customWidth="1"/>
    <col min="12551" max="12551" width="12.28515625" customWidth="1"/>
    <col min="12552" max="12552" width="10.85546875" bestFit="1" customWidth="1"/>
    <col min="12553" max="12553" width="11.140625" bestFit="1" customWidth="1"/>
    <col min="12554" max="12554" width="10.42578125" customWidth="1"/>
    <col min="12801" max="12801" width="53.28515625" customWidth="1"/>
    <col min="12802" max="12802" width="15.5703125" bestFit="1" customWidth="1"/>
    <col min="12803" max="12803" width="10.5703125" customWidth="1"/>
    <col min="12804" max="12804" width="10.5703125" bestFit="1" customWidth="1"/>
    <col min="12806" max="12806" width="10.140625" customWidth="1"/>
    <col min="12807" max="12807" width="12.28515625" customWidth="1"/>
    <col min="12808" max="12808" width="10.85546875" bestFit="1" customWidth="1"/>
    <col min="12809" max="12809" width="11.140625" bestFit="1" customWidth="1"/>
    <col min="12810" max="12810" width="10.42578125" customWidth="1"/>
    <col min="13057" max="13057" width="53.28515625" customWidth="1"/>
    <col min="13058" max="13058" width="15.5703125" bestFit="1" customWidth="1"/>
    <col min="13059" max="13059" width="10.5703125" customWidth="1"/>
    <col min="13060" max="13060" width="10.5703125" bestFit="1" customWidth="1"/>
    <col min="13062" max="13062" width="10.140625" customWidth="1"/>
    <col min="13063" max="13063" width="12.28515625" customWidth="1"/>
    <col min="13064" max="13064" width="10.85546875" bestFit="1" customWidth="1"/>
    <col min="13065" max="13065" width="11.140625" bestFit="1" customWidth="1"/>
    <col min="13066" max="13066" width="10.42578125" customWidth="1"/>
    <col min="13313" max="13313" width="53.28515625" customWidth="1"/>
    <col min="13314" max="13314" width="15.5703125" bestFit="1" customWidth="1"/>
    <col min="13315" max="13315" width="10.5703125" customWidth="1"/>
    <col min="13316" max="13316" width="10.5703125" bestFit="1" customWidth="1"/>
    <col min="13318" max="13318" width="10.140625" customWidth="1"/>
    <col min="13319" max="13319" width="12.28515625" customWidth="1"/>
    <col min="13320" max="13320" width="10.85546875" bestFit="1" customWidth="1"/>
    <col min="13321" max="13321" width="11.140625" bestFit="1" customWidth="1"/>
    <col min="13322" max="13322" width="10.42578125" customWidth="1"/>
    <col min="13569" max="13569" width="53.28515625" customWidth="1"/>
    <col min="13570" max="13570" width="15.5703125" bestFit="1" customWidth="1"/>
    <col min="13571" max="13571" width="10.5703125" customWidth="1"/>
    <col min="13572" max="13572" width="10.5703125" bestFit="1" customWidth="1"/>
    <col min="13574" max="13574" width="10.140625" customWidth="1"/>
    <col min="13575" max="13575" width="12.28515625" customWidth="1"/>
    <col min="13576" max="13576" width="10.85546875" bestFit="1" customWidth="1"/>
    <col min="13577" max="13577" width="11.140625" bestFit="1" customWidth="1"/>
    <col min="13578" max="13578" width="10.42578125" customWidth="1"/>
    <col min="13825" max="13825" width="53.28515625" customWidth="1"/>
    <col min="13826" max="13826" width="15.5703125" bestFit="1" customWidth="1"/>
    <col min="13827" max="13827" width="10.5703125" customWidth="1"/>
    <col min="13828" max="13828" width="10.5703125" bestFit="1" customWidth="1"/>
    <col min="13830" max="13830" width="10.140625" customWidth="1"/>
    <col min="13831" max="13831" width="12.28515625" customWidth="1"/>
    <col min="13832" max="13832" width="10.85546875" bestFit="1" customWidth="1"/>
    <col min="13833" max="13833" width="11.140625" bestFit="1" customWidth="1"/>
    <col min="13834" max="13834" width="10.42578125" customWidth="1"/>
    <col min="14081" max="14081" width="53.28515625" customWidth="1"/>
    <col min="14082" max="14082" width="15.5703125" bestFit="1" customWidth="1"/>
    <col min="14083" max="14083" width="10.5703125" customWidth="1"/>
    <col min="14084" max="14084" width="10.5703125" bestFit="1" customWidth="1"/>
    <col min="14086" max="14086" width="10.140625" customWidth="1"/>
    <col min="14087" max="14087" width="12.28515625" customWidth="1"/>
    <col min="14088" max="14088" width="10.85546875" bestFit="1" customWidth="1"/>
    <col min="14089" max="14089" width="11.140625" bestFit="1" customWidth="1"/>
    <col min="14090" max="14090" width="10.42578125" customWidth="1"/>
    <col min="14337" max="14337" width="53.28515625" customWidth="1"/>
    <col min="14338" max="14338" width="15.5703125" bestFit="1" customWidth="1"/>
    <col min="14339" max="14339" width="10.5703125" customWidth="1"/>
    <col min="14340" max="14340" width="10.5703125" bestFit="1" customWidth="1"/>
    <col min="14342" max="14342" width="10.140625" customWidth="1"/>
    <col min="14343" max="14343" width="12.28515625" customWidth="1"/>
    <col min="14344" max="14344" width="10.85546875" bestFit="1" customWidth="1"/>
    <col min="14345" max="14345" width="11.140625" bestFit="1" customWidth="1"/>
    <col min="14346" max="14346" width="10.42578125" customWidth="1"/>
    <col min="14593" max="14593" width="53.28515625" customWidth="1"/>
    <col min="14594" max="14594" width="15.5703125" bestFit="1" customWidth="1"/>
    <col min="14595" max="14595" width="10.5703125" customWidth="1"/>
    <col min="14596" max="14596" width="10.5703125" bestFit="1" customWidth="1"/>
    <col min="14598" max="14598" width="10.140625" customWidth="1"/>
    <col min="14599" max="14599" width="12.28515625" customWidth="1"/>
    <col min="14600" max="14600" width="10.85546875" bestFit="1" customWidth="1"/>
    <col min="14601" max="14601" width="11.140625" bestFit="1" customWidth="1"/>
    <col min="14602" max="14602" width="10.42578125" customWidth="1"/>
    <col min="14849" max="14849" width="53.28515625" customWidth="1"/>
    <col min="14850" max="14850" width="15.5703125" bestFit="1" customWidth="1"/>
    <col min="14851" max="14851" width="10.5703125" customWidth="1"/>
    <col min="14852" max="14852" width="10.5703125" bestFit="1" customWidth="1"/>
    <col min="14854" max="14854" width="10.140625" customWidth="1"/>
    <col min="14855" max="14855" width="12.28515625" customWidth="1"/>
    <col min="14856" max="14856" width="10.85546875" bestFit="1" customWidth="1"/>
    <col min="14857" max="14857" width="11.140625" bestFit="1" customWidth="1"/>
    <col min="14858" max="14858" width="10.42578125" customWidth="1"/>
    <col min="15105" max="15105" width="53.28515625" customWidth="1"/>
    <col min="15106" max="15106" width="15.5703125" bestFit="1" customWidth="1"/>
    <col min="15107" max="15107" width="10.5703125" customWidth="1"/>
    <col min="15108" max="15108" width="10.5703125" bestFit="1" customWidth="1"/>
    <col min="15110" max="15110" width="10.140625" customWidth="1"/>
    <col min="15111" max="15111" width="12.28515625" customWidth="1"/>
    <col min="15112" max="15112" width="10.85546875" bestFit="1" customWidth="1"/>
    <col min="15113" max="15113" width="11.140625" bestFit="1" customWidth="1"/>
    <col min="15114" max="15114" width="10.42578125" customWidth="1"/>
    <col min="15361" max="15361" width="53.28515625" customWidth="1"/>
    <col min="15362" max="15362" width="15.5703125" bestFit="1" customWidth="1"/>
    <col min="15363" max="15363" width="10.5703125" customWidth="1"/>
    <col min="15364" max="15364" width="10.5703125" bestFit="1" customWidth="1"/>
    <col min="15366" max="15366" width="10.140625" customWidth="1"/>
    <col min="15367" max="15367" width="12.28515625" customWidth="1"/>
    <col min="15368" max="15368" width="10.85546875" bestFit="1" customWidth="1"/>
    <col min="15369" max="15369" width="11.140625" bestFit="1" customWidth="1"/>
    <col min="15370" max="15370" width="10.42578125" customWidth="1"/>
    <col min="15617" max="15617" width="53.28515625" customWidth="1"/>
    <col min="15618" max="15618" width="15.5703125" bestFit="1" customWidth="1"/>
    <col min="15619" max="15619" width="10.5703125" customWidth="1"/>
    <col min="15620" max="15620" width="10.5703125" bestFit="1" customWidth="1"/>
    <col min="15622" max="15622" width="10.140625" customWidth="1"/>
    <col min="15623" max="15623" width="12.28515625" customWidth="1"/>
    <col min="15624" max="15624" width="10.85546875" bestFit="1" customWidth="1"/>
    <col min="15625" max="15625" width="11.140625" bestFit="1" customWidth="1"/>
    <col min="15626" max="15626" width="10.42578125" customWidth="1"/>
    <col min="15873" max="15873" width="53.28515625" customWidth="1"/>
    <col min="15874" max="15874" width="15.5703125" bestFit="1" customWidth="1"/>
    <col min="15875" max="15875" width="10.5703125" customWidth="1"/>
    <col min="15876" max="15876" width="10.5703125" bestFit="1" customWidth="1"/>
    <col min="15878" max="15878" width="10.140625" customWidth="1"/>
    <col min="15879" max="15879" width="12.28515625" customWidth="1"/>
    <col min="15880" max="15880" width="10.85546875" bestFit="1" customWidth="1"/>
    <col min="15881" max="15881" width="11.140625" bestFit="1" customWidth="1"/>
    <col min="15882" max="15882" width="10.42578125" customWidth="1"/>
    <col min="16129" max="16129" width="53.28515625" customWidth="1"/>
    <col min="16130" max="16130" width="15.5703125" bestFit="1" customWidth="1"/>
    <col min="16131" max="16131" width="10.5703125" customWidth="1"/>
    <col min="16132" max="16132" width="10.5703125" bestFit="1" customWidth="1"/>
    <col min="16134" max="16134" width="10.140625" customWidth="1"/>
    <col min="16135" max="16135" width="12.28515625" customWidth="1"/>
    <col min="16136" max="16136" width="10.85546875" bestFit="1" customWidth="1"/>
    <col min="16137" max="16137" width="11.140625" bestFit="1" customWidth="1"/>
    <col min="16138" max="16138" width="10.42578125" customWidth="1"/>
  </cols>
  <sheetData>
    <row r="1" spans="1:11" ht="16.5" thickBot="1" x14ac:dyDescent="0.3">
      <c r="A1" s="203" t="s">
        <v>126</v>
      </c>
      <c r="B1" s="204"/>
      <c r="C1" s="204"/>
      <c r="D1" s="204"/>
      <c r="E1" s="204"/>
      <c r="F1" s="204"/>
      <c r="G1" s="204"/>
      <c r="H1" s="204"/>
      <c r="I1" s="204"/>
      <c r="J1" s="204"/>
      <c r="K1" s="205"/>
    </row>
    <row r="3" spans="1:11" x14ac:dyDescent="0.2">
      <c r="A3" s="12" t="s">
        <v>13</v>
      </c>
      <c r="B3" s="12" t="s">
        <v>1</v>
      </c>
    </row>
    <row r="4" spans="1:11" x14ac:dyDescent="0.2">
      <c r="A4" s="14" t="s">
        <v>62</v>
      </c>
      <c r="B4" s="14">
        <v>750</v>
      </c>
    </row>
    <row r="5" spans="1:11" x14ac:dyDescent="0.2">
      <c r="A5" s="14" t="s">
        <v>16</v>
      </c>
      <c r="B5" s="14">
        <f>VLOOKUP($B$3,'Data for Bill Impacts'!$A$3:$Y$15,5,0)</f>
        <v>0</v>
      </c>
    </row>
    <row r="6" spans="1:11" x14ac:dyDescent="0.2">
      <c r="A6" s="14" t="s">
        <v>20</v>
      </c>
      <c r="B6" s="14">
        <f>VLOOKUP($B$3,'Data for Bill Impacts'!$A$3:$Y$15,2,0)</f>
        <v>1.0760000000000001</v>
      </c>
    </row>
    <row r="7" spans="1:11" x14ac:dyDescent="0.2">
      <c r="A7" s="14" t="s">
        <v>15</v>
      </c>
      <c r="B7" s="14">
        <f>VLOOKUP($B$3,'Data for Bill Impacts'!$A$3:$Y$15,4,0)</f>
        <v>600</v>
      </c>
    </row>
    <row r="8" spans="1:11" x14ac:dyDescent="0.2">
      <c r="A8" s="14" t="s">
        <v>82</v>
      </c>
      <c r="B8" s="149">
        <f>B4*B6</f>
        <v>807</v>
      </c>
    </row>
    <row r="9" spans="1:11" x14ac:dyDescent="0.2">
      <c r="A9" s="14" t="s">
        <v>21</v>
      </c>
      <c r="B9" s="15" t="str">
        <f>VLOOKUP($B$3,'Data for Bill Impacts'!$A$3:$Y$15,6,0)</f>
        <v>kWh</v>
      </c>
    </row>
    <row r="10" spans="1:11" ht="13.5" thickBot="1" x14ac:dyDescent="0.25"/>
    <row r="11" spans="1:11" s="19" customFormat="1" ht="39" thickBot="1" x14ac:dyDescent="0.25">
      <c r="A11" s="16"/>
      <c r="B11" s="17" t="s">
        <v>22</v>
      </c>
      <c r="C11" s="17" t="s">
        <v>23</v>
      </c>
      <c r="D11" s="17" t="s">
        <v>24</v>
      </c>
      <c r="E11" s="17" t="s">
        <v>22</v>
      </c>
      <c r="F11" s="17" t="s">
        <v>25</v>
      </c>
      <c r="G11" s="17" t="s">
        <v>26</v>
      </c>
      <c r="H11" s="17" t="s">
        <v>27</v>
      </c>
      <c r="I11" s="17" t="s">
        <v>28</v>
      </c>
      <c r="J11" s="17" t="s">
        <v>29</v>
      </c>
      <c r="K11" s="18" t="s">
        <v>30</v>
      </c>
    </row>
    <row r="12" spans="1:11" x14ac:dyDescent="0.2">
      <c r="A12" s="100" t="s">
        <v>31</v>
      </c>
      <c r="B12" s="101">
        <f>IF(B4&gt;B7,B7,B4)</f>
        <v>600</v>
      </c>
      <c r="C12" s="102">
        <v>0.10299999999999999</v>
      </c>
      <c r="D12" s="103">
        <f>B12*C12</f>
        <v>61.8</v>
      </c>
      <c r="E12" s="101">
        <f>B12</f>
        <v>600</v>
      </c>
      <c r="F12" s="102">
        <f>C12</f>
        <v>0.10299999999999999</v>
      </c>
      <c r="G12" s="103">
        <f>E12*F12</f>
        <v>61.8</v>
      </c>
      <c r="H12" s="103">
        <f>G12-D12</f>
        <v>0</v>
      </c>
      <c r="I12" s="104">
        <f>IF(ISERROR(H12/D12),0,(H12/D12))</f>
        <v>0</v>
      </c>
      <c r="J12" s="104">
        <f>G12/$G$46</f>
        <v>0.3516246123914733</v>
      </c>
      <c r="K12" s="105"/>
    </row>
    <row r="13" spans="1:11" x14ac:dyDescent="0.2">
      <c r="A13" s="106" t="s">
        <v>32</v>
      </c>
      <c r="B13" s="72">
        <f>IF(B4&gt;B7,(B4)-B7,0)</f>
        <v>150</v>
      </c>
      <c r="C13" s="20">
        <v>0.121</v>
      </c>
      <c r="D13" s="21">
        <f>B13*C13</f>
        <v>18.149999999999999</v>
      </c>
      <c r="E13" s="72">
        <f t="shared" ref="E13" si="0">B13</f>
        <v>150</v>
      </c>
      <c r="F13" s="20">
        <f>C13</f>
        <v>0.121</v>
      </c>
      <c r="G13" s="21">
        <f>E13*F13</f>
        <v>18.149999999999999</v>
      </c>
      <c r="H13" s="21">
        <f t="shared" ref="H13:H46" si="1">G13-D13</f>
        <v>0</v>
      </c>
      <c r="I13" s="22">
        <f t="shared" ref="I13:I46" si="2">IF(ISERROR(H13/D13),0,(H13/D13))</f>
        <v>0</v>
      </c>
      <c r="J13" s="22">
        <f>G13/$G$46</f>
        <v>0.10326839344506862</v>
      </c>
      <c r="K13" s="107"/>
    </row>
    <row r="14" spans="1:11" s="1" customFormat="1" x14ac:dyDescent="0.2">
      <c r="A14" s="45" t="s">
        <v>33</v>
      </c>
      <c r="B14" s="23"/>
      <c r="C14" s="24"/>
      <c r="D14" s="24">
        <f>SUM(D12:D13)</f>
        <v>79.949999999999989</v>
      </c>
      <c r="E14" s="75"/>
      <c r="F14" s="24"/>
      <c r="G14" s="24">
        <f>SUM(G12:G13)</f>
        <v>79.949999999999989</v>
      </c>
      <c r="H14" s="24">
        <f t="shared" si="1"/>
        <v>0</v>
      </c>
      <c r="I14" s="26">
        <f t="shared" si="2"/>
        <v>0</v>
      </c>
      <c r="J14" s="26">
        <f>G14/$G$46</f>
        <v>0.45489300583654191</v>
      </c>
      <c r="K14" s="107"/>
    </row>
    <row r="15" spans="1:11" s="1" customFormat="1" x14ac:dyDescent="0.2">
      <c r="A15" s="108" t="s">
        <v>34</v>
      </c>
      <c r="B15" s="74">
        <f>B4*0.65</f>
        <v>487.5</v>
      </c>
      <c r="C15" s="27">
        <v>8.6999999999999994E-2</v>
      </c>
      <c r="D15" s="21">
        <f>B15*C15</f>
        <v>42.412499999999994</v>
      </c>
      <c r="E15" s="72">
        <f t="shared" ref="E15:F17" si="3">B15</f>
        <v>487.5</v>
      </c>
      <c r="F15" s="27">
        <f t="shared" si="3"/>
        <v>8.6999999999999994E-2</v>
      </c>
      <c r="G15" s="21">
        <f>E15*F15</f>
        <v>42.412499999999994</v>
      </c>
      <c r="H15" s="21">
        <f t="shared" si="1"/>
        <v>0</v>
      </c>
      <c r="I15" s="22">
        <f t="shared" si="2"/>
        <v>0</v>
      </c>
      <c r="J15" s="22"/>
      <c r="K15" s="107">
        <f t="shared" ref="K15:K26" si="4">G15/$G$51</f>
        <v>0.23700412502850651</v>
      </c>
    </row>
    <row r="16" spans="1:11" s="1" customFormat="1" x14ac:dyDescent="0.2">
      <c r="A16" s="108" t="s">
        <v>35</v>
      </c>
      <c r="B16" s="74">
        <f>B4*0.17</f>
        <v>127.50000000000001</v>
      </c>
      <c r="C16" s="27">
        <v>0.13200000000000001</v>
      </c>
      <c r="D16" s="21">
        <f>B16*C16</f>
        <v>16.830000000000002</v>
      </c>
      <c r="E16" s="72">
        <f t="shared" si="3"/>
        <v>127.50000000000001</v>
      </c>
      <c r="F16" s="27">
        <f t="shared" si="3"/>
        <v>0.13200000000000001</v>
      </c>
      <c r="G16" s="21">
        <f>E16*F16</f>
        <v>16.830000000000002</v>
      </c>
      <c r="H16" s="21">
        <f t="shared" si="1"/>
        <v>0</v>
      </c>
      <c r="I16" s="22">
        <f t="shared" si="2"/>
        <v>0</v>
      </c>
      <c r="J16" s="22"/>
      <c r="K16" s="107">
        <f t="shared" si="4"/>
        <v>9.4047260223513479E-2</v>
      </c>
    </row>
    <row r="17" spans="1:11" s="1" customFormat="1" x14ac:dyDescent="0.2">
      <c r="A17" s="108" t="s">
        <v>36</v>
      </c>
      <c r="B17" s="74">
        <f>B4*0.18</f>
        <v>135</v>
      </c>
      <c r="C17" s="27">
        <v>0.18</v>
      </c>
      <c r="D17" s="21">
        <f>B17*C17</f>
        <v>24.3</v>
      </c>
      <c r="E17" s="72">
        <f t="shared" si="3"/>
        <v>135</v>
      </c>
      <c r="F17" s="27">
        <f t="shared" si="3"/>
        <v>0.18</v>
      </c>
      <c r="G17" s="21">
        <f>E17*F17</f>
        <v>24.3</v>
      </c>
      <c r="H17" s="21">
        <f t="shared" si="1"/>
        <v>0</v>
      </c>
      <c r="I17" s="22">
        <f t="shared" si="2"/>
        <v>0</v>
      </c>
      <c r="J17" s="22"/>
      <c r="K17" s="107">
        <f t="shared" si="4"/>
        <v>0.13579016182004619</v>
      </c>
    </row>
    <row r="18" spans="1:11" s="1" customFormat="1" x14ac:dyDescent="0.2">
      <c r="A18" s="60" t="s">
        <v>37</v>
      </c>
      <c r="B18" s="28"/>
      <c r="C18" s="29"/>
      <c r="D18" s="29">
        <f>SUM(D15:D17)</f>
        <v>83.54249999999999</v>
      </c>
      <c r="E18" s="76"/>
      <c r="F18" s="29"/>
      <c r="G18" s="29">
        <f>SUM(G15:G17)</f>
        <v>83.54249999999999</v>
      </c>
      <c r="H18" s="30">
        <f t="shared" si="1"/>
        <v>0</v>
      </c>
      <c r="I18" s="31">
        <f t="shared" si="2"/>
        <v>0</v>
      </c>
      <c r="J18" s="32">
        <f t="shared" ref="J18:J23" si="5">G18/$G$46</f>
        <v>0.47533332007628898</v>
      </c>
      <c r="K18" s="61">
        <f t="shared" si="4"/>
        <v>0.4668415470720661</v>
      </c>
    </row>
    <row r="19" spans="1:11" x14ac:dyDescent="0.2">
      <c r="A19" s="106" t="s">
        <v>38</v>
      </c>
      <c r="B19" s="72">
        <v>1</v>
      </c>
      <c r="C19" s="77">
        <f>VLOOKUP($B$3,'Data for Bill Impacts'!$A$3:$Y$15,7,0)</f>
        <v>52.36</v>
      </c>
      <c r="D19" s="21">
        <f>B19*C19</f>
        <v>52.36</v>
      </c>
      <c r="E19" s="72">
        <f t="shared" ref="E19:E41" si="6">B19</f>
        <v>1</v>
      </c>
      <c r="F19" s="77">
        <f>VLOOKUP($B$3,'Data for Bill Impacts'!$A$3:$Y$15,17,0)</f>
        <v>58.34</v>
      </c>
      <c r="G19" s="21">
        <f>E19*F19</f>
        <v>58.34</v>
      </c>
      <c r="H19" s="21">
        <f t="shared" si="1"/>
        <v>5.980000000000004</v>
      </c>
      <c r="I19" s="22">
        <f t="shared" si="2"/>
        <v>0.11420932009167312</v>
      </c>
      <c r="J19" s="22">
        <f t="shared" si="5"/>
        <v>0.33193818587246854</v>
      </c>
      <c r="K19" s="107">
        <f t="shared" si="4"/>
        <v>0.3260081498181685</v>
      </c>
    </row>
    <row r="20" spans="1:11" hidden="1" x14ac:dyDescent="0.2">
      <c r="A20" s="106" t="s">
        <v>83</v>
      </c>
      <c r="B20" s="72">
        <v>1</v>
      </c>
      <c r="C20" s="77">
        <f>VLOOKUP($B$3,'Data for Bill Impacts'!$A$3:$Y$15,8,0)</f>
        <v>0</v>
      </c>
      <c r="D20" s="21">
        <f>B20*C20</f>
        <v>0</v>
      </c>
      <c r="E20" s="72">
        <f t="shared" si="6"/>
        <v>1</v>
      </c>
      <c r="F20" s="77">
        <v>0</v>
      </c>
      <c r="G20" s="21">
        <f t="shared" ref="G20:G22" si="7">E20*F20</f>
        <v>0</v>
      </c>
      <c r="H20" s="21">
        <f t="shared" si="1"/>
        <v>0</v>
      </c>
      <c r="I20" s="22">
        <f t="shared" si="2"/>
        <v>0</v>
      </c>
      <c r="J20" s="22">
        <f t="shared" si="5"/>
        <v>0</v>
      </c>
      <c r="K20" s="107">
        <f t="shared" si="4"/>
        <v>0</v>
      </c>
    </row>
    <row r="21" spans="1:11" hidden="1" x14ac:dyDescent="0.2">
      <c r="A21" s="106" t="s">
        <v>115</v>
      </c>
      <c r="B21" s="72">
        <v>1</v>
      </c>
      <c r="C21" s="77">
        <f>VLOOKUP($B$3,'Data for Bill Impacts'!$A$3:$Y$15,11,0)</f>
        <v>0</v>
      </c>
      <c r="D21" s="21">
        <f t="shared" ref="D21:D22" si="8">B21*C21</f>
        <v>0</v>
      </c>
      <c r="E21" s="72">
        <f t="shared" si="6"/>
        <v>1</v>
      </c>
      <c r="F21" s="121">
        <f>VLOOKUP($B$3,'Data for Bill Impacts'!$A$3:$Y$15,12,0)</f>
        <v>0</v>
      </c>
      <c r="G21" s="21">
        <f t="shared" si="7"/>
        <v>0</v>
      </c>
      <c r="H21" s="21">
        <f t="shared" si="1"/>
        <v>0</v>
      </c>
      <c r="I21" s="22">
        <f t="shared" si="2"/>
        <v>0</v>
      </c>
      <c r="J21" s="22">
        <f t="shared" si="5"/>
        <v>0</v>
      </c>
      <c r="K21" s="107">
        <f t="shared" si="4"/>
        <v>0</v>
      </c>
    </row>
    <row r="22" spans="1:11" x14ac:dyDescent="0.2">
      <c r="A22" s="106" t="s">
        <v>85</v>
      </c>
      <c r="B22" s="72">
        <v>1</v>
      </c>
      <c r="C22" s="77">
        <f>VLOOKUP($B$3,'Data for Bill Impacts'!$A$3:$Y$15,13,0)</f>
        <v>0</v>
      </c>
      <c r="D22" s="21">
        <f t="shared" si="8"/>
        <v>0</v>
      </c>
      <c r="E22" s="72">
        <f t="shared" si="6"/>
        <v>1</v>
      </c>
      <c r="F22" s="121">
        <f>VLOOKUP($B$3,'Data for Bill Impacts'!$A$3:$Y$15,22,0)</f>
        <v>0</v>
      </c>
      <c r="G22" s="21">
        <f t="shared" si="7"/>
        <v>0</v>
      </c>
      <c r="H22" s="21">
        <f t="shared" si="1"/>
        <v>0</v>
      </c>
      <c r="I22" s="22">
        <f t="shared" si="2"/>
        <v>0</v>
      </c>
      <c r="J22" s="22">
        <f t="shared" si="5"/>
        <v>0</v>
      </c>
      <c r="K22" s="107">
        <f t="shared" si="4"/>
        <v>0</v>
      </c>
    </row>
    <row r="23" spans="1:11" x14ac:dyDescent="0.2">
      <c r="A23" s="106" t="s">
        <v>39</v>
      </c>
      <c r="B23" s="72">
        <f>IF($B$9="kWh",$B$4,$B$5)</f>
        <v>750</v>
      </c>
      <c r="C23" s="77">
        <f>VLOOKUP($B$3,'Data for Bill Impacts'!$A$3:$Y$15,10,0)</f>
        <v>1.1599999999999999E-2</v>
      </c>
      <c r="D23" s="21">
        <f>B23*C23</f>
        <v>8.6999999999999993</v>
      </c>
      <c r="E23" s="72">
        <f t="shared" si="6"/>
        <v>750</v>
      </c>
      <c r="F23" s="77">
        <f>VLOOKUP($B$3,'Data for Bill Impacts'!$A$3:$Y$15,19,0)</f>
        <v>6.6E-3</v>
      </c>
      <c r="G23" s="21">
        <f>E23*F23</f>
        <v>4.95</v>
      </c>
      <c r="H23" s="21">
        <f t="shared" si="1"/>
        <v>-3.7499999999999991</v>
      </c>
      <c r="I23" s="22">
        <f t="shared" si="2"/>
        <v>-0.43103448275862061</v>
      </c>
      <c r="J23" s="22">
        <f t="shared" si="5"/>
        <v>2.8164107303200535E-2</v>
      </c>
      <c r="K23" s="107">
        <f t="shared" si="4"/>
        <v>2.7660958889268668E-2</v>
      </c>
    </row>
    <row r="24" spans="1:11" x14ac:dyDescent="0.2">
      <c r="A24" s="106" t="s">
        <v>129</v>
      </c>
      <c r="B24" s="72">
        <f>IF($B$9="kWh",$B$4,$B$5)</f>
        <v>750</v>
      </c>
      <c r="C24" s="125">
        <f>VLOOKUP($B$3,'Data for Bill Impacts'!$A$3:$Y$15,14,0)</f>
        <v>2.0000000000000001E-4</v>
      </c>
      <c r="D24" s="21">
        <f>B24*C24</f>
        <v>0.15</v>
      </c>
      <c r="E24" s="72">
        <f t="shared" si="6"/>
        <v>750</v>
      </c>
      <c r="F24" s="125">
        <f>VLOOKUP($B$3,'Data for Bill Impacts'!$A$3:$Y$15,23,0)</f>
        <v>2.0000000000000001E-4</v>
      </c>
      <c r="G24" s="21">
        <f>E24*F24</f>
        <v>0.15</v>
      </c>
      <c r="H24" s="21">
        <f t="shared" si="1"/>
        <v>0</v>
      </c>
      <c r="I24" s="22">
        <f>IF(ISERROR(H24/D24),0,(H24/D24))</f>
        <v>0</v>
      </c>
      <c r="J24" s="22">
        <f t="shared" ref="J24" si="9">G24/$G$46</f>
        <v>8.534577970666828E-4</v>
      </c>
      <c r="K24" s="107">
        <f t="shared" si="4"/>
        <v>8.3821087543238385E-4</v>
      </c>
    </row>
    <row r="25" spans="1:11" s="1" customFormat="1" x14ac:dyDescent="0.2">
      <c r="A25" s="109" t="s">
        <v>72</v>
      </c>
      <c r="B25" s="73"/>
      <c r="C25" s="34"/>
      <c r="D25" s="34">
        <f>SUM(D19:D24)</f>
        <v>61.21</v>
      </c>
      <c r="E25" s="72"/>
      <c r="F25" s="34"/>
      <c r="G25" s="34">
        <f>SUM(G19:G24)</f>
        <v>63.440000000000005</v>
      </c>
      <c r="H25" s="34">
        <f t="shared" si="1"/>
        <v>2.230000000000004</v>
      </c>
      <c r="I25" s="35">
        <f t="shared" si="2"/>
        <v>3.6431955562816601E-2</v>
      </c>
      <c r="J25" s="35">
        <f>G25/$G$46</f>
        <v>0.36095575097273574</v>
      </c>
      <c r="K25" s="110">
        <f t="shared" si="4"/>
        <v>0.35450731958286957</v>
      </c>
    </row>
    <row r="26" spans="1:11" s="1" customFormat="1" x14ac:dyDescent="0.2">
      <c r="A26" s="118" t="s">
        <v>73</v>
      </c>
      <c r="B26" s="119">
        <v>1</v>
      </c>
      <c r="C26" s="77">
        <f>VLOOKUP($B$3,'Data for Bill Impacts'!$A$3:$Y$15,9,0)</f>
        <v>0.79</v>
      </c>
      <c r="D26" s="21">
        <f>B26*C26</f>
        <v>0.79</v>
      </c>
      <c r="E26" s="72">
        <v>1</v>
      </c>
      <c r="F26" s="77">
        <f>VLOOKUP($B$3,'Data for Bill Impacts'!$A$3:$Y$15,18,0)</f>
        <v>0.79</v>
      </c>
      <c r="G26" s="21">
        <f>E26*F26</f>
        <v>0.79</v>
      </c>
      <c r="H26" s="21">
        <f t="shared" si="1"/>
        <v>0</v>
      </c>
      <c r="I26" s="22">
        <f>IF(ISERROR(H26/D26),0,(H26/D26))</f>
        <v>0</v>
      </c>
      <c r="J26" s="22">
        <f>G26/$G$46</f>
        <v>4.4948777312178636E-3</v>
      </c>
      <c r="K26" s="107">
        <f t="shared" si="4"/>
        <v>4.4145772772772214E-3</v>
      </c>
    </row>
    <row r="27" spans="1:11" s="1" customFormat="1" x14ac:dyDescent="0.2">
      <c r="A27" s="118" t="s">
        <v>75</v>
      </c>
      <c r="B27" s="119">
        <f>B8-B4</f>
        <v>57</v>
      </c>
      <c r="C27" s="120">
        <f>IF(B4&gt;B7,C13,C12)</f>
        <v>0.121</v>
      </c>
      <c r="D27" s="21">
        <f>B27*C27</f>
        <v>6.8970000000000002</v>
      </c>
      <c r="E27" s="72">
        <f>B27</f>
        <v>57</v>
      </c>
      <c r="F27" s="120">
        <f>C27</f>
        <v>0.121</v>
      </c>
      <c r="G27" s="21">
        <f>E27*F27</f>
        <v>6.8970000000000002</v>
      </c>
      <c r="H27" s="21">
        <f t="shared" si="1"/>
        <v>0</v>
      </c>
      <c r="I27" s="22">
        <f>IF(ISERROR(H27/D27),0,(H27/D27))</f>
        <v>0</v>
      </c>
      <c r="J27" s="22">
        <f t="shared" ref="J27:J46" si="10">G27/$G$46</f>
        <v>3.924198950912608E-2</v>
      </c>
      <c r="K27" s="107">
        <f t="shared" ref="K27:K41" si="11">G27/$G$51</f>
        <v>3.8540936052381007E-2</v>
      </c>
    </row>
    <row r="28" spans="1:11" s="1" customFormat="1" x14ac:dyDescent="0.2">
      <c r="A28" s="118" t="s">
        <v>74</v>
      </c>
      <c r="B28" s="119">
        <f>B8-B4</f>
        <v>57</v>
      </c>
      <c r="C28" s="120">
        <f>0.65*C15+0.17*C16+0.18*C17</f>
        <v>0.11139</v>
      </c>
      <c r="D28" s="21">
        <f>B28*C28</f>
        <v>6.3492300000000004</v>
      </c>
      <c r="E28" s="72">
        <f>B28</f>
        <v>57</v>
      </c>
      <c r="F28" s="120">
        <f>C28</f>
        <v>0.11139</v>
      </c>
      <c r="G28" s="21">
        <f>E28*F28</f>
        <v>6.3492300000000004</v>
      </c>
      <c r="H28" s="21">
        <f t="shared" si="1"/>
        <v>0</v>
      </c>
      <c r="I28" s="22">
        <f>IF(ISERROR(H28/D28),0,(H28/D28))</f>
        <v>0</v>
      </c>
      <c r="J28" s="22">
        <f t="shared" si="10"/>
        <v>3.6125332325797968E-2</v>
      </c>
      <c r="K28" s="107">
        <f t="shared" si="11"/>
        <v>3.5479957577477031E-2</v>
      </c>
    </row>
    <row r="29" spans="1:11" s="1" customFormat="1" x14ac:dyDescent="0.2">
      <c r="A29" s="109" t="s">
        <v>78</v>
      </c>
      <c r="B29" s="73"/>
      <c r="C29" s="34"/>
      <c r="D29" s="34">
        <f>SUM(D25,D26:D27)</f>
        <v>68.897000000000006</v>
      </c>
      <c r="E29" s="72"/>
      <c r="F29" s="34"/>
      <c r="G29" s="34">
        <f>SUM(G25,G26:G27)</f>
        <v>71.12700000000001</v>
      </c>
      <c r="H29" s="34">
        <f t="shared" si="1"/>
        <v>2.230000000000004</v>
      </c>
      <c r="I29" s="35">
        <f>IF(ISERROR(H29/D29),0,(H29/D29))</f>
        <v>3.2367156770251301E-2</v>
      </c>
      <c r="J29" s="35">
        <f t="shared" si="10"/>
        <v>0.40469261821307972</v>
      </c>
      <c r="K29" s="110">
        <f t="shared" si="11"/>
        <v>0.39746283291252782</v>
      </c>
    </row>
    <row r="30" spans="1:11" s="1" customFormat="1" x14ac:dyDescent="0.2">
      <c r="A30" s="109" t="s">
        <v>77</v>
      </c>
      <c r="B30" s="73"/>
      <c r="C30" s="34"/>
      <c r="D30" s="34">
        <f>SUM(D25,D26,D28)</f>
        <v>68.349230000000006</v>
      </c>
      <c r="E30" s="72"/>
      <c r="F30" s="34"/>
      <c r="G30" s="34">
        <f>SUM(G25,G26,G28)</f>
        <v>70.57923000000001</v>
      </c>
      <c r="H30" s="34">
        <f t="shared" si="1"/>
        <v>2.230000000000004</v>
      </c>
      <c r="I30" s="35">
        <f>IF(ISERROR(H30/D30),0,(H30/D30))</f>
        <v>3.2626556290392794E-2</v>
      </c>
      <c r="J30" s="35">
        <f t="shared" si="10"/>
        <v>0.40157596102975163</v>
      </c>
      <c r="K30" s="110">
        <f t="shared" si="11"/>
        <v>0.39440185443762382</v>
      </c>
    </row>
    <row r="31" spans="1:11" x14ac:dyDescent="0.2">
      <c r="A31" s="106" t="s">
        <v>40</v>
      </c>
      <c r="B31" s="72">
        <f>B8</f>
        <v>807</v>
      </c>
      <c r="C31" s="125">
        <f>VLOOKUP($B$3,'Data for Bill Impacts'!$A$3:$Y$15,15,0)</f>
        <v>7.1999999999999998E-3</v>
      </c>
      <c r="D31" s="21">
        <f>B31*C31</f>
        <v>5.8103999999999996</v>
      </c>
      <c r="E31" s="72">
        <f t="shared" si="6"/>
        <v>807</v>
      </c>
      <c r="F31" s="77">
        <f>VLOOKUP($B$3,'Data for Bill Impacts'!$A$3:$Y$15,24,0)</f>
        <v>7.1999999999999998E-3</v>
      </c>
      <c r="G31" s="21">
        <f>E31*F31</f>
        <v>5.8103999999999996</v>
      </c>
      <c r="H31" s="21">
        <f t="shared" si="1"/>
        <v>0</v>
      </c>
      <c r="I31" s="22">
        <f t="shared" si="2"/>
        <v>0</v>
      </c>
      <c r="J31" s="22">
        <f t="shared" si="10"/>
        <v>3.3059541227175027E-2</v>
      </c>
      <c r="K31" s="107">
        <f t="shared" si="11"/>
        <v>3.2468936470748819E-2</v>
      </c>
    </row>
    <row r="32" spans="1:11" x14ac:dyDescent="0.2">
      <c r="A32" s="106" t="s">
        <v>41</v>
      </c>
      <c r="B32" s="72">
        <f>B8</f>
        <v>807</v>
      </c>
      <c r="C32" s="125">
        <f>VLOOKUP($B$3,'Data for Bill Impacts'!$A$3:$Y$15,16,0)</f>
        <v>5.8999999999999999E-3</v>
      </c>
      <c r="D32" s="21">
        <f>B32*C32</f>
        <v>4.7613000000000003</v>
      </c>
      <c r="E32" s="72">
        <f t="shared" si="6"/>
        <v>807</v>
      </c>
      <c r="F32" s="77">
        <f>VLOOKUP($B$3,'Data for Bill Impacts'!$A$3:$Y$15,25,0)</f>
        <v>5.8999999999999999E-3</v>
      </c>
      <c r="G32" s="21">
        <f>E32*F32</f>
        <v>4.7613000000000003</v>
      </c>
      <c r="H32" s="21">
        <f t="shared" si="1"/>
        <v>0</v>
      </c>
      <c r="I32" s="22">
        <f t="shared" si="2"/>
        <v>0</v>
      </c>
      <c r="J32" s="22">
        <f t="shared" si="10"/>
        <v>2.709045739449065E-2</v>
      </c>
      <c r="K32" s="107">
        <f t="shared" si="11"/>
        <v>2.660648960797473E-2</v>
      </c>
    </row>
    <row r="33" spans="1:11" s="1" customFormat="1" x14ac:dyDescent="0.2">
      <c r="A33" s="109" t="s">
        <v>76</v>
      </c>
      <c r="B33" s="73"/>
      <c r="C33" s="34"/>
      <c r="D33" s="34">
        <f>SUM(D31:D32)</f>
        <v>10.5717</v>
      </c>
      <c r="E33" s="72"/>
      <c r="F33" s="34"/>
      <c r="G33" s="34">
        <f>SUM(G31:G32)</f>
        <v>10.5717</v>
      </c>
      <c r="H33" s="34">
        <f t="shared" si="1"/>
        <v>0</v>
      </c>
      <c r="I33" s="35">
        <f t="shared" si="2"/>
        <v>0</v>
      </c>
      <c r="J33" s="35">
        <f t="shared" si="10"/>
        <v>6.0149998621665673E-2</v>
      </c>
      <c r="K33" s="110">
        <f t="shared" si="11"/>
        <v>5.9075426078723549E-2</v>
      </c>
    </row>
    <row r="34" spans="1:11" s="1" customFormat="1" x14ac:dyDescent="0.2">
      <c r="A34" s="109" t="s">
        <v>93</v>
      </c>
      <c r="B34" s="73"/>
      <c r="C34" s="34"/>
      <c r="D34" s="34">
        <f>D29+D33</f>
        <v>79.468700000000013</v>
      </c>
      <c r="E34" s="72"/>
      <c r="F34" s="34"/>
      <c r="G34" s="34">
        <f>G29+G33</f>
        <v>81.698700000000002</v>
      </c>
      <c r="H34" s="34">
        <f t="shared" si="1"/>
        <v>2.2299999999999898</v>
      </c>
      <c r="I34" s="35">
        <f t="shared" si="2"/>
        <v>2.8061362523861464E-2</v>
      </c>
      <c r="J34" s="35">
        <f t="shared" si="10"/>
        <v>0.46484261683474537</v>
      </c>
      <c r="K34" s="110">
        <f t="shared" si="11"/>
        <v>0.45653825899125133</v>
      </c>
    </row>
    <row r="35" spans="1:11" s="1" customFormat="1" x14ac:dyDescent="0.2">
      <c r="A35" s="109" t="s">
        <v>94</v>
      </c>
      <c r="B35" s="73"/>
      <c r="C35" s="34"/>
      <c r="D35" s="34">
        <f>D30+D33</f>
        <v>78.920929999999998</v>
      </c>
      <c r="E35" s="72"/>
      <c r="F35" s="34"/>
      <c r="G35" s="34">
        <f>G30+G33</f>
        <v>81.150930000000017</v>
      </c>
      <c r="H35" s="34">
        <f t="shared" si="1"/>
        <v>2.2300000000000182</v>
      </c>
      <c r="I35" s="35">
        <f t="shared" si="2"/>
        <v>2.825612926761023E-2</v>
      </c>
      <c r="J35" s="35">
        <f t="shared" si="10"/>
        <v>0.46172595965141733</v>
      </c>
      <c r="K35" s="110">
        <f t="shared" si="11"/>
        <v>0.45347728051634745</v>
      </c>
    </row>
    <row r="36" spans="1:11" x14ac:dyDescent="0.2">
      <c r="A36" s="106" t="s">
        <v>42</v>
      </c>
      <c r="B36" s="72">
        <f>B8</f>
        <v>807</v>
      </c>
      <c r="C36" s="33">
        <v>3.5999999999999999E-3</v>
      </c>
      <c r="D36" s="21">
        <f>B36*C36</f>
        <v>2.9051999999999998</v>
      </c>
      <c r="E36" s="72">
        <f t="shared" si="6"/>
        <v>807</v>
      </c>
      <c r="F36" s="33">
        <v>3.5999999999999999E-3</v>
      </c>
      <c r="G36" s="21">
        <f>E36*F36</f>
        <v>2.9051999999999998</v>
      </c>
      <c r="H36" s="21">
        <f t="shared" si="1"/>
        <v>0</v>
      </c>
      <c r="I36" s="22">
        <f t="shared" si="2"/>
        <v>0</v>
      </c>
      <c r="J36" s="22">
        <f t="shared" si="10"/>
        <v>1.6529770613587513E-2</v>
      </c>
      <c r="K36" s="107">
        <f t="shared" si="11"/>
        <v>1.6234468235374409E-2</v>
      </c>
    </row>
    <row r="37" spans="1:11" x14ac:dyDescent="0.2">
      <c r="A37" s="106" t="s">
        <v>43</v>
      </c>
      <c r="B37" s="72">
        <f>B8</f>
        <v>807</v>
      </c>
      <c r="C37" s="33">
        <v>2.0999999999999999E-3</v>
      </c>
      <c r="D37" s="21">
        <f>B37*C37</f>
        <v>1.6946999999999999</v>
      </c>
      <c r="E37" s="72">
        <f t="shared" si="6"/>
        <v>807</v>
      </c>
      <c r="F37" s="33">
        <v>2.0999999999999999E-3</v>
      </c>
      <c r="G37" s="21">
        <f>E37*F37</f>
        <v>1.6946999999999999</v>
      </c>
      <c r="H37" s="21">
        <f>G37-D37</f>
        <v>0</v>
      </c>
      <c r="I37" s="22">
        <f t="shared" si="2"/>
        <v>0</v>
      </c>
      <c r="J37" s="22">
        <f t="shared" si="10"/>
        <v>9.6423661912593828E-3</v>
      </c>
      <c r="K37" s="107">
        <f t="shared" si="11"/>
        <v>9.4701064706350715E-3</v>
      </c>
    </row>
    <row r="38" spans="1:11" x14ac:dyDescent="0.2">
      <c r="A38" s="106" t="s">
        <v>99</v>
      </c>
      <c r="B38" s="72">
        <f>B8</f>
        <v>807</v>
      </c>
      <c r="C38" s="33">
        <v>1.1000000000000001E-3</v>
      </c>
      <c r="D38" s="21">
        <f>B38*C38</f>
        <v>0.88770000000000004</v>
      </c>
      <c r="E38" s="72">
        <f t="shared" si="6"/>
        <v>807</v>
      </c>
      <c r="F38" s="33">
        <v>1.1000000000000001E-3</v>
      </c>
      <c r="G38" s="21">
        <f>E38*F38</f>
        <v>0.88770000000000004</v>
      </c>
      <c r="H38" s="21">
        <f>G38-D38</f>
        <v>0</v>
      </c>
      <c r="I38" s="22">
        <f t="shared" ref="I38" si="12">IF(ISERROR(H38/D38),0,(H38/D38))</f>
        <v>0</v>
      </c>
      <c r="J38" s="22">
        <f t="shared" ref="J38" si="13">G38/$G$46</f>
        <v>5.0507632430406291E-3</v>
      </c>
      <c r="K38" s="107">
        <f t="shared" ref="K38" si="14">G38/$G$51</f>
        <v>4.9605319608088481E-3</v>
      </c>
    </row>
    <row r="39" spans="1:11" x14ac:dyDescent="0.2">
      <c r="A39" s="106" t="s">
        <v>44</v>
      </c>
      <c r="B39" s="72">
        <v>1</v>
      </c>
      <c r="C39" s="21">
        <v>0.25</v>
      </c>
      <c r="D39" s="21">
        <f>B39*C39</f>
        <v>0.25</v>
      </c>
      <c r="E39" s="72">
        <f t="shared" si="6"/>
        <v>1</v>
      </c>
      <c r="F39" s="21">
        <f>C39</f>
        <v>0.25</v>
      </c>
      <c r="G39" s="21">
        <f>E39*F39</f>
        <v>0.25</v>
      </c>
      <c r="H39" s="21">
        <f t="shared" si="1"/>
        <v>0</v>
      </c>
      <c r="I39" s="22">
        <f t="shared" si="2"/>
        <v>0</v>
      </c>
      <c r="J39" s="22">
        <f t="shared" si="10"/>
        <v>1.4224296617778049E-3</v>
      </c>
      <c r="K39" s="107">
        <f t="shared" si="11"/>
        <v>1.3970181257206397E-3</v>
      </c>
    </row>
    <row r="40" spans="1:11" s="1" customFormat="1" x14ac:dyDescent="0.2">
      <c r="A40" s="109" t="s">
        <v>45</v>
      </c>
      <c r="B40" s="73"/>
      <c r="C40" s="34"/>
      <c r="D40" s="34">
        <f>SUM(D36:D39)</f>
        <v>5.7375999999999996</v>
      </c>
      <c r="E40" s="72"/>
      <c r="F40" s="34"/>
      <c r="G40" s="34">
        <f>SUM(G36:G39)</f>
        <v>5.7375999999999996</v>
      </c>
      <c r="H40" s="34">
        <f t="shared" si="1"/>
        <v>0</v>
      </c>
      <c r="I40" s="35">
        <f t="shared" si="2"/>
        <v>0</v>
      </c>
      <c r="J40" s="35">
        <f t="shared" si="10"/>
        <v>3.2645329709665327E-2</v>
      </c>
      <c r="K40" s="110">
        <f t="shared" si="11"/>
        <v>3.2062124792538969E-2</v>
      </c>
    </row>
    <row r="41" spans="1:11" s="1" customFormat="1" ht="13.5" thickBot="1" x14ac:dyDescent="0.25">
      <c r="A41" s="111" t="s">
        <v>46</v>
      </c>
      <c r="B41" s="112">
        <f>B4</f>
        <v>750</v>
      </c>
      <c r="C41" s="113">
        <v>0</v>
      </c>
      <c r="D41" s="114">
        <f>B41*C41</f>
        <v>0</v>
      </c>
      <c r="E41" s="115">
        <f t="shared" si="6"/>
        <v>750</v>
      </c>
      <c r="F41" s="113">
        <f>C41</f>
        <v>0</v>
      </c>
      <c r="G41" s="114">
        <f>E41*F41</f>
        <v>0</v>
      </c>
      <c r="H41" s="114">
        <f t="shared" si="1"/>
        <v>0</v>
      </c>
      <c r="I41" s="116">
        <f t="shared" si="2"/>
        <v>0</v>
      </c>
      <c r="J41" s="116">
        <f t="shared" si="10"/>
        <v>0</v>
      </c>
      <c r="K41" s="117">
        <f t="shared" si="11"/>
        <v>0</v>
      </c>
    </row>
    <row r="42" spans="1:11" s="1" customFormat="1" x14ac:dyDescent="0.2">
      <c r="A42" s="36" t="s">
        <v>107</v>
      </c>
      <c r="B42" s="37"/>
      <c r="C42" s="38"/>
      <c r="D42" s="38">
        <f>SUM(D14,D25,D26,D27,D33,D40,D41)</f>
        <v>165.15629999999996</v>
      </c>
      <c r="E42" s="37"/>
      <c r="F42" s="38"/>
      <c r="G42" s="38">
        <f>SUM(G14,G25,G26,G27,G33,G40,G41)</f>
        <v>167.38629999999995</v>
      </c>
      <c r="H42" s="38">
        <f t="shared" si="1"/>
        <v>2.2299999999999898</v>
      </c>
      <c r="I42" s="39">
        <f>IF(ISERROR(H42/D42),0,(H42/D42))</f>
        <v>1.3502361096730735E-2</v>
      </c>
      <c r="J42" s="39">
        <f t="shared" si="10"/>
        <v>0.95238095238095233</v>
      </c>
      <c r="K42" s="40"/>
    </row>
    <row r="43" spans="1:11" x14ac:dyDescent="0.2">
      <c r="A43" s="143" t="s">
        <v>108</v>
      </c>
      <c r="B43" s="42"/>
      <c r="C43" s="25">
        <v>0.13</v>
      </c>
      <c r="D43" s="25">
        <f>D42*C43</f>
        <v>21.470318999999996</v>
      </c>
      <c r="E43" s="25"/>
      <c r="F43" s="25">
        <f>C43</f>
        <v>0.13</v>
      </c>
      <c r="G43" s="25">
        <f>G42*F43</f>
        <v>21.760218999999996</v>
      </c>
      <c r="H43" s="25">
        <f t="shared" si="1"/>
        <v>0.28989999999999938</v>
      </c>
      <c r="I43" s="43">
        <f t="shared" si="2"/>
        <v>1.3502361096730767E-2</v>
      </c>
      <c r="J43" s="43">
        <f t="shared" si="10"/>
        <v>0.12380952380952383</v>
      </c>
      <c r="K43" s="44"/>
    </row>
    <row r="44" spans="1:11" s="1" customFormat="1" x14ac:dyDescent="0.2">
      <c r="A44" s="45" t="s">
        <v>109</v>
      </c>
      <c r="B44" s="23"/>
      <c r="C44" s="24"/>
      <c r="D44" s="24">
        <f>SUM(D42:D43)</f>
        <v>186.62661899999995</v>
      </c>
      <c r="E44" s="24"/>
      <c r="F44" s="24"/>
      <c r="G44" s="24">
        <f>SUM(G42:G43)</f>
        <v>189.14651899999996</v>
      </c>
      <c r="H44" s="24">
        <f t="shared" si="1"/>
        <v>2.5199000000000069</v>
      </c>
      <c r="I44" s="26">
        <f t="shared" si="2"/>
        <v>1.3502361096730834E-2</v>
      </c>
      <c r="J44" s="26">
        <f t="shared" si="10"/>
        <v>1.0761904761904761</v>
      </c>
      <c r="K44" s="46"/>
    </row>
    <row r="45" spans="1:11" x14ac:dyDescent="0.2">
      <c r="A45" s="41" t="s">
        <v>110</v>
      </c>
      <c r="B45" s="42"/>
      <c r="C45" s="25">
        <v>-0.08</v>
      </c>
      <c r="D45" s="25">
        <f>D42*C45</f>
        <v>-13.212503999999997</v>
      </c>
      <c r="E45" s="25"/>
      <c r="F45" s="25">
        <f>C45</f>
        <v>-0.08</v>
      </c>
      <c r="G45" s="25">
        <f>G42*F45</f>
        <v>-13.390903999999995</v>
      </c>
      <c r="H45" s="25">
        <f t="shared" si="1"/>
        <v>-0.17839999999999812</v>
      </c>
      <c r="I45" s="43">
        <f t="shared" si="2"/>
        <v>1.3502361096730654E-2</v>
      </c>
      <c r="J45" s="43">
        <f t="shared" si="10"/>
        <v>-7.6190476190476183E-2</v>
      </c>
      <c r="K45" s="44"/>
    </row>
    <row r="46" spans="1:11" s="1" customFormat="1" ht="13.5" thickBot="1" x14ac:dyDescent="0.25">
      <c r="A46" s="47" t="s">
        <v>111</v>
      </c>
      <c r="B46" s="48"/>
      <c r="C46" s="49"/>
      <c r="D46" s="49">
        <f>SUM(D44:D45)</f>
        <v>173.41411499999995</v>
      </c>
      <c r="E46" s="49"/>
      <c r="F46" s="49"/>
      <c r="G46" s="49">
        <f>SUM(G44:G45)</f>
        <v>175.75561499999995</v>
      </c>
      <c r="H46" s="49">
        <f t="shared" si="1"/>
        <v>2.3414999999999964</v>
      </c>
      <c r="I46" s="50">
        <f t="shared" si="2"/>
        <v>1.3502361096730777E-2</v>
      </c>
      <c r="J46" s="50">
        <f t="shared" si="10"/>
        <v>1</v>
      </c>
      <c r="K46" s="51"/>
    </row>
    <row r="47" spans="1:11" x14ac:dyDescent="0.2">
      <c r="A47" s="52" t="s">
        <v>112</v>
      </c>
      <c r="B47" s="53"/>
      <c r="C47" s="54"/>
      <c r="D47" s="54">
        <f>SUM(D18,D25,D26,D28,D33,D40,D41)</f>
        <v>168.20102999999997</v>
      </c>
      <c r="E47" s="54"/>
      <c r="F47" s="54"/>
      <c r="G47" s="54">
        <f>SUM(G18,G25,G26,G28,G33,G40,G41)</f>
        <v>170.43102999999996</v>
      </c>
      <c r="H47" s="54">
        <f>G47-D47</f>
        <v>2.2299999999999898</v>
      </c>
      <c r="I47" s="55">
        <f>IF(ISERROR(H47/D47),0,(H47/D47))</f>
        <v>1.3257944972156176E-2</v>
      </c>
      <c r="J47" s="55"/>
      <c r="K47" s="56">
        <f>G47/$G$51</f>
        <v>0.95238095238095233</v>
      </c>
    </row>
    <row r="48" spans="1:11" x14ac:dyDescent="0.2">
      <c r="A48" s="57" t="s">
        <v>108</v>
      </c>
      <c r="B48" s="58"/>
      <c r="C48" s="30">
        <v>0.13</v>
      </c>
      <c r="D48" s="30">
        <f>D47*C48</f>
        <v>21.866133899999998</v>
      </c>
      <c r="E48" s="30"/>
      <c r="F48" s="30">
        <f>C48</f>
        <v>0.13</v>
      </c>
      <c r="G48" s="30">
        <f>G47*F48</f>
        <v>22.156033899999997</v>
      </c>
      <c r="H48" s="30">
        <f>G48-D48</f>
        <v>0.28989999999999938</v>
      </c>
      <c r="I48" s="31">
        <f>IF(ISERROR(H48/D48),0,(H48/D48))</f>
        <v>1.3257944972156209E-2</v>
      </c>
      <c r="J48" s="31"/>
      <c r="K48" s="59">
        <f>G48/$G$51</f>
        <v>0.12380952380952381</v>
      </c>
    </row>
    <row r="49" spans="1:11" x14ac:dyDescent="0.2">
      <c r="A49" s="60" t="s">
        <v>113</v>
      </c>
      <c r="B49" s="28"/>
      <c r="C49" s="29"/>
      <c r="D49" s="29">
        <f>SUM(D47:D48)</f>
        <v>190.06716389999997</v>
      </c>
      <c r="E49" s="29"/>
      <c r="F49" s="29"/>
      <c r="G49" s="29">
        <f>SUM(G47:G48)</f>
        <v>192.58706389999998</v>
      </c>
      <c r="H49" s="29">
        <f>G49-D49</f>
        <v>2.5199000000000069</v>
      </c>
      <c r="I49" s="32">
        <f>IF(ISERROR(H49/D49),0,(H49/D49))</f>
        <v>1.3257944972156273E-2</v>
      </c>
      <c r="J49" s="32"/>
      <c r="K49" s="61">
        <f>G49/$G$51</f>
        <v>1.0761904761904761</v>
      </c>
    </row>
    <row r="50" spans="1:11" x14ac:dyDescent="0.2">
      <c r="A50" s="57" t="s">
        <v>110</v>
      </c>
      <c r="B50" s="58"/>
      <c r="C50" s="30">
        <v>-0.08</v>
      </c>
      <c r="D50" s="30">
        <f>D47*C50</f>
        <v>-13.456082399999998</v>
      </c>
      <c r="E50" s="30"/>
      <c r="F50" s="30">
        <f>C50</f>
        <v>-0.08</v>
      </c>
      <c r="G50" s="30">
        <f>G47*F50</f>
        <v>-13.634482399999998</v>
      </c>
      <c r="H50" s="30">
        <f>G50-D50</f>
        <v>-0.17839999999999989</v>
      </c>
      <c r="I50" s="31">
        <f>IF(ISERROR(H50/D50),0,(H50/D50))</f>
        <v>1.3257944972156229E-2</v>
      </c>
      <c r="J50" s="31"/>
      <c r="K50" s="59">
        <f>G50/$G$51</f>
        <v>-7.6190476190476183E-2</v>
      </c>
    </row>
    <row r="51" spans="1:11" ht="13.5" thickBot="1" x14ac:dyDescent="0.25">
      <c r="A51" s="62" t="s">
        <v>114</v>
      </c>
      <c r="B51" s="63"/>
      <c r="C51" s="64"/>
      <c r="D51" s="64">
        <f>SUM(D49:D50)</f>
        <v>176.61108149999998</v>
      </c>
      <c r="E51" s="64"/>
      <c r="F51" s="64"/>
      <c r="G51" s="64">
        <f>SUM(G49:G50)</f>
        <v>178.95258149999998</v>
      </c>
      <c r="H51" s="64">
        <f>G51-D51</f>
        <v>2.3414999999999964</v>
      </c>
      <c r="I51" s="65">
        <f>IF(ISERROR(H51/D51),0,(H51/D51))</f>
        <v>1.3257944972156216E-2</v>
      </c>
      <c r="J51" s="65"/>
      <c r="K51" s="66">
        <f>G51/$G$51</f>
        <v>1</v>
      </c>
    </row>
    <row r="52" spans="1:11" x14ac:dyDescent="0.2">
      <c r="C52" s="67"/>
      <c r="F52" s="68"/>
    </row>
    <row r="53" spans="1:11" x14ac:dyDescent="0.2">
      <c r="F53" s="68"/>
    </row>
    <row r="54" spans="1:11" x14ac:dyDescent="0.2">
      <c r="F54" s="68"/>
    </row>
    <row r="55" spans="1:11" x14ac:dyDescent="0.2">
      <c r="A55" s="69"/>
      <c r="B55" s="70"/>
      <c r="F55" s="68"/>
    </row>
    <row r="56" spans="1:11" x14ac:dyDescent="0.2">
      <c r="B56" s="70"/>
      <c r="F56" s="68"/>
    </row>
    <row r="57" spans="1:11" x14ac:dyDescent="0.2">
      <c r="F57" s="68"/>
    </row>
    <row r="58" spans="1:11" x14ac:dyDescent="0.2">
      <c r="D58" s="71"/>
      <c r="F58" s="68"/>
    </row>
    <row r="59" spans="1:11" x14ac:dyDescent="0.2">
      <c r="F59" s="68"/>
    </row>
    <row r="60" spans="1:11" x14ac:dyDescent="0.2">
      <c r="A60" s="69"/>
      <c r="B60" s="70"/>
      <c r="F60" s="68"/>
    </row>
    <row r="61" spans="1:11" x14ac:dyDescent="0.2">
      <c r="B61" s="71"/>
      <c r="D61" s="71"/>
      <c r="F61" s="68"/>
    </row>
    <row r="62" spans="1:11" x14ac:dyDescent="0.2">
      <c r="F62" s="68"/>
    </row>
    <row r="63" spans="1:11" x14ac:dyDescent="0.2">
      <c r="F63" s="68"/>
    </row>
    <row r="64" spans="1:11" x14ac:dyDescent="0.2">
      <c r="F64" s="68"/>
      <c r="K64"/>
    </row>
    <row r="65" spans="6:11" x14ac:dyDescent="0.2">
      <c r="F65" s="68"/>
      <c r="K65"/>
    </row>
    <row r="66" spans="6:11" x14ac:dyDescent="0.2">
      <c r="F66" s="68"/>
      <c r="K66"/>
    </row>
    <row r="67" spans="6:11" x14ac:dyDescent="0.2">
      <c r="F67" s="68"/>
      <c r="K67"/>
    </row>
    <row r="68" spans="6:11" x14ac:dyDescent="0.2">
      <c r="F68" s="68"/>
      <c r="K68"/>
    </row>
  </sheetData>
  <mergeCells count="1">
    <mergeCell ref="A1:K1"/>
  </mergeCells>
  <pageMargins left="0.7" right="0.7" top="0.75" bottom="0.75" header="0.3" footer="0.3"/>
  <pageSetup paperSize="17" orientation="landscape" r:id="rId1"/>
  <headerFooter>
    <oddHeader>&amp;RFiled: 2017-03-31
EB-2017-0049
Exhibit H1-4-1
Attachment 5
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 for Bill Impacts'!$A$3:$A$11</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789A69331B447AA2C2A71A86A707D" ma:contentTypeVersion="0" ma:contentTypeDescription="Create a new document." ma:contentTypeScope="" ma:versionID="5399c839dd5a5c59d7d22ddc485bff23">
  <xsd:schema xmlns:xsd="http://www.w3.org/2001/XMLSchema" xmlns:xs="http://www.w3.org/2001/XMLSchema" xmlns:p="http://schemas.microsoft.com/office/2006/metadata/properties" xmlns:ns2="f0af1d65-dfd0-4b99-b523-def3a954563f" targetNamespace="http://schemas.microsoft.com/office/2006/metadata/properties" ma:root="true" ma:fieldsID="44cfc60566d61e9babd1b11f9b704ff8" ns2:_="">
    <xsd:import namespace="f0af1d65-dfd0-4b99-b523-def3a954563f"/>
    <xsd:element name="properties">
      <xsd:complexType>
        <xsd:sequence>
          <xsd:element name="documentManagement">
            <xsd:complexType>
              <xsd:all>
                <xsd:element ref="ns2:Hydro_x0020_One_x0020_Data_x0020_Classification"/>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Only Internal information is not for release to the public)" ma:description="Use these options to classify the data you are uploading onto the site. Any questions please contact BIT security team" ma:format="RadioButtons" ma:hidden="true" ma:internalName="Hydro_x0020_One_x0020_Data_x0020_Classification" ma:readOnly="false">
      <xsd:simpleType>
        <xsd:restriction base="dms:Choice">
          <xsd:enumeration value="Internal Use (Only Internal information is not for release to the publi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27EC06B8-5AE3-42E6-A74B-FB6F745A6E6C}">
  <ds:schemaRefs>
    <ds:schemaRef ds:uri="http://schemas.microsoft.com/sharepoint/v3/contenttype/forms"/>
  </ds:schemaRefs>
</ds:datastoreItem>
</file>

<file path=customXml/itemProps2.xml><?xml version="1.0" encoding="utf-8"?>
<ds:datastoreItem xmlns:ds="http://schemas.openxmlformats.org/officeDocument/2006/customXml" ds:itemID="{974BBC98-4780-4F1A-A6C3-9AC4DBF596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af1d65-dfd0-4b99-b523-def3a95456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73877F-D462-4278-8F78-02EBB28680E6}">
  <ds:schemaRefs>
    <ds:schemaRef ds:uri="http://www.w3.org/XML/1998/namespace"/>
    <ds:schemaRef ds:uri="http://purl.org/dc/elements/1.1/"/>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f0af1d65-dfd0-4b99-b523-def3a954563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vt:i4>
      </vt:variant>
    </vt:vector>
  </HeadingPairs>
  <TitlesOfParts>
    <vt:vector size="71" baseType="lpstr">
      <vt:lpstr>Data for Bill Impacts</vt:lpstr>
      <vt:lpstr>Data for Bill Impacts_HONI Avg </vt:lpstr>
      <vt:lpstr>Bill Impact Summary</vt:lpstr>
      <vt:lpstr>BI_UR_Low</vt:lpstr>
      <vt:lpstr>BI_UR_Typical</vt:lpstr>
      <vt:lpstr>BI_UR_Avg</vt:lpstr>
      <vt:lpstr>BI_UR_High</vt:lpstr>
      <vt:lpstr>BI_R1_Low</vt:lpstr>
      <vt:lpstr>BI_R1_Typical</vt:lpstr>
      <vt:lpstr>BI_R1_Avg</vt:lpstr>
      <vt:lpstr>BI_R1_High</vt:lpstr>
      <vt:lpstr>BI_R2_Low</vt:lpstr>
      <vt:lpstr>BI_R2_Typical</vt:lpstr>
      <vt:lpstr>BI_R2_Avg</vt:lpstr>
      <vt:lpstr>BI_R2_High</vt:lpstr>
      <vt:lpstr>BI_Seas_Low</vt:lpstr>
      <vt:lpstr>BI_Seas_Typical</vt:lpstr>
      <vt:lpstr>BI_Seas_Avg</vt:lpstr>
      <vt:lpstr>BI_Seas_High</vt:lpstr>
      <vt:lpstr>BI_UGe_Low</vt:lpstr>
      <vt:lpstr>BI_UGe_Typical</vt:lpstr>
      <vt:lpstr>BI_UGe_Avg</vt:lpstr>
      <vt:lpstr>BI_UGe_High</vt:lpstr>
      <vt:lpstr>BI_GSe_Low</vt:lpstr>
      <vt:lpstr>BI_GSe_Typical</vt:lpstr>
      <vt:lpstr>BI_GSe_Avg</vt:lpstr>
      <vt:lpstr>BI_GSe_High</vt:lpstr>
      <vt:lpstr>BI_UGd_Low</vt:lpstr>
      <vt:lpstr>BI_UGd_Avg</vt:lpstr>
      <vt:lpstr>BI_UGd_High</vt:lpstr>
      <vt:lpstr>BI_GSd_Low</vt:lpstr>
      <vt:lpstr>BI_GSd_Avg</vt:lpstr>
      <vt:lpstr>BI_GSd_High</vt:lpstr>
      <vt:lpstr>BI_DGen_Low</vt:lpstr>
      <vt:lpstr>BI_DGen_Avg</vt:lpstr>
      <vt:lpstr>BI_DGen_High</vt:lpstr>
      <vt:lpstr>BI_ST_Low</vt:lpstr>
      <vt:lpstr>BI_ST_Avg</vt:lpstr>
      <vt:lpstr>BI_ST_High</vt:lpstr>
      <vt:lpstr>BI_USL_Low</vt:lpstr>
      <vt:lpstr>BI_USL_Avg</vt:lpstr>
      <vt:lpstr>BI_USL_High</vt:lpstr>
      <vt:lpstr>BI_SenLgt_Low</vt:lpstr>
      <vt:lpstr>BI_SenLgt_Avg</vt:lpstr>
      <vt:lpstr>BI_SenLgt_High</vt:lpstr>
      <vt:lpstr>BI_StLgt_Low</vt:lpstr>
      <vt:lpstr>BI_StLgt_Avg</vt:lpstr>
      <vt:lpstr>BI_StLgt_High</vt:lpstr>
      <vt:lpstr>BI_AUR_Low</vt:lpstr>
      <vt:lpstr>BI_AUR_Typical</vt:lpstr>
      <vt:lpstr>BI_AUR_Avg</vt:lpstr>
      <vt:lpstr>BI_AUR_High</vt:lpstr>
      <vt:lpstr>BI_AR_Low</vt:lpstr>
      <vt:lpstr>BI_AR_Typical</vt:lpstr>
      <vt:lpstr>BI_AR_Avg</vt:lpstr>
      <vt:lpstr>BI_AR_High</vt:lpstr>
      <vt:lpstr>BI_AUGe_Low</vt:lpstr>
      <vt:lpstr>BI_AUGe_Typical</vt:lpstr>
      <vt:lpstr>BI_AUGe_Avg</vt:lpstr>
      <vt:lpstr>BI_AUGe_High</vt:lpstr>
      <vt:lpstr>BI_AGSe_Low</vt:lpstr>
      <vt:lpstr>BI_AGSe_Typical</vt:lpstr>
      <vt:lpstr>BI_AGSe_Avg</vt:lpstr>
      <vt:lpstr>BI_AGSe_High</vt:lpstr>
      <vt:lpstr>BI_AUGd_Low</vt:lpstr>
      <vt:lpstr>BI_AUGd_Avg</vt:lpstr>
      <vt:lpstr>BI_AUGd_High</vt:lpstr>
      <vt:lpstr>BI_AGSd_Low</vt:lpstr>
      <vt:lpstr>BI_AGSd_Avg</vt:lpstr>
      <vt:lpstr>BI_AGSd_High</vt:lpstr>
      <vt:lpstr>'Bill Impact Summary'!Print_Area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SHETH Nikita</dc:creator>
  <cp:lastModifiedBy>GAUVREAU Diane</cp:lastModifiedBy>
  <cp:lastPrinted>2017-05-02T21:30:05Z</cp:lastPrinted>
  <dcterms:created xsi:type="dcterms:W3CDTF">2013-09-20T18:49:19Z</dcterms:created>
  <dcterms:modified xsi:type="dcterms:W3CDTF">2017-05-03T15:22:32Z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0x010100050789A69331B447AA2C2A71A86A707D</vt:lpwstr>
  </property>
</Properties>
</file>