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dmin\InnPower\OEB\2016 Filings\2017 COS\Amended Submission May 2017\"/>
    </mc:Choice>
  </mc:AlternateContent>
  <bookViews>
    <workbookView xWindow="732" yWindow="0" windowWidth="15468" windowHeight="8568" tabRatio="914" activeTab="11"/>
  </bookViews>
  <sheets>
    <sheet name="Exhibit 3 Tables" sheetId="38" r:id="rId1"/>
    <sheet name="Summary" sheetId="11" r:id="rId2"/>
    <sheet name="Purchased Power Model " sheetId="19" r:id="rId3"/>
    <sheet name="Residential" sheetId="41" r:id="rId4"/>
    <sheet name="GS&lt; 50 kW" sheetId="40" r:id="rId5"/>
    <sheet name="GS &gt; 50 kW" sheetId="39" r:id="rId6"/>
    <sheet name="Rate Class Energy Model" sheetId="9" r:id="rId7"/>
    <sheet name="Rate Class Customer Model" sheetId="17" r:id="rId8"/>
    <sheet name="Rate Class Load Model" sheetId="18" r:id="rId9"/>
    <sheet name="Weather Analysis" sheetId="24" r:id="rId10"/>
    <sheet name="2016 COP Forecast" sheetId="34" r:id="rId11"/>
    <sheet name="2017 COP Forecast" sheetId="3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Order1" hidden="1">255</definedName>
    <definedName name="_Sort" localSheetId="9" hidden="1">[1]Sheet1!$G$40:$K$40</definedName>
    <definedName name="_Sort" hidden="1">[2]Sheet1!$G$40:$K$40</definedName>
    <definedName name="CAfile">[3]Refs!$B$2</definedName>
    <definedName name="CArevReq">[3]Refs!$B$6</definedName>
    <definedName name="ClassRange1">[3]Refs!$B$3</definedName>
    <definedName name="ClassRange2">[3]Refs!$B$4</definedName>
    <definedName name="FolderPath">[3]Menu!$C$8</definedName>
    <definedName name="NewRevReq">[3]Refs!$B$8</definedName>
    <definedName name="PAGE11" localSheetId="10">#REF!</definedName>
    <definedName name="PAGE11" localSheetId="9">#REF!</definedName>
    <definedName name="PAGE11">#REF!</definedName>
    <definedName name="PAGE2" localSheetId="9">[1]Sheet1!$A$1:$I$40</definedName>
    <definedName name="PAGE2">[2]Sheet1!$A$1:$I$40</definedName>
    <definedName name="PAGE3" localSheetId="10">#REF!</definedName>
    <definedName name="PAGE3" localSheetId="9">#REF!</definedName>
    <definedName name="PAGE3">#REF!</definedName>
    <definedName name="PAGE4" localSheetId="10">#REF!</definedName>
    <definedName name="PAGE4" localSheetId="9">#REF!</definedName>
    <definedName name="PAGE4">#REF!</definedName>
    <definedName name="PAGE7" localSheetId="10">#REF!</definedName>
    <definedName name="PAGE7" localSheetId="9">#REF!</definedName>
    <definedName name="PAGE7">#REF!</definedName>
    <definedName name="PAGE9" localSheetId="10">#REF!</definedName>
    <definedName name="PAGE9" localSheetId="9">#REF!</definedName>
    <definedName name="PAGE9">#REF!</definedName>
    <definedName name="_xlnm.Print_Area" localSheetId="10">'2016 COP Forecast'!$A$1:$F$100</definedName>
    <definedName name="_xlnm.Print_Area" localSheetId="11">'2017 COP Forecast'!$A$1:$F$100</definedName>
    <definedName name="_xlnm.Print_Area" localSheetId="5">'GS &gt; 50 kW'!$A$2:$Q$138</definedName>
    <definedName name="_xlnm.Print_Area" localSheetId="4">'GS&lt; 50 kW'!$A$2:$Q$137</definedName>
    <definedName name="_xlnm.Print_Area" localSheetId="2">'Purchased Power Model '!$A$1:$Q$287</definedName>
    <definedName name="_xlnm.Print_Area" localSheetId="7">'Rate Class Customer Model'!$A$1:$L$46</definedName>
    <definedName name="_xlnm.Print_Area" localSheetId="6">'Rate Class Energy Model'!$A$3:$Z$177</definedName>
    <definedName name="_xlnm.Print_Area" localSheetId="8">'Rate Class Load Model'!$A$1:$E$31</definedName>
    <definedName name="_xlnm.Print_Area" localSheetId="3">Residential!$A$2:$Q$137</definedName>
    <definedName name="_xlnm.Print_Area" localSheetId="1">Summary!$A$1:$M$67</definedName>
    <definedName name="_xlnm.Print_Area" localSheetId="9">'Weather Analysis'!$A$1:$AA$41</definedName>
    <definedName name="RevReqLookupKey">[3]Refs!$B$5</definedName>
    <definedName name="RevReqRange">[3]Refs!$B$7</definedName>
  </definedNames>
  <calcPr calcId="162913"/>
</workbook>
</file>

<file path=xl/calcChain.xml><?xml version="1.0" encoding="utf-8"?>
<calcChain xmlns="http://schemas.openxmlformats.org/spreadsheetml/2006/main">
  <c r="L15" i="32" l="1"/>
  <c r="L481" i="38" l="1"/>
  <c r="K475" i="38"/>
  <c r="I475" i="38"/>
  <c r="E475" i="38"/>
  <c r="L470" i="38"/>
  <c r="K464" i="38"/>
  <c r="I464" i="38"/>
  <c r="E464" i="38"/>
  <c r="J464" i="38" s="1"/>
  <c r="K452" i="38"/>
  <c r="I452" i="38"/>
  <c r="E452" i="38"/>
  <c r="H452" i="38" s="1"/>
  <c r="B447" i="38"/>
  <c r="B458" i="38" s="1"/>
  <c r="B470" i="38" s="1"/>
  <c r="B481" i="38" s="1"/>
  <c r="B446" i="38"/>
  <c r="B457" i="38" s="1"/>
  <c r="B469" i="38" s="1"/>
  <c r="B480" i="38" s="1"/>
  <c r="B445" i="38"/>
  <c r="B456" i="38" s="1"/>
  <c r="B468" i="38" s="1"/>
  <c r="B479" i="38" s="1"/>
  <c r="B444" i="38"/>
  <c r="B455" i="38" s="1"/>
  <c r="B467" i="38" s="1"/>
  <c r="B478" i="38" s="1"/>
  <c r="B443" i="38"/>
  <c r="B454" i="38" s="1"/>
  <c r="B466" i="38" s="1"/>
  <c r="B477" i="38" s="1"/>
  <c r="B442" i="38"/>
  <c r="B453" i="38" s="1"/>
  <c r="B465" i="38" s="1"/>
  <c r="B476" i="38" s="1"/>
  <c r="K441" i="38"/>
  <c r="I441" i="38"/>
  <c r="E441" i="38"/>
  <c r="J435" i="38"/>
  <c r="J434" i="38"/>
  <c r="J433" i="38"/>
  <c r="K430" i="38"/>
  <c r="J430" i="38"/>
  <c r="I430" i="38"/>
  <c r="H430" i="38"/>
  <c r="B426" i="38"/>
  <c r="B425" i="38"/>
  <c r="B424" i="38"/>
  <c r="E422" i="38"/>
  <c r="B417" i="38"/>
  <c r="B416" i="38"/>
  <c r="J414" i="38"/>
  <c r="I414" i="38"/>
  <c r="I470" i="38" s="1"/>
  <c r="H481" i="38" s="1"/>
  <c r="H414" i="38"/>
  <c r="I458" i="38" s="1"/>
  <c r="H470" i="38" s="1"/>
  <c r="G414" i="38"/>
  <c r="I447" i="38" s="1"/>
  <c r="F414" i="38"/>
  <c r="E414" i="38"/>
  <c r="H436" i="38" s="1"/>
  <c r="J413" i="38"/>
  <c r="F481" i="38" s="1"/>
  <c r="I413" i="38"/>
  <c r="E481" i="38" s="1"/>
  <c r="H413" i="38"/>
  <c r="G413" i="38"/>
  <c r="E458" i="38" s="1"/>
  <c r="F413" i="38"/>
  <c r="E413" i="38"/>
  <c r="E436" i="38" s="1"/>
  <c r="B410" i="38"/>
  <c r="B409" i="38"/>
  <c r="B408" i="38"/>
  <c r="J406" i="38"/>
  <c r="K480" i="38" s="1"/>
  <c r="I406" i="38"/>
  <c r="K469" i="38" s="1"/>
  <c r="H406" i="38"/>
  <c r="G406" i="38"/>
  <c r="G410" i="38" s="1"/>
  <c r="F406" i="38"/>
  <c r="F410" i="38" s="1"/>
  <c r="J405" i="38"/>
  <c r="I405" i="38"/>
  <c r="H405" i="38"/>
  <c r="G405" i="38"/>
  <c r="F405" i="38"/>
  <c r="E405" i="38"/>
  <c r="J404" i="38"/>
  <c r="I404" i="38"/>
  <c r="F469" i="38" s="1"/>
  <c r="H404" i="38"/>
  <c r="G404" i="38"/>
  <c r="F404" i="38"/>
  <c r="E404" i="38"/>
  <c r="E435" i="38" s="1"/>
  <c r="B401" i="38"/>
  <c r="B400" i="38"/>
  <c r="B399" i="38"/>
  <c r="J397" i="38"/>
  <c r="I397" i="38"/>
  <c r="K468" i="38" s="1"/>
  <c r="H397" i="38"/>
  <c r="J468" i="38" s="1"/>
  <c r="G397" i="38"/>
  <c r="J456" i="38" s="1"/>
  <c r="F397" i="38"/>
  <c r="J396" i="38"/>
  <c r="I396" i="38"/>
  <c r="H396" i="38"/>
  <c r="G396" i="38"/>
  <c r="F396" i="38"/>
  <c r="E396" i="38"/>
  <c r="J395" i="38"/>
  <c r="I395" i="38"/>
  <c r="F468" i="38" s="1"/>
  <c r="H395" i="38"/>
  <c r="G395" i="38"/>
  <c r="E456" i="38" s="1"/>
  <c r="F395" i="38"/>
  <c r="E395" i="38"/>
  <c r="E434" i="38" s="1"/>
  <c r="B392" i="38"/>
  <c r="B391" i="38"/>
  <c r="B390" i="38"/>
  <c r="J388" i="38"/>
  <c r="I388" i="38"/>
  <c r="H388" i="38"/>
  <c r="H392" i="38" s="1"/>
  <c r="G388" i="38"/>
  <c r="J455" i="38" s="1"/>
  <c r="F388" i="38"/>
  <c r="K433" i="38" s="1"/>
  <c r="J387" i="38"/>
  <c r="I387" i="38"/>
  <c r="H387" i="38"/>
  <c r="G387" i="38"/>
  <c r="F387" i="38"/>
  <c r="E387" i="38"/>
  <c r="J386" i="38"/>
  <c r="F478" i="38" s="1"/>
  <c r="I386" i="38"/>
  <c r="H386" i="38"/>
  <c r="F455" i="38" s="1"/>
  <c r="G386" i="38"/>
  <c r="E455" i="38" s="1"/>
  <c r="F386" i="38"/>
  <c r="F433" i="38" s="1"/>
  <c r="E386" i="38"/>
  <c r="B383" i="38"/>
  <c r="B382" i="38"/>
  <c r="J380" i="38"/>
  <c r="I380" i="38"/>
  <c r="H380" i="38"/>
  <c r="I454" i="38" s="1"/>
  <c r="H466" i="38" s="1"/>
  <c r="G380" i="38"/>
  <c r="F380" i="38"/>
  <c r="J379" i="38"/>
  <c r="F477" i="38" s="1"/>
  <c r="I379" i="38"/>
  <c r="H379" i="38"/>
  <c r="G379" i="38"/>
  <c r="E454" i="38" s="1"/>
  <c r="F379" i="38"/>
  <c r="E443" i="38" s="1"/>
  <c r="E379" i="38"/>
  <c r="E432" i="38" s="1"/>
  <c r="B376" i="38"/>
  <c r="B375" i="38"/>
  <c r="J373" i="38"/>
  <c r="I476" i="38" s="1"/>
  <c r="I373" i="38"/>
  <c r="H373" i="38"/>
  <c r="G373" i="38"/>
  <c r="I442" i="38" s="1"/>
  <c r="F373" i="38"/>
  <c r="J372" i="38"/>
  <c r="I372" i="38"/>
  <c r="H372" i="38"/>
  <c r="F453" i="38" s="1"/>
  <c r="G372" i="38"/>
  <c r="F372" i="38"/>
  <c r="E372" i="38"/>
  <c r="E431" i="38" s="1"/>
  <c r="E370" i="38"/>
  <c r="J365" i="38"/>
  <c r="I365" i="38"/>
  <c r="I362" i="38"/>
  <c r="J359" i="38"/>
  <c r="I359" i="38"/>
  <c r="H359" i="38"/>
  <c r="G359" i="38"/>
  <c r="F359" i="38"/>
  <c r="H358" i="38"/>
  <c r="G358" i="38"/>
  <c r="F358" i="38"/>
  <c r="J357" i="38"/>
  <c r="J370" i="38" s="1"/>
  <c r="I357" i="38"/>
  <c r="I370" i="38" s="1"/>
  <c r="H357" i="38"/>
  <c r="H370" i="38" s="1"/>
  <c r="G357" i="38"/>
  <c r="G370" i="38" s="1"/>
  <c r="F357" i="38"/>
  <c r="F370" i="38" s="1"/>
  <c r="G347" i="38"/>
  <c r="F347" i="38"/>
  <c r="E347" i="38"/>
  <c r="G346" i="38"/>
  <c r="F346" i="38"/>
  <c r="E346" i="38"/>
  <c r="G345" i="38"/>
  <c r="F345" i="38"/>
  <c r="E345" i="38"/>
  <c r="G344" i="38"/>
  <c r="F344" i="38"/>
  <c r="E344" i="38"/>
  <c r="G343" i="38"/>
  <c r="F343" i="38"/>
  <c r="E343" i="38"/>
  <c r="G342" i="38"/>
  <c r="F342" i="38"/>
  <c r="E342" i="38"/>
  <c r="G341" i="38"/>
  <c r="F341" i="38"/>
  <c r="E341" i="38"/>
  <c r="G340" i="38"/>
  <c r="F340" i="38"/>
  <c r="E340" i="38"/>
  <c r="G339" i="38"/>
  <c r="F339" i="38"/>
  <c r="E339" i="38"/>
  <c r="G338" i="38"/>
  <c r="F338" i="38"/>
  <c r="E338" i="38"/>
  <c r="G333" i="38"/>
  <c r="F333" i="38"/>
  <c r="E333" i="38"/>
  <c r="B333" i="38"/>
  <c r="B347" i="38" s="1"/>
  <c r="G332" i="38"/>
  <c r="F332" i="38"/>
  <c r="E332" i="38"/>
  <c r="B332" i="38"/>
  <c r="B346" i="38" s="1"/>
  <c r="G331" i="38"/>
  <c r="F331" i="38"/>
  <c r="E331" i="38"/>
  <c r="B331" i="38"/>
  <c r="B345" i="38" s="1"/>
  <c r="G330" i="38"/>
  <c r="F330" i="38"/>
  <c r="E330" i="38"/>
  <c r="B330" i="38"/>
  <c r="B344" i="38" s="1"/>
  <c r="G329" i="38"/>
  <c r="F329" i="38"/>
  <c r="E329" i="38"/>
  <c r="B329" i="38"/>
  <c r="B343" i="38" s="1"/>
  <c r="G328" i="38"/>
  <c r="F328" i="38"/>
  <c r="E328" i="38"/>
  <c r="B328" i="38"/>
  <c r="B342" i="38" s="1"/>
  <c r="G327" i="38"/>
  <c r="F327" i="38"/>
  <c r="E327" i="38"/>
  <c r="B327" i="38"/>
  <c r="B341" i="38" s="1"/>
  <c r="G326" i="38"/>
  <c r="F326" i="38"/>
  <c r="E326" i="38"/>
  <c r="B326" i="38"/>
  <c r="B340" i="38" s="1"/>
  <c r="G325" i="38"/>
  <c r="F325" i="38"/>
  <c r="E325" i="38"/>
  <c r="B325" i="38"/>
  <c r="B339" i="38" s="1"/>
  <c r="G324" i="38"/>
  <c r="F324" i="38"/>
  <c r="E324" i="38"/>
  <c r="B324" i="38"/>
  <c r="B338" i="38" s="1"/>
  <c r="I315" i="38"/>
  <c r="I314" i="38"/>
  <c r="J312" i="38"/>
  <c r="I312" i="38"/>
  <c r="H312" i="38"/>
  <c r="G312" i="38"/>
  <c r="F312" i="38"/>
  <c r="E312" i="38"/>
  <c r="J311" i="38"/>
  <c r="I311" i="38"/>
  <c r="H311" i="38"/>
  <c r="G311" i="38"/>
  <c r="F311" i="38"/>
  <c r="E311" i="38"/>
  <c r="J309" i="38"/>
  <c r="F309" i="38"/>
  <c r="E309" i="38"/>
  <c r="J308" i="38"/>
  <c r="F308" i="38"/>
  <c r="E308" i="38"/>
  <c r="B306" i="38"/>
  <c r="B305" i="38"/>
  <c r="O264" i="38"/>
  <c r="O276" i="38" s="1"/>
  <c r="O263" i="38"/>
  <c r="O275" i="38" s="1"/>
  <c r="V240" i="38"/>
  <c r="U240" i="38"/>
  <c r="T240" i="38"/>
  <c r="S240" i="38"/>
  <c r="R240" i="38"/>
  <c r="Q240" i="38"/>
  <c r="P240" i="38"/>
  <c r="V235" i="38"/>
  <c r="O235" i="38"/>
  <c r="O250" i="38" s="1"/>
  <c r="O262" i="38" s="1"/>
  <c r="O274" i="38" s="1"/>
  <c r="V234" i="38"/>
  <c r="U234" i="38"/>
  <c r="O234" i="38"/>
  <c r="O249" i="38" s="1"/>
  <c r="O261" i="38" s="1"/>
  <c r="O273" i="38" s="1"/>
  <c r="V233" i="38"/>
  <c r="U233" i="38"/>
  <c r="T233" i="38"/>
  <c r="O233" i="38"/>
  <c r="O248" i="38" s="1"/>
  <c r="O260" i="38" s="1"/>
  <c r="O272" i="38" s="1"/>
  <c r="V232" i="38"/>
  <c r="U232" i="38"/>
  <c r="T232" i="38"/>
  <c r="S232" i="38"/>
  <c r="S247" i="38" s="1"/>
  <c r="S251" i="38" s="1"/>
  <c r="O232" i="38"/>
  <c r="O247" i="38" s="1"/>
  <c r="O259" i="38" s="1"/>
  <c r="O271" i="38" s="1"/>
  <c r="V231" i="38"/>
  <c r="U231" i="38"/>
  <c r="T231" i="38"/>
  <c r="S231" i="38"/>
  <c r="R231" i="38"/>
  <c r="R236" i="38" s="1"/>
  <c r="O231" i="38"/>
  <c r="O246" i="38" s="1"/>
  <c r="O258" i="38" s="1"/>
  <c r="O270" i="38" s="1"/>
  <c r="V230" i="38"/>
  <c r="U230" i="38"/>
  <c r="T230" i="38"/>
  <c r="S230" i="38"/>
  <c r="R230" i="38"/>
  <c r="Q230" i="38"/>
  <c r="O230" i="38"/>
  <c r="O245" i="38" s="1"/>
  <c r="O257" i="38" s="1"/>
  <c r="O269" i="38" s="1"/>
  <c r="V229" i="38"/>
  <c r="U229" i="38"/>
  <c r="T229" i="38"/>
  <c r="S229" i="38"/>
  <c r="R229" i="38"/>
  <c r="Q229" i="38"/>
  <c r="P229" i="38"/>
  <c r="O229" i="38"/>
  <c r="O244" i="38" s="1"/>
  <c r="O256" i="38" s="1"/>
  <c r="O268" i="38" s="1"/>
  <c r="E218" i="38"/>
  <c r="G224" i="38" s="1"/>
  <c r="E217" i="38"/>
  <c r="G223" i="38" s="1"/>
  <c r="E216" i="38"/>
  <c r="E215" i="38"/>
  <c r="E214" i="38"/>
  <c r="E213" i="38"/>
  <c r="E212" i="38"/>
  <c r="E211" i="38"/>
  <c r="E210" i="38"/>
  <c r="E209" i="38"/>
  <c r="E208" i="38"/>
  <c r="E207" i="38"/>
  <c r="J203" i="38"/>
  <c r="I203" i="38"/>
  <c r="H203" i="38"/>
  <c r="G203" i="38"/>
  <c r="F203" i="38"/>
  <c r="E203" i="38"/>
  <c r="B192" i="38"/>
  <c r="B309" i="38" s="1"/>
  <c r="B315" i="38" s="1"/>
  <c r="B191" i="38"/>
  <c r="B308" i="38" s="1"/>
  <c r="B311" i="38" s="1"/>
  <c r="J186" i="38"/>
  <c r="I186" i="38"/>
  <c r="H186" i="38"/>
  <c r="G186" i="38"/>
  <c r="F186" i="38"/>
  <c r="E186" i="38"/>
  <c r="B186" i="38"/>
  <c r="J171" i="38"/>
  <c r="I171" i="38"/>
  <c r="H171" i="38"/>
  <c r="G171" i="38"/>
  <c r="F171" i="38"/>
  <c r="E171" i="38"/>
  <c r="J170" i="38"/>
  <c r="I170" i="38"/>
  <c r="H170" i="38"/>
  <c r="G170" i="38"/>
  <c r="F170" i="38"/>
  <c r="E170" i="38"/>
  <c r="J169" i="38"/>
  <c r="I169" i="38"/>
  <c r="H169" i="38"/>
  <c r="G169" i="38"/>
  <c r="F169" i="38"/>
  <c r="E169" i="38"/>
  <c r="J168" i="38"/>
  <c r="I168" i="38"/>
  <c r="H168" i="38"/>
  <c r="G168" i="38"/>
  <c r="F168" i="38"/>
  <c r="E168" i="38"/>
  <c r="J167" i="38"/>
  <c r="I167" i="38"/>
  <c r="H167" i="38"/>
  <c r="G167" i="38"/>
  <c r="F167" i="38"/>
  <c r="E167" i="38"/>
  <c r="J166" i="38"/>
  <c r="I166" i="38"/>
  <c r="H166" i="38"/>
  <c r="G166" i="38"/>
  <c r="F166" i="38"/>
  <c r="E166" i="38"/>
  <c r="J165" i="38"/>
  <c r="I165" i="38"/>
  <c r="H165" i="38"/>
  <c r="G165" i="38"/>
  <c r="F165" i="38"/>
  <c r="E165" i="38"/>
  <c r="J164" i="38"/>
  <c r="I164" i="38"/>
  <c r="H164" i="38"/>
  <c r="G164" i="38"/>
  <c r="F164" i="38"/>
  <c r="E164" i="38"/>
  <c r="J163" i="38"/>
  <c r="I163" i="38"/>
  <c r="H163" i="38"/>
  <c r="G163" i="38"/>
  <c r="F163" i="38"/>
  <c r="E163" i="38"/>
  <c r="J162" i="38"/>
  <c r="I162" i="38"/>
  <c r="H162" i="38"/>
  <c r="G162" i="38"/>
  <c r="F162" i="38"/>
  <c r="E162" i="38"/>
  <c r="J151" i="38"/>
  <c r="I151" i="38"/>
  <c r="H151" i="38"/>
  <c r="G151" i="38"/>
  <c r="F151" i="38"/>
  <c r="E151" i="38"/>
  <c r="B136" i="38"/>
  <c r="B150" i="38" s="1"/>
  <c r="B171" i="38" s="1"/>
  <c r="B185" i="38" s="1"/>
  <c r="B135" i="38"/>
  <c r="B149" i="38" s="1"/>
  <c r="B170" i="38" s="1"/>
  <c r="B184" i="38" s="1"/>
  <c r="B134" i="38"/>
  <c r="B148" i="38" s="1"/>
  <c r="B169" i="38" s="1"/>
  <c r="B183" i="38" s="1"/>
  <c r="B133" i="38"/>
  <c r="B147" i="38" s="1"/>
  <c r="B168" i="38" s="1"/>
  <c r="B182" i="38" s="1"/>
  <c r="B132" i="38"/>
  <c r="B146" i="38" s="1"/>
  <c r="B167" i="38" s="1"/>
  <c r="B181" i="38" s="1"/>
  <c r="B131" i="38"/>
  <c r="B145" i="38" s="1"/>
  <c r="B166" i="38" s="1"/>
  <c r="B180" i="38" s="1"/>
  <c r="B130" i="38"/>
  <c r="B144" i="38" s="1"/>
  <c r="B165" i="38" s="1"/>
  <c r="B179" i="38" s="1"/>
  <c r="B129" i="38"/>
  <c r="B143" i="38" s="1"/>
  <c r="B164" i="38" s="1"/>
  <c r="B178" i="38" s="1"/>
  <c r="B128" i="38"/>
  <c r="B142" i="38" s="1"/>
  <c r="B163" i="38" s="1"/>
  <c r="B177" i="38" s="1"/>
  <c r="B127" i="38"/>
  <c r="B141" i="38" s="1"/>
  <c r="B162" i="38" s="1"/>
  <c r="B176" i="38" s="1"/>
  <c r="F122" i="38"/>
  <c r="F121" i="38"/>
  <c r="F117" i="38"/>
  <c r="F116" i="38"/>
  <c r="E122" i="38" s="1"/>
  <c r="F115" i="38"/>
  <c r="E121" i="38" s="1"/>
  <c r="F114" i="38"/>
  <c r="E114" i="38"/>
  <c r="F113" i="38"/>
  <c r="E113" i="38"/>
  <c r="F112" i="38"/>
  <c r="E112" i="38"/>
  <c r="F111" i="38"/>
  <c r="E111" i="38"/>
  <c r="F110" i="38"/>
  <c r="E110" i="38"/>
  <c r="F109" i="38"/>
  <c r="E109" i="38"/>
  <c r="F108" i="38"/>
  <c r="E108" i="38"/>
  <c r="F107" i="38"/>
  <c r="E107" i="38"/>
  <c r="F106" i="38"/>
  <c r="E106" i="38"/>
  <c r="F105" i="38"/>
  <c r="E105" i="38"/>
  <c r="E100" i="38"/>
  <c r="E99" i="38"/>
  <c r="B99" i="38"/>
  <c r="E98" i="38"/>
  <c r="B98" i="38"/>
  <c r="E97" i="38"/>
  <c r="B97" i="38"/>
  <c r="E96" i="38"/>
  <c r="B96" i="38"/>
  <c r="E95" i="38"/>
  <c r="B95" i="38"/>
  <c r="E93" i="38"/>
  <c r="E92" i="38"/>
  <c r="E91" i="38"/>
  <c r="E90" i="38"/>
  <c r="J72" i="38"/>
  <c r="I72" i="38"/>
  <c r="H72" i="38"/>
  <c r="G72" i="38"/>
  <c r="J69" i="38"/>
  <c r="J125" i="38" s="1"/>
  <c r="J139" i="38" s="1"/>
  <c r="J154" i="38" s="1"/>
  <c r="J160" i="38" s="1"/>
  <c r="J174" i="38" s="1"/>
  <c r="J189" i="38" s="1"/>
  <c r="J195" i="38" s="1"/>
  <c r="J201" i="38" s="1"/>
  <c r="I69" i="38"/>
  <c r="I125" i="38" s="1"/>
  <c r="I139" i="38" s="1"/>
  <c r="I154" i="38" s="1"/>
  <c r="I160" i="38" s="1"/>
  <c r="I174" i="38" s="1"/>
  <c r="I189" i="38" s="1"/>
  <c r="I195" i="38" s="1"/>
  <c r="I201" i="38" s="1"/>
  <c r="H69" i="38"/>
  <c r="H125" i="38" s="1"/>
  <c r="H139" i="38" s="1"/>
  <c r="H154" i="38" s="1"/>
  <c r="H160" i="38" s="1"/>
  <c r="H174" i="38" s="1"/>
  <c r="H189" i="38" s="1"/>
  <c r="H195" i="38" s="1"/>
  <c r="H201" i="38" s="1"/>
  <c r="G69" i="38"/>
  <c r="A6" i="38" s="1"/>
  <c r="F69" i="38"/>
  <c r="F125" i="38" s="1"/>
  <c r="F139" i="38" s="1"/>
  <c r="F154" i="38" s="1"/>
  <c r="F160" i="38" s="1"/>
  <c r="F174" i="38" s="1"/>
  <c r="F189" i="38" s="1"/>
  <c r="F195" i="38" s="1"/>
  <c r="F201" i="38" s="1"/>
  <c r="E69" i="38"/>
  <c r="J66" i="38"/>
  <c r="I66" i="38"/>
  <c r="H66" i="38"/>
  <c r="G66" i="38"/>
  <c r="F66" i="38"/>
  <c r="E66" i="38"/>
  <c r="E157" i="38" s="1"/>
  <c r="P65" i="38"/>
  <c r="J65" i="38"/>
  <c r="I65" i="38"/>
  <c r="H65" i="38"/>
  <c r="G65" i="38"/>
  <c r="F65" i="38"/>
  <c r="E65" i="38"/>
  <c r="E156" i="38" s="1"/>
  <c r="J64" i="38"/>
  <c r="J136" i="38" s="1"/>
  <c r="I64" i="38"/>
  <c r="I136" i="38" s="1"/>
  <c r="H64" i="38"/>
  <c r="H136" i="38" s="1"/>
  <c r="G64" i="38"/>
  <c r="G136" i="38" s="1"/>
  <c r="F64" i="38"/>
  <c r="E64" i="38"/>
  <c r="E136" i="38" s="1"/>
  <c r="J63" i="38"/>
  <c r="J135" i="38" s="1"/>
  <c r="I63" i="38"/>
  <c r="I135" i="38" s="1"/>
  <c r="H63" i="38"/>
  <c r="H135" i="38" s="1"/>
  <c r="G63" i="38"/>
  <c r="G135" i="38" s="1"/>
  <c r="F63" i="38"/>
  <c r="F135" i="38" s="1"/>
  <c r="E63" i="38"/>
  <c r="E135" i="38" s="1"/>
  <c r="J62" i="38"/>
  <c r="J134" i="38" s="1"/>
  <c r="I62" i="38"/>
  <c r="I134" i="38" s="1"/>
  <c r="H62" i="38"/>
  <c r="H134" i="38" s="1"/>
  <c r="G62" i="38"/>
  <c r="G134" i="38" s="1"/>
  <c r="F62" i="38"/>
  <c r="E62" i="38"/>
  <c r="E134" i="38" s="1"/>
  <c r="J61" i="38"/>
  <c r="J133" i="38" s="1"/>
  <c r="I61" i="38"/>
  <c r="I133" i="38" s="1"/>
  <c r="H61" i="38"/>
  <c r="H133" i="38" s="1"/>
  <c r="G61" i="38"/>
  <c r="G133" i="38" s="1"/>
  <c r="F61" i="38"/>
  <c r="E61" i="38"/>
  <c r="E133" i="38" s="1"/>
  <c r="J60" i="38"/>
  <c r="J132" i="38" s="1"/>
  <c r="I60" i="38"/>
  <c r="I132" i="38" s="1"/>
  <c r="H60" i="38"/>
  <c r="H132" i="38" s="1"/>
  <c r="G60" i="38"/>
  <c r="G132" i="38" s="1"/>
  <c r="F60" i="38"/>
  <c r="F132" i="38" s="1"/>
  <c r="E60" i="38"/>
  <c r="E132" i="38" s="1"/>
  <c r="J59" i="38"/>
  <c r="J131" i="38" s="1"/>
  <c r="I59" i="38"/>
  <c r="I131" i="38" s="1"/>
  <c r="H59" i="38"/>
  <c r="H131" i="38" s="1"/>
  <c r="G59" i="38"/>
  <c r="G131" i="38" s="1"/>
  <c r="F59" i="38"/>
  <c r="F131" i="38" s="1"/>
  <c r="E59" i="38"/>
  <c r="E131" i="38" s="1"/>
  <c r="J58" i="38"/>
  <c r="J130" i="38" s="1"/>
  <c r="I58" i="38"/>
  <c r="I130" i="38" s="1"/>
  <c r="H58" i="38"/>
  <c r="H130" i="38" s="1"/>
  <c r="G58" i="38"/>
  <c r="G130" i="38" s="1"/>
  <c r="F58" i="38"/>
  <c r="E58" i="38"/>
  <c r="E130" i="38" s="1"/>
  <c r="J57" i="38"/>
  <c r="J129" i="38" s="1"/>
  <c r="I57" i="38"/>
  <c r="I129" i="38" s="1"/>
  <c r="H57" i="38"/>
  <c r="H129" i="38" s="1"/>
  <c r="G57" i="38"/>
  <c r="G129" i="38" s="1"/>
  <c r="F57" i="38"/>
  <c r="E57" i="38"/>
  <c r="E129" i="38" s="1"/>
  <c r="J56" i="38"/>
  <c r="J128" i="38" s="1"/>
  <c r="I56" i="38"/>
  <c r="I128" i="38" s="1"/>
  <c r="H56" i="38"/>
  <c r="H128" i="38" s="1"/>
  <c r="G56" i="38"/>
  <c r="G128" i="38" s="1"/>
  <c r="F56" i="38"/>
  <c r="E56" i="38"/>
  <c r="E128" i="38" s="1"/>
  <c r="J55" i="38"/>
  <c r="J127" i="38" s="1"/>
  <c r="I55" i="38"/>
  <c r="I127" i="38" s="1"/>
  <c r="H55" i="38"/>
  <c r="H127" i="38" s="1"/>
  <c r="G55" i="38"/>
  <c r="G127" i="38" s="1"/>
  <c r="F55" i="38"/>
  <c r="F127" i="38" s="1"/>
  <c r="E55" i="38"/>
  <c r="E127" i="38" s="1"/>
  <c r="K53" i="38"/>
  <c r="H14" i="38" s="1"/>
  <c r="J47" i="38"/>
  <c r="I47" i="38"/>
  <c r="H47" i="38"/>
  <c r="G47" i="38"/>
  <c r="F47" i="38"/>
  <c r="E47" i="38"/>
  <c r="B47" i="38"/>
  <c r="B66" i="38" s="1"/>
  <c r="J46" i="38"/>
  <c r="I46" i="38"/>
  <c r="H46" i="38"/>
  <c r="G46" i="38"/>
  <c r="F46" i="38"/>
  <c r="E46" i="38"/>
  <c r="B46" i="38"/>
  <c r="B84" i="38" s="1"/>
  <c r="B115" i="38" s="1"/>
  <c r="B121" i="38" s="1"/>
  <c r="B223" i="38" s="1"/>
  <c r="B317" i="38" s="1"/>
  <c r="B353" i="38" s="1"/>
  <c r="J45" i="38"/>
  <c r="I45" i="38"/>
  <c r="H45" i="38"/>
  <c r="G45" i="38"/>
  <c r="F45" i="38"/>
  <c r="E45" i="38"/>
  <c r="B45" i="38"/>
  <c r="B83" i="38" s="1"/>
  <c r="J44" i="38"/>
  <c r="I44" i="38"/>
  <c r="H44" i="38"/>
  <c r="G44" i="38"/>
  <c r="F44" i="38"/>
  <c r="E44" i="38"/>
  <c r="B44" i="38"/>
  <c r="B63" i="38" s="1"/>
  <c r="J43" i="38"/>
  <c r="I43" i="38"/>
  <c r="H43" i="38"/>
  <c r="G43" i="38"/>
  <c r="F43" i="38"/>
  <c r="E43" i="38"/>
  <c r="B43" i="38"/>
  <c r="B81" i="38" s="1"/>
  <c r="J42" i="38"/>
  <c r="I42" i="38"/>
  <c r="H42" i="38"/>
  <c r="G42" i="38"/>
  <c r="F42" i="38"/>
  <c r="E42" i="38"/>
  <c r="B42" i="38"/>
  <c r="B80" i="38" s="1"/>
  <c r="J41" i="38"/>
  <c r="I41" i="38"/>
  <c r="H41" i="38"/>
  <c r="G41" i="38"/>
  <c r="F41" i="38"/>
  <c r="E41" i="38"/>
  <c r="B41" i="38"/>
  <c r="B79" i="38" s="1"/>
  <c r="J40" i="38"/>
  <c r="I40" i="38"/>
  <c r="H40" i="38"/>
  <c r="G40" i="38"/>
  <c r="F40" i="38"/>
  <c r="E40" i="38"/>
  <c r="B40" i="38"/>
  <c r="B78" i="38" s="1"/>
  <c r="J39" i="38"/>
  <c r="I39" i="38"/>
  <c r="H39" i="38"/>
  <c r="G39" i="38"/>
  <c r="F39" i="38"/>
  <c r="E39" i="38"/>
  <c r="B39" i="38"/>
  <c r="B58" i="38" s="1"/>
  <c r="J38" i="38"/>
  <c r="I38" i="38"/>
  <c r="H38" i="38"/>
  <c r="G38" i="38"/>
  <c r="F38" i="38"/>
  <c r="E38" i="38"/>
  <c r="B38" i="38"/>
  <c r="B76" i="38" s="1"/>
  <c r="J37" i="38"/>
  <c r="I37" i="38"/>
  <c r="H37" i="38"/>
  <c r="G37" i="38"/>
  <c r="F37" i="38"/>
  <c r="E37" i="38"/>
  <c r="B37" i="38"/>
  <c r="B75" i="38" s="1"/>
  <c r="J36" i="38"/>
  <c r="I36" i="38"/>
  <c r="H36" i="38"/>
  <c r="G36" i="38"/>
  <c r="F36" i="38"/>
  <c r="E36" i="38"/>
  <c r="B36" i="38"/>
  <c r="B74" i="38" s="1"/>
  <c r="F34" i="38"/>
  <c r="E380" i="38" s="1"/>
  <c r="E34" i="38"/>
  <c r="B34" i="38"/>
  <c r="B53" i="38" s="1"/>
  <c r="H27" i="38"/>
  <c r="E27" i="38"/>
  <c r="H26" i="38"/>
  <c r="E26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H19" i="38"/>
  <c r="E19" i="38"/>
  <c r="H18" i="38"/>
  <c r="E18" i="38"/>
  <c r="H17" i="38"/>
  <c r="E17" i="38"/>
  <c r="H16" i="38"/>
  <c r="E16" i="38"/>
  <c r="G7" i="38"/>
  <c r="F7" i="38"/>
  <c r="G6" i="38"/>
  <c r="F6" i="38"/>
  <c r="G5" i="38"/>
  <c r="F5" i="38"/>
  <c r="A5" i="38"/>
  <c r="G4" i="38"/>
  <c r="F4" i="38"/>
  <c r="B67" i="11"/>
  <c r="B59" i="11" s="1"/>
  <c r="C59" i="11" s="1"/>
  <c r="B60" i="11"/>
  <c r="C60" i="11" s="1"/>
  <c r="B58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B38" i="11" s="1"/>
  <c r="A55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M37" i="11"/>
  <c r="U37" i="11" s="1"/>
  <c r="L37" i="11"/>
  <c r="K37" i="11"/>
  <c r="J37" i="11"/>
  <c r="I37" i="11"/>
  <c r="H37" i="11"/>
  <c r="G37" i="11"/>
  <c r="F37" i="11"/>
  <c r="E37" i="11"/>
  <c r="D37" i="11"/>
  <c r="C37" i="11"/>
  <c r="B37" i="11"/>
  <c r="A36" i="11"/>
  <c r="M34" i="11"/>
  <c r="U34" i="11" s="1"/>
  <c r="L34" i="11"/>
  <c r="K34" i="11"/>
  <c r="J34" i="11"/>
  <c r="I34" i="11"/>
  <c r="H34" i="11"/>
  <c r="G34" i="11"/>
  <c r="F34" i="11"/>
  <c r="E34" i="11"/>
  <c r="D34" i="11"/>
  <c r="C34" i="11"/>
  <c r="B34" i="11"/>
  <c r="M33" i="11"/>
  <c r="U33" i="11" s="1"/>
  <c r="L33" i="11"/>
  <c r="K33" i="11"/>
  <c r="J33" i="11"/>
  <c r="I33" i="11"/>
  <c r="H33" i="11"/>
  <c r="G33" i="11"/>
  <c r="F33" i="11"/>
  <c r="E33" i="11"/>
  <c r="D33" i="11"/>
  <c r="C33" i="11"/>
  <c r="B33" i="11"/>
  <c r="M32" i="11"/>
  <c r="U32" i="11" s="1"/>
  <c r="L32" i="11"/>
  <c r="K32" i="11"/>
  <c r="J32" i="11"/>
  <c r="I32" i="11"/>
  <c r="H32" i="11"/>
  <c r="G32" i="11"/>
  <c r="F32" i="11"/>
  <c r="E32" i="11"/>
  <c r="D32" i="11"/>
  <c r="C32" i="11"/>
  <c r="B32" i="11"/>
  <c r="A31" i="11"/>
  <c r="M29" i="11"/>
  <c r="U29" i="11" s="1"/>
  <c r="L29" i="11"/>
  <c r="K29" i="11"/>
  <c r="J29" i="11"/>
  <c r="I29" i="11"/>
  <c r="H29" i="11"/>
  <c r="G29" i="11"/>
  <c r="F29" i="11"/>
  <c r="E29" i="11"/>
  <c r="D29" i="11"/>
  <c r="C29" i="11"/>
  <c r="B29" i="11"/>
  <c r="M28" i="11"/>
  <c r="U28" i="11" s="1"/>
  <c r="L28" i="11"/>
  <c r="K28" i="11"/>
  <c r="J28" i="11"/>
  <c r="I28" i="11"/>
  <c r="H28" i="11"/>
  <c r="G28" i="11"/>
  <c r="F28" i="11"/>
  <c r="E28" i="11"/>
  <c r="D28" i="11"/>
  <c r="C28" i="11"/>
  <c r="B28" i="11"/>
  <c r="M27" i="11"/>
  <c r="U27" i="11" s="1"/>
  <c r="L27" i="11"/>
  <c r="K27" i="11"/>
  <c r="J27" i="11"/>
  <c r="I27" i="11"/>
  <c r="H27" i="11"/>
  <c r="G27" i="11"/>
  <c r="F27" i="11"/>
  <c r="E27" i="11"/>
  <c r="D27" i="11"/>
  <c r="C27" i="11"/>
  <c r="B27" i="11"/>
  <c r="A26" i="11"/>
  <c r="M24" i="11"/>
  <c r="U24" i="11" s="1"/>
  <c r="L24" i="11"/>
  <c r="K24" i="11"/>
  <c r="J24" i="11"/>
  <c r="I24" i="11"/>
  <c r="H24" i="11"/>
  <c r="G24" i="11"/>
  <c r="F24" i="11"/>
  <c r="E24" i="11"/>
  <c r="D24" i="11"/>
  <c r="C24" i="11"/>
  <c r="B24" i="11"/>
  <c r="M23" i="11"/>
  <c r="U23" i="11" s="1"/>
  <c r="L23" i="11"/>
  <c r="K23" i="11"/>
  <c r="J23" i="11"/>
  <c r="I23" i="11"/>
  <c r="H23" i="11"/>
  <c r="G23" i="11"/>
  <c r="F23" i="11"/>
  <c r="E23" i="11"/>
  <c r="D23" i="11"/>
  <c r="C23" i="11"/>
  <c r="B23" i="11"/>
  <c r="M22" i="11"/>
  <c r="U22" i="11" s="1"/>
  <c r="L22" i="11"/>
  <c r="K22" i="11"/>
  <c r="J22" i="11"/>
  <c r="I22" i="11"/>
  <c r="H22" i="11"/>
  <c r="G22" i="11"/>
  <c r="F22" i="11"/>
  <c r="E22" i="11"/>
  <c r="D22" i="11"/>
  <c r="C22" i="11"/>
  <c r="B22" i="11"/>
  <c r="A21" i="11"/>
  <c r="M18" i="11"/>
  <c r="U18" i="11" s="1"/>
  <c r="L18" i="11"/>
  <c r="K18" i="11"/>
  <c r="J18" i="11"/>
  <c r="I18" i="11"/>
  <c r="H18" i="11"/>
  <c r="G18" i="11"/>
  <c r="F18" i="11"/>
  <c r="E18" i="11"/>
  <c r="D18" i="11"/>
  <c r="C18" i="11"/>
  <c r="B18" i="11"/>
  <c r="A17" i="11"/>
  <c r="M14" i="11"/>
  <c r="U14" i="11" s="1"/>
  <c r="L14" i="11"/>
  <c r="K14" i="11"/>
  <c r="J14" i="11"/>
  <c r="I14" i="11"/>
  <c r="H14" i="11"/>
  <c r="G14" i="11"/>
  <c r="F14" i="11"/>
  <c r="E14" i="11"/>
  <c r="D14" i="11"/>
  <c r="C14" i="11"/>
  <c r="B14" i="11"/>
  <c r="A13" i="11"/>
  <c r="M10" i="11"/>
  <c r="L10" i="11"/>
  <c r="K10" i="11"/>
  <c r="L11" i="11" s="1"/>
  <c r="J10" i="11"/>
  <c r="I10" i="11"/>
  <c r="H10" i="11"/>
  <c r="G10" i="11"/>
  <c r="F10" i="11"/>
  <c r="E10" i="11"/>
  <c r="D10" i="11"/>
  <c r="C10" i="11"/>
  <c r="B10" i="11"/>
  <c r="M7" i="11"/>
  <c r="L7" i="11"/>
  <c r="M5" i="11"/>
  <c r="L5" i="11"/>
  <c r="K5" i="11"/>
  <c r="J5" i="11"/>
  <c r="I5" i="11"/>
  <c r="H5" i="11"/>
  <c r="G5" i="11"/>
  <c r="F5" i="11"/>
  <c r="E5" i="11"/>
  <c r="D5" i="11"/>
  <c r="C5" i="11"/>
  <c r="B5" i="11"/>
  <c r="K4" i="11"/>
  <c r="J4" i="11"/>
  <c r="I4" i="11"/>
  <c r="H4" i="11"/>
  <c r="G4" i="11"/>
  <c r="F4" i="11"/>
  <c r="E4" i="11"/>
  <c r="D4" i="11"/>
  <c r="C4" i="11"/>
  <c r="B4" i="11"/>
  <c r="F43" i="11" l="1"/>
  <c r="F53" i="11" s="1"/>
  <c r="M8" i="11"/>
  <c r="C6" i="11"/>
  <c r="K6" i="11"/>
  <c r="L8" i="11"/>
  <c r="U40" i="11"/>
  <c r="H400" i="38"/>
  <c r="M11" i="11"/>
  <c r="B19" i="11"/>
  <c r="B43" i="11"/>
  <c r="B53" i="11" s="1"/>
  <c r="J43" i="11"/>
  <c r="J53" i="11" s="1"/>
  <c r="G6" i="11"/>
  <c r="U42" i="11"/>
  <c r="E6" i="11"/>
  <c r="I6" i="11"/>
  <c r="C43" i="11"/>
  <c r="C53" i="11" s="1"/>
  <c r="G43" i="11"/>
  <c r="G53" i="11" s="1"/>
  <c r="K43" i="11"/>
  <c r="K53" i="11" s="1"/>
  <c r="B41" i="11"/>
  <c r="B51" i="11" s="1"/>
  <c r="F41" i="11"/>
  <c r="F51" i="11" s="1"/>
  <c r="J41" i="11"/>
  <c r="J51" i="11" s="1"/>
  <c r="B6" i="11"/>
  <c r="F6" i="11"/>
  <c r="J6" i="11"/>
  <c r="B15" i="11"/>
  <c r="B42" i="11" s="1"/>
  <c r="B52" i="11" s="1"/>
  <c r="G75" i="38"/>
  <c r="G79" i="38"/>
  <c r="G83" i="38"/>
  <c r="I76" i="38"/>
  <c r="I80" i="38"/>
  <c r="I84" i="38"/>
  <c r="J85" i="38"/>
  <c r="H85" i="38"/>
  <c r="E76" i="38"/>
  <c r="E80" i="38"/>
  <c r="E84" i="38"/>
  <c r="F85" i="38"/>
  <c r="I182" i="38"/>
  <c r="I18" i="38"/>
  <c r="J18" i="38" s="1"/>
  <c r="I22" i="38"/>
  <c r="J22" i="38" s="1"/>
  <c r="K34" i="38"/>
  <c r="E14" i="38" s="1"/>
  <c r="G85" i="38"/>
  <c r="H326" i="38"/>
  <c r="I23" i="38"/>
  <c r="J23" i="38" s="1"/>
  <c r="I74" i="38"/>
  <c r="I78" i="38"/>
  <c r="I82" i="38"/>
  <c r="I144" i="38"/>
  <c r="E146" i="38"/>
  <c r="I146" i="38"/>
  <c r="E148" i="38"/>
  <c r="I148" i="38"/>
  <c r="E150" i="38"/>
  <c r="I181" i="38"/>
  <c r="I191" i="38"/>
  <c r="I192" i="38" s="1"/>
  <c r="G77" i="38"/>
  <c r="G81" i="38"/>
  <c r="H177" i="38"/>
  <c r="H179" i="38"/>
  <c r="G417" i="38"/>
  <c r="G481" i="38"/>
  <c r="I26" i="38"/>
  <c r="J26" i="38" s="1"/>
  <c r="F74" i="38"/>
  <c r="I17" i="38"/>
  <c r="J17" i="38" s="1"/>
  <c r="I19" i="38"/>
  <c r="J19" i="38" s="1"/>
  <c r="F383" i="38"/>
  <c r="G106" i="38"/>
  <c r="G114" i="38"/>
  <c r="E178" i="38"/>
  <c r="G180" i="38"/>
  <c r="E182" i="38"/>
  <c r="G184" i="38"/>
  <c r="F391" i="38"/>
  <c r="F400" i="38"/>
  <c r="J400" i="38"/>
  <c r="L468" i="38"/>
  <c r="F416" i="38"/>
  <c r="I416" i="38"/>
  <c r="I24" i="38"/>
  <c r="J24" i="38" s="1"/>
  <c r="J74" i="38"/>
  <c r="F78" i="38"/>
  <c r="J78" i="38"/>
  <c r="F82" i="38"/>
  <c r="J82" i="38"/>
  <c r="H143" i="38"/>
  <c r="H149" i="38"/>
  <c r="F179" i="38"/>
  <c r="J179" i="38"/>
  <c r="U249" i="38"/>
  <c r="U261" i="38" s="1"/>
  <c r="V261" i="38" s="1"/>
  <c r="G383" i="38"/>
  <c r="K444" i="38"/>
  <c r="I77" i="38"/>
  <c r="I81" i="38"/>
  <c r="F75" i="38"/>
  <c r="K62" i="38"/>
  <c r="G107" i="38"/>
  <c r="G122" i="38"/>
  <c r="E224" i="38" s="1"/>
  <c r="I147" i="38"/>
  <c r="I20" i="38"/>
  <c r="J20" i="38" s="1"/>
  <c r="F27" i="38"/>
  <c r="G27" i="38" s="1"/>
  <c r="I27" i="38"/>
  <c r="J27" i="38" s="1"/>
  <c r="H74" i="38"/>
  <c r="K37" i="38"/>
  <c r="I75" i="38"/>
  <c r="H78" i="38"/>
  <c r="I79" i="38"/>
  <c r="H82" i="38"/>
  <c r="K45" i="38"/>
  <c r="I83" i="38"/>
  <c r="G108" i="38"/>
  <c r="G110" i="38"/>
  <c r="F177" i="38"/>
  <c r="J177" i="38"/>
  <c r="H178" i="38"/>
  <c r="E183" i="38"/>
  <c r="I183" i="38"/>
  <c r="T237" i="38"/>
  <c r="E348" i="38"/>
  <c r="G391" i="38"/>
  <c r="J422" i="38"/>
  <c r="J426" i="38" s="1"/>
  <c r="I399" i="38"/>
  <c r="I408" i="38"/>
  <c r="H464" i="38"/>
  <c r="E480" i="38"/>
  <c r="E447" i="38"/>
  <c r="F19" i="38"/>
  <c r="G19" i="38" s="1"/>
  <c r="K58" i="38"/>
  <c r="F83" i="38"/>
  <c r="G109" i="38"/>
  <c r="I382" i="38"/>
  <c r="F436" i="38"/>
  <c r="G436" i="38" s="1"/>
  <c r="K455" i="38"/>
  <c r="J467" i="38" s="1"/>
  <c r="F23" i="38"/>
  <c r="G23" i="38" s="1"/>
  <c r="G74" i="38"/>
  <c r="G78" i="38"/>
  <c r="G82" i="38"/>
  <c r="E147" i="38"/>
  <c r="G178" i="38"/>
  <c r="F180" i="38"/>
  <c r="J180" i="38"/>
  <c r="H181" i="38"/>
  <c r="F183" i="38"/>
  <c r="J182" i="38"/>
  <c r="F184" i="38"/>
  <c r="J184" i="38"/>
  <c r="H185" i="38"/>
  <c r="K311" i="38"/>
  <c r="F348" i="38"/>
  <c r="J399" i="38"/>
  <c r="F408" i="38"/>
  <c r="H142" i="38"/>
  <c r="K41" i="38"/>
  <c r="E79" i="38"/>
  <c r="F17" i="38"/>
  <c r="G17" i="38" s="1"/>
  <c r="H76" i="38"/>
  <c r="K39" i="38"/>
  <c r="H80" i="38"/>
  <c r="K43" i="38"/>
  <c r="H84" i="38"/>
  <c r="K47" i="38"/>
  <c r="I85" i="38"/>
  <c r="K57" i="38"/>
  <c r="J143" i="38"/>
  <c r="H144" i="38"/>
  <c r="J145" i="38"/>
  <c r="H146" i="38"/>
  <c r="K61" i="38"/>
  <c r="J147" i="38"/>
  <c r="H148" i="38"/>
  <c r="J149" i="38"/>
  <c r="K65" i="38"/>
  <c r="J84" i="38"/>
  <c r="E125" i="38"/>
  <c r="E139" i="38" s="1"/>
  <c r="E154" i="38" s="1"/>
  <c r="E160" i="38" s="1"/>
  <c r="E174" i="38" s="1"/>
  <c r="E189" i="38" s="1"/>
  <c r="E195" i="38" s="1"/>
  <c r="E201" i="38" s="1"/>
  <c r="E281" i="38" s="1"/>
  <c r="A4" i="38"/>
  <c r="E177" i="38"/>
  <c r="I177" i="38"/>
  <c r="G177" i="38"/>
  <c r="I178" i="38"/>
  <c r="H182" i="38"/>
  <c r="J183" i="38"/>
  <c r="H191" i="38"/>
  <c r="H329" i="38"/>
  <c r="H477" i="38"/>
  <c r="I466" i="38"/>
  <c r="L466" i="38" s="1"/>
  <c r="I391" i="38"/>
  <c r="H390" i="38"/>
  <c r="H408" i="38"/>
  <c r="F457" i="38"/>
  <c r="E469" i="38" s="1"/>
  <c r="G469" i="38" s="1"/>
  <c r="E142" i="38"/>
  <c r="I142" i="38"/>
  <c r="E83" i="38"/>
  <c r="T248" i="38"/>
  <c r="T272" i="38" s="1"/>
  <c r="B312" i="38"/>
  <c r="F465" i="38"/>
  <c r="E476" i="38"/>
  <c r="I420" i="38"/>
  <c r="I375" i="38"/>
  <c r="E75" i="38"/>
  <c r="H420" i="38"/>
  <c r="F454" i="38"/>
  <c r="G454" i="38" s="1"/>
  <c r="E144" i="38"/>
  <c r="E143" i="38"/>
  <c r="G125" i="38"/>
  <c r="G139" i="38" s="1"/>
  <c r="G154" i="38" s="1"/>
  <c r="G160" i="38" s="1"/>
  <c r="G174" i="38" s="1"/>
  <c r="G189" i="38" s="1"/>
  <c r="G195" i="38" s="1"/>
  <c r="G201" i="38" s="1"/>
  <c r="G281" i="38" s="1"/>
  <c r="I431" i="38"/>
  <c r="H442" i="38"/>
  <c r="L442" i="38" s="1"/>
  <c r="E468" i="38"/>
  <c r="G468" i="38" s="1"/>
  <c r="H399" i="38"/>
  <c r="F456" i="38"/>
  <c r="G456" i="38" s="1"/>
  <c r="I401" i="38"/>
  <c r="F25" i="38"/>
  <c r="G25" i="38" s="1"/>
  <c r="I25" i="38"/>
  <c r="J25" i="38" s="1"/>
  <c r="H75" i="38"/>
  <c r="F77" i="38"/>
  <c r="J77" i="38"/>
  <c r="H79" i="38"/>
  <c r="F81" i="38"/>
  <c r="J81" i="38"/>
  <c r="H83" i="38"/>
  <c r="I156" i="38"/>
  <c r="I157" i="38" s="1"/>
  <c r="G84" i="38"/>
  <c r="G111" i="38"/>
  <c r="G113" i="38"/>
  <c r="G121" i="38"/>
  <c r="E223" i="38" s="1"/>
  <c r="G181" i="38"/>
  <c r="E184" i="38"/>
  <c r="I184" i="38"/>
  <c r="E191" i="38"/>
  <c r="E192" i="38" s="1"/>
  <c r="H324" i="38"/>
  <c r="H325" i="38"/>
  <c r="H330" i="38"/>
  <c r="G348" i="38"/>
  <c r="H360" i="38"/>
  <c r="H391" i="38"/>
  <c r="G392" i="38"/>
  <c r="G400" i="38"/>
  <c r="F443" i="38"/>
  <c r="G443" i="38" s="1"/>
  <c r="F447" i="38"/>
  <c r="J452" i="38"/>
  <c r="E479" i="38"/>
  <c r="F21" i="38"/>
  <c r="G21" i="38" s="1"/>
  <c r="I21" i="38"/>
  <c r="J21" i="38" s="1"/>
  <c r="K36" i="38"/>
  <c r="H77" i="38"/>
  <c r="K40" i="38"/>
  <c r="H81" i="38"/>
  <c r="K44" i="38"/>
  <c r="G142" i="38"/>
  <c r="I143" i="38"/>
  <c r="G144" i="38"/>
  <c r="K131" i="38"/>
  <c r="G146" i="38"/>
  <c r="G148" i="38"/>
  <c r="K135" i="38"/>
  <c r="G105" i="38"/>
  <c r="G112" i="38"/>
  <c r="E179" i="38"/>
  <c r="I179" i="38"/>
  <c r="Q237" i="38"/>
  <c r="U237" i="38"/>
  <c r="H331" i="38"/>
  <c r="H332" i="38"/>
  <c r="H333" i="38"/>
  <c r="F360" i="38"/>
  <c r="G360" i="38"/>
  <c r="J391" i="38"/>
  <c r="I400" i="38"/>
  <c r="H401" i="38"/>
  <c r="J410" i="38"/>
  <c r="I417" i="38"/>
  <c r="H417" i="38"/>
  <c r="E444" i="38"/>
  <c r="G150" i="38"/>
  <c r="G156" i="38"/>
  <c r="G157" i="38" s="1"/>
  <c r="F281" i="38"/>
  <c r="F303" i="38"/>
  <c r="B378" i="38" s="1"/>
  <c r="J142" i="38"/>
  <c r="J144" i="38"/>
  <c r="F146" i="38"/>
  <c r="K132" i="38"/>
  <c r="J146" i="38"/>
  <c r="J148" i="38"/>
  <c r="J150" i="38"/>
  <c r="J156" i="38"/>
  <c r="J157" i="38" s="1"/>
  <c r="H303" i="38"/>
  <c r="F322" i="38" s="1"/>
  <c r="F336" i="38" s="1"/>
  <c r="F351" i="38" s="1"/>
  <c r="H281" i="38"/>
  <c r="H156" i="38"/>
  <c r="H157" i="38" s="1"/>
  <c r="H150" i="38"/>
  <c r="I281" i="38"/>
  <c r="I303" i="38"/>
  <c r="G322" i="38" s="1"/>
  <c r="G336" i="38" s="1"/>
  <c r="G351" i="38" s="1"/>
  <c r="H147" i="38"/>
  <c r="G143" i="38"/>
  <c r="G145" i="38"/>
  <c r="G147" i="38"/>
  <c r="G149" i="38"/>
  <c r="J281" i="38"/>
  <c r="J303" i="38"/>
  <c r="K127" i="38"/>
  <c r="H145" i="38"/>
  <c r="F76" i="38"/>
  <c r="F80" i="38"/>
  <c r="J80" i="38"/>
  <c r="B82" i="38"/>
  <c r="F134" i="38"/>
  <c r="F149" i="38" s="1"/>
  <c r="F136" i="38"/>
  <c r="J191" i="38"/>
  <c r="J185" i="38"/>
  <c r="F18" i="38"/>
  <c r="G18" i="38" s="1"/>
  <c r="F24" i="38"/>
  <c r="G24" i="38" s="1"/>
  <c r="K55" i="38"/>
  <c r="K56" i="38"/>
  <c r="K59" i="38"/>
  <c r="K60" i="38"/>
  <c r="K63" i="38"/>
  <c r="B72" i="38"/>
  <c r="E74" i="38"/>
  <c r="J75" i="38"/>
  <c r="B77" i="38"/>
  <c r="E78" i="38"/>
  <c r="F79" i="38"/>
  <c r="G80" i="38"/>
  <c r="J83" i="38"/>
  <c r="B85" i="38"/>
  <c r="B116" i="38" s="1"/>
  <c r="B122" i="38" s="1"/>
  <c r="B224" i="38" s="1"/>
  <c r="B318" i="38" s="1"/>
  <c r="B354" i="38" s="1"/>
  <c r="F178" i="38"/>
  <c r="H180" i="38"/>
  <c r="E185" i="38"/>
  <c r="V250" i="38"/>
  <c r="V262" i="38" s="1"/>
  <c r="T247" i="38"/>
  <c r="U247" i="38" s="1"/>
  <c r="V247" i="38" s="1"/>
  <c r="H432" i="38"/>
  <c r="B55" i="38"/>
  <c r="B56" i="38"/>
  <c r="B57" i="38"/>
  <c r="B59" i="38"/>
  <c r="B60" i="38"/>
  <c r="B61" i="38"/>
  <c r="B62" i="38"/>
  <c r="B64" i="38"/>
  <c r="B65" i="38"/>
  <c r="K66" i="38"/>
  <c r="E72" i="38"/>
  <c r="E77" i="38"/>
  <c r="E81" i="38"/>
  <c r="E85" i="38"/>
  <c r="F128" i="38"/>
  <c r="F142" i="38" s="1"/>
  <c r="F129" i="38"/>
  <c r="F133" i="38"/>
  <c r="F147" i="38" s="1"/>
  <c r="F181" i="38"/>
  <c r="J181" i="38"/>
  <c r="G182" i="38"/>
  <c r="H183" i="38"/>
  <c r="R237" i="38"/>
  <c r="V237" i="38"/>
  <c r="J362" i="38"/>
  <c r="I364" i="38"/>
  <c r="I366" i="38" s="1"/>
  <c r="F442" i="38"/>
  <c r="G420" i="38"/>
  <c r="E453" i="38"/>
  <c r="G453" i="38" s="1"/>
  <c r="G375" i="38"/>
  <c r="E373" i="38"/>
  <c r="H476" i="38"/>
  <c r="I421" i="38"/>
  <c r="I465" i="38"/>
  <c r="F435" i="38"/>
  <c r="G435" i="38" s="1"/>
  <c r="E446" i="38"/>
  <c r="F480" i="38"/>
  <c r="J408" i="38"/>
  <c r="H409" i="38"/>
  <c r="J457" i="38"/>
  <c r="J459" i="38" s="1"/>
  <c r="K446" i="38"/>
  <c r="J76" i="38"/>
  <c r="F84" i="38"/>
  <c r="F130" i="38"/>
  <c r="F191" i="38"/>
  <c r="F185" i="38"/>
  <c r="L433" i="38"/>
  <c r="H458" i="38"/>
  <c r="L458" i="38" s="1"/>
  <c r="F20" i="38"/>
  <c r="G20" i="38" s="1"/>
  <c r="F22" i="38"/>
  <c r="G22" i="38" s="1"/>
  <c r="F26" i="38"/>
  <c r="G26" i="38" s="1"/>
  <c r="K64" i="38"/>
  <c r="G76" i="38"/>
  <c r="J79" i="38"/>
  <c r="E82" i="38"/>
  <c r="G191" i="38"/>
  <c r="G185" i="38"/>
  <c r="G179" i="38"/>
  <c r="S271" i="38"/>
  <c r="S236" i="38"/>
  <c r="S259" i="38"/>
  <c r="B314" i="38"/>
  <c r="K38" i="38"/>
  <c r="K42" i="38"/>
  <c r="K46" i="38"/>
  <c r="E145" i="38"/>
  <c r="I145" i="38"/>
  <c r="E149" i="38"/>
  <c r="I149" i="38"/>
  <c r="F72" i="38"/>
  <c r="I150" i="38"/>
  <c r="E180" i="38"/>
  <c r="I180" i="38"/>
  <c r="J178" i="38"/>
  <c r="E181" i="38"/>
  <c r="F182" i="38"/>
  <c r="G183" i="38"/>
  <c r="H184" i="38"/>
  <c r="I185" i="38"/>
  <c r="K308" i="38"/>
  <c r="F446" i="38"/>
  <c r="G408" i="38"/>
  <c r="E457" i="38"/>
  <c r="I409" i="38"/>
  <c r="K457" i="38"/>
  <c r="H410" i="38"/>
  <c r="F458" i="38"/>
  <c r="H416" i="38"/>
  <c r="I436" i="38"/>
  <c r="F417" i="38"/>
  <c r="I481" i="38"/>
  <c r="J417" i="38"/>
  <c r="S237" i="38"/>
  <c r="K312" i="38"/>
  <c r="H327" i="38"/>
  <c r="H328" i="38"/>
  <c r="I383" i="38"/>
  <c r="G455" i="38"/>
  <c r="E467" i="38"/>
  <c r="I392" i="38"/>
  <c r="I422" i="38"/>
  <c r="I426" i="38" s="1"/>
  <c r="K467" i="38"/>
  <c r="E465" i="38"/>
  <c r="J478" i="38"/>
  <c r="P244" i="38"/>
  <c r="P256" i="38" s="1"/>
  <c r="P236" i="38"/>
  <c r="Q245" i="38"/>
  <c r="Q236" i="38"/>
  <c r="P237" i="38"/>
  <c r="K309" i="38"/>
  <c r="F420" i="38"/>
  <c r="E442" i="38"/>
  <c r="F431" i="38"/>
  <c r="J420" i="38"/>
  <c r="F476" i="38"/>
  <c r="J375" i="38"/>
  <c r="I453" i="38"/>
  <c r="H421" i="38"/>
  <c r="F375" i="38"/>
  <c r="I432" i="38"/>
  <c r="H443" i="38"/>
  <c r="I477" i="38"/>
  <c r="J383" i="38"/>
  <c r="E433" i="38"/>
  <c r="G433" i="38" s="1"/>
  <c r="G390" i="38"/>
  <c r="E478" i="38"/>
  <c r="G478" i="38" s="1"/>
  <c r="F467" i="38"/>
  <c r="I390" i="38"/>
  <c r="J444" i="38"/>
  <c r="F392" i="38"/>
  <c r="F422" i="38"/>
  <c r="F426" i="38" s="1"/>
  <c r="J392" i="38"/>
  <c r="K478" i="38"/>
  <c r="J421" i="38"/>
  <c r="J437" i="38"/>
  <c r="T236" i="38"/>
  <c r="R246" i="38"/>
  <c r="H375" i="38"/>
  <c r="H454" i="38"/>
  <c r="L454" i="38" s="1"/>
  <c r="I443" i="38"/>
  <c r="K434" i="38"/>
  <c r="F401" i="38"/>
  <c r="K479" i="38"/>
  <c r="J401" i="38"/>
  <c r="F409" i="38"/>
  <c r="J409" i="38"/>
  <c r="H475" i="38"/>
  <c r="J475" i="38"/>
  <c r="F479" i="38"/>
  <c r="U236" i="38"/>
  <c r="E420" i="38"/>
  <c r="H453" i="38"/>
  <c r="G421" i="38"/>
  <c r="E477" i="38"/>
  <c r="G477" i="38" s="1"/>
  <c r="F466" i="38"/>
  <c r="H382" i="38"/>
  <c r="H422" i="38"/>
  <c r="H426" i="38" s="1"/>
  <c r="E445" i="38"/>
  <c r="F434" i="38"/>
  <c r="G434" i="38" s="1"/>
  <c r="F399" i="38"/>
  <c r="K445" i="38"/>
  <c r="G401" i="38"/>
  <c r="J441" i="38"/>
  <c r="H441" i="38"/>
  <c r="F382" i="38"/>
  <c r="J382" i="38"/>
  <c r="H383" i="38"/>
  <c r="G422" i="38"/>
  <c r="G426" i="38" s="1"/>
  <c r="J480" i="38"/>
  <c r="L480" i="38" s="1"/>
  <c r="I410" i="38"/>
  <c r="J416" i="38"/>
  <c r="F421" i="38"/>
  <c r="F432" i="38"/>
  <c r="G432" i="38" s="1"/>
  <c r="K435" i="38"/>
  <c r="L435" i="38" s="1"/>
  <c r="F444" i="38"/>
  <c r="J446" i="38"/>
  <c r="K456" i="38"/>
  <c r="L456" i="38" s="1"/>
  <c r="J479" i="38"/>
  <c r="G382" i="38"/>
  <c r="F390" i="38"/>
  <c r="J390" i="38"/>
  <c r="G399" i="38"/>
  <c r="G409" i="38"/>
  <c r="F445" i="38"/>
  <c r="F470" i="38"/>
  <c r="G416" i="38"/>
  <c r="D43" i="11"/>
  <c r="D53" i="11" s="1"/>
  <c r="H43" i="11"/>
  <c r="H53" i="11" s="1"/>
  <c r="L43" i="11"/>
  <c r="L53" i="11" s="1"/>
  <c r="C41" i="11"/>
  <c r="C51" i="11" s="1"/>
  <c r="G41" i="11"/>
  <c r="G51" i="11" s="1"/>
  <c r="K41" i="11"/>
  <c r="K51" i="11" s="1"/>
  <c r="E43" i="11"/>
  <c r="E53" i="11" s="1"/>
  <c r="I43" i="11"/>
  <c r="I53" i="11" s="1"/>
  <c r="M43" i="11"/>
  <c r="M53" i="11" s="1"/>
  <c r="D41" i="11"/>
  <c r="D51" i="11" s="1"/>
  <c r="H41" i="11"/>
  <c r="H51" i="11" s="1"/>
  <c r="L41" i="11"/>
  <c r="L51" i="11" s="1"/>
  <c r="D59" i="11"/>
  <c r="C19" i="11"/>
  <c r="D6" i="11"/>
  <c r="H6" i="11"/>
  <c r="E41" i="11"/>
  <c r="E51" i="11" s="1"/>
  <c r="I41" i="11"/>
  <c r="I51" i="11" s="1"/>
  <c r="M41" i="11"/>
  <c r="M51" i="11" s="1"/>
  <c r="D60" i="11"/>
  <c r="C38" i="11"/>
  <c r="B61" i="11"/>
  <c r="C58" i="11"/>
  <c r="B135" i="39"/>
  <c r="B134" i="39"/>
  <c r="B133" i="39"/>
  <c r="B132" i="39"/>
  <c r="G122" i="39"/>
  <c r="D122" i="39"/>
  <c r="C122" i="39"/>
  <c r="G121" i="39"/>
  <c r="D121" i="39"/>
  <c r="C121" i="39"/>
  <c r="G120" i="39"/>
  <c r="D120" i="39"/>
  <c r="C120" i="39"/>
  <c r="G119" i="39"/>
  <c r="D119" i="39"/>
  <c r="C119" i="39"/>
  <c r="G118" i="39"/>
  <c r="D118" i="39"/>
  <c r="C118" i="39"/>
  <c r="G117" i="39"/>
  <c r="D117" i="39"/>
  <c r="C117" i="39"/>
  <c r="G116" i="39"/>
  <c r="D116" i="39"/>
  <c r="C116" i="39"/>
  <c r="G115" i="39"/>
  <c r="D115" i="39"/>
  <c r="C115" i="39"/>
  <c r="G114" i="39"/>
  <c r="D114" i="39"/>
  <c r="C114" i="39"/>
  <c r="G113" i="39"/>
  <c r="D113" i="39"/>
  <c r="C113" i="39"/>
  <c r="G112" i="39"/>
  <c r="D112" i="39"/>
  <c r="C112" i="39"/>
  <c r="G111" i="39"/>
  <c r="D111" i="39"/>
  <c r="C111" i="39"/>
  <c r="G110" i="39"/>
  <c r="D110" i="39"/>
  <c r="C110" i="39"/>
  <c r="G109" i="39"/>
  <c r="D109" i="39"/>
  <c r="C109" i="39"/>
  <c r="G108" i="39"/>
  <c r="D108" i="39"/>
  <c r="C108" i="39"/>
  <c r="G107" i="39"/>
  <c r="D107" i="39"/>
  <c r="C107" i="39"/>
  <c r="G106" i="39"/>
  <c r="D106" i="39"/>
  <c r="C106" i="39"/>
  <c r="G105" i="39"/>
  <c r="D105" i="39"/>
  <c r="C105" i="39"/>
  <c r="G104" i="39"/>
  <c r="D104" i="39"/>
  <c r="C104" i="39"/>
  <c r="G103" i="39"/>
  <c r="D103" i="39"/>
  <c r="C103" i="39"/>
  <c r="G102" i="39"/>
  <c r="D102" i="39"/>
  <c r="C102" i="39"/>
  <c r="G101" i="39"/>
  <c r="D101" i="39"/>
  <c r="C101" i="39"/>
  <c r="G100" i="39"/>
  <c r="D100" i="39"/>
  <c r="C100" i="39"/>
  <c r="G99" i="39"/>
  <c r="D99" i="39"/>
  <c r="C99" i="39"/>
  <c r="G98" i="39"/>
  <c r="D98" i="39"/>
  <c r="C98" i="39"/>
  <c r="G97" i="39"/>
  <c r="D97" i="39"/>
  <c r="C97" i="39"/>
  <c r="G96" i="39"/>
  <c r="D96" i="39"/>
  <c r="C96" i="39"/>
  <c r="G95" i="39"/>
  <c r="D95" i="39"/>
  <c r="C95" i="39"/>
  <c r="G94" i="39"/>
  <c r="D94" i="39"/>
  <c r="C94" i="39"/>
  <c r="G93" i="39"/>
  <c r="D93" i="39"/>
  <c r="C93" i="39"/>
  <c r="G92" i="39"/>
  <c r="D92" i="39"/>
  <c r="C92" i="39"/>
  <c r="G91" i="39"/>
  <c r="D91" i="39"/>
  <c r="C91" i="39"/>
  <c r="G90" i="39"/>
  <c r="D90" i="39"/>
  <c r="C90" i="39"/>
  <c r="G89" i="39"/>
  <c r="D89" i="39"/>
  <c r="C89" i="39"/>
  <c r="G88" i="39"/>
  <c r="D88" i="39"/>
  <c r="C88" i="39"/>
  <c r="G87" i="39"/>
  <c r="D87" i="39"/>
  <c r="C87" i="39"/>
  <c r="G86" i="39"/>
  <c r="D86" i="39"/>
  <c r="C86" i="39"/>
  <c r="G85" i="39"/>
  <c r="D85" i="39"/>
  <c r="C85" i="39"/>
  <c r="G84" i="39"/>
  <c r="D84" i="39"/>
  <c r="C84" i="39"/>
  <c r="G83" i="39"/>
  <c r="D83" i="39"/>
  <c r="C83" i="39"/>
  <c r="G82" i="39"/>
  <c r="D82" i="39"/>
  <c r="C82" i="39"/>
  <c r="G81" i="39"/>
  <c r="D81" i="39"/>
  <c r="C81" i="39"/>
  <c r="G80" i="39"/>
  <c r="D80" i="39"/>
  <c r="C80" i="39"/>
  <c r="G79" i="39"/>
  <c r="D79" i="39"/>
  <c r="C79" i="39"/>
  <c r="G78" i="39"/>
  <c r="D78" i="39"/>
  <c r="C78" i="39"/>
  <c r="G77" i="39"/>
  <c r="D77" i="39"/>
  <c r="C77" i="39"/>
  <c r="G76" i="39"/>
  <c r="D76" i="39"/>
  <c r="C76" i="39"/>
  <c r="G75" i="39"/>
  <c r="D75" i="39"/>
  <c r="C75" i="39"/>
  <c r="D74" i="39"/>
  <c r="C74" i="39"/>
  <c r="B74" i="39"/>
  <c r="D73" i="39"/>
  <c r="C73" i="39"/>
  <c r="B73" i="39"/>
  <c r="D72" i="39"/>
  <c r="C72" i="39"/>
  <c r="B72" i="39"/>
  <c r="D71" i="39"/>
  <c r="C71" i="39"/>
  <c r="H71" i="39" s="1"/>
  <c r="B71" i="39"/>
  <c r="D70" i="39"/>
  <c r="C70" i="39"/>
  <c r="B70" i="39"/>
  <c r="D69" i="39"/>
  <c r="C69" i="39"/>
  <c r="B69" i="39"/>
  <c r="D68" i="39"/>
  <c r="C68" i="39"/>
  <c r="B68" i="39"/>
  <c r="D67" i="39"/>
  <c r="C67" i="39"/>
  <c r="H67" i="39" s="1"/>
  <c r="B67" i="39"/>
  <c r="D66" i="39"/>
  <c r="C66" i="39"/>
  <c r="B66" i="39"/>
  <c r="D65" i="39"/>
  <c r="C65" i="39"/>
  <c r="B65" i="39"/>
  <c r="D64" i="39"/>
  <c r="C64" i="39"/>
  <c r="B64" i="39"/>
  <c r="D63" i="39"/>
  <c r="C63" i="39"/>
  <c r="H63" i="39" s="1"/>
  <c r="B63" i="39"/>
  <c r="D62" i="39"/>
  <c r="C62" i="39"/>
  <c r="B62" i="39"/>
  <c r="D61" i="39"/>
  <c r="C61" i="39"/>
  <c r="B61" i="39"/>
  <c r="D60" i="39"/>
  <c r="C60" i="39"/>
  <c r="B60" i="39"/>
  <c r="D59" i="39"/>
  <c r="C59" i="39"/>
  <c r="H59" i="39" s="1"/>
  <c r="B59" i="39"/>
  <c r="D58" i="39"/>
  <c r="C58" i="39"/>
  <c r="B58" i="39"/>
  <c r="D57" i="39"/>
  <c r="C57" i="39"/>
  <c r="B57" i="39"/>
  <c r="D56" i="39"/>
  <c r="C56" i="39"/>
  <c r="B56" i="39"/>
  <c r="D55" i="39"/>
  <c r="C55" i="39"/>
  <c r="H55" i="39" s="1"/>
  <c r="B55" i="39"/>
  <c r="D54" i="39"/>
  <c r="C54" i="39"/>
  <c r="B54" i="39"/>
  <c r="D53" i="39"/>
  <c r="C53" i="39"/>
  <c r="B53" i="39"/>
  <c r="D52" i="39"/>
  <c r="C52" i="39"/>
  <c r="B52" i="39"/>
  <c r="D51" i="39"/>
  <c r="C51" i="39"/>
  <c r="H51" i="39" s="1"/>
  <c r="B51" i="39"/>
  <c r="D50" i="39"/>
  <c r="C50" i="39"/>
  <c r="B50" i="39"/>
  <c r="D49" i="39"/>
  <c r="C49" i="39"/>
  <c r="B49" i="39"/>
  <c r="D48" i="39"/>
  <c r="C48" i="39"/>
  <c r="H48" i="39" s="1"/>
  <c r="B48" i="39"/>
  <c r="D47" i="39"/>
  <c r="C47" i="39"/>
  <c r="H47" i="39" s="1"/>
  <c r="B47" i="39"/>
  <c r="D46" i="39"/>
  <c r="C46" i="39"/>
  <c r="H46" i="39" s="1"/>
  <c r="B46" i="39"/>
  <c r="D45" i="39"/>
  <c r="C45" i="39"/>
  <c r="H45" i="39" s="1"/>
  <c r="B45" i="39"/>
  <c r="D44" i="39"/>
  <c r="C44" i="39"/>
  <c r="H44" i="39" s="1"/>
  <c r="B44" i="39"/>
  <c r="D43" i="39"/>
  <c r="C43" i="39"/>
  <c r="H43" i="39" s="1"/>
  <c r="B43" i="39"/>
  <c r="D42" i="39"/>
  <c r="C42" i="39"/>
  <c r="H42" i="39" s="1"/>
  <c r="B42" i="39"/>
  <c r="D41" i="39"/>
  <c r="C41" i="39"/>
  <c r="H41" i="39" s="1"/>
  <c r="B41" i="39"/>
  <c r="D40" i="39"/>
  <c r="C40" i="39"/>
  <c r="H40" i="39" s="1"/>
  <c r="B40" i="39"/>
  <c r="D39" i="39"/>
  <c r="C39" i="39"/>
  <c r="H39" i="39" s="1"/>
  <c r="B39" i="39"/>
  <c r="D38" i="39"/>
  <c r="C38" i="39"/>
  <c r="H38" i="39" s="1"/>
  <c r="B38" i="39"/>
  <c r="D37" i="39"/>
  <c r="C37" i="39"/>
  <c r="H37" i="39" s="1"/>
  <c r="B37" i="39"/>
  <c r="D36" i="39"/>
  <c r="C36" i="39"/>
  <c r="H36" i="39" s="1"/>
  <c r="B36" i="39"/>
  <c r="D35" i="39"/>
  <c r="C35" i="39"/>
  <c r="H35" i="39" s="1"/>
  <c r="B35" i="39"/>
  <c r="D34" i="39"/>
  <c r="C34" i="39"/>
  <c r="H34" i="39" s="1"/>
  <c r="B34" i="39"/>
  <c r="D33" i="39"/>
  <c r="C33" i="39"/>
  <c r="H33" i="39" s="1"/>
  <c r="B33" i="39"/>
  <c r="D32" i="39"/>
  <c r="C32" i="39"/>
  <c r="H32" i="39" s="1"/>
  <c r="B32" i="39"/>
  <c r="D31" i="39"/>
  <c r="C31" i="39"/>
  <c r="H31" i="39" s="1"/>
  <c r="B31" i="39"/>
  <c r="D30" i="39"/>
  <c r="C30" i="39"/>
  <c r="H30" i="39" s="1"/>
  <c r="B30" i="39"/>
  <c r="D29" i="39"/>
  <c r="C29" i="39"/>
  <c r="H29" i="39" s="1"/>
  <c r="B29" i="39"/>
  <c r="D28" i="39"/>
  <c r="C28" i="39"/>
  <c r="H28" i="39" s="1"/>
  <c r="B28" i="39"/>
  <c r="D27" i="39"/>
  <c r="C27" i="39"/>
  <c r="H27" i="39" s="1"/>
  <c r="B27" i="39"/>
  <c r="B128" i="39" s="1"/>
  <c r="D26" i="39"/>
  <c r="C26" i="39"/>
  <c r="H26" i="39" s="1"/>
  <c r="B26" i="39"/>
  <c r="D25" i="39"/>
  <c r="C25" i="39"/>
  <c r="H25" i="39" s="1"/>
  <c r="B25" i="39"/>
  <c r="D24" i="39"/>
  <c r="C24" i="39"/>
  <c r="H24" i="39" s="1"/>
  <c r="B24" i="39"/>
  <c r="D23" i="39"/>
  <c r="C23" i="39"/>
  <c r="H23" i="39" s="1"/>
  <c r="B23" i="39"/>
  <c r="D22" i="39"/>
  <c r="C22" i="39"/>
  <c r="H22" i="39" s="1"/>
  <c r="B22" i="39"/>
  <c r="D21" i="39"/>
  <c r="C21" i="39"/>
  <c r="H21" i="39" s="1"/>
  <c r="B21" i="39"/>
  <c r="D20" i="39"/>
  <c r="C20" i="39"/>
  <c r="H20" i="39" s="1"/>
  <c r="B20" i="39"/>
  <c r="D19" i="39"/>
  <c r="C19" i="39"/>
  <c r="H19" i="39" s="1"/>
  <c r="B19" i="39"/>
  <c r="D18" i="39"/>
  <c r="C18" i="39"/>
  <c r="H18" i="39" s="1"/>
  <c r="B18" i="39"/>
  <c r="D17" i="39"/>
  <c r="C17" i="39"/>
  <c r="H17" i="39" s="1"/>
  <c r="B17" i="39"/>
  <c r="D16" i="39"/>
  <c r="C16" i="39"/>
  <c r="H16" i="39" s="1"/>
  <c r="B16" i="39"/>
  <c r="D15" i="39"/>
  <c r="C15" i="39"/>
  <c r="H15" i="39" s="1"/>
  <c r="B15" i="39"/>
  <c r="B127" i="39" s="1"/>
  <c r="D14" i="39"/>
  <c r="C14" i="39"/>
  <c r="H14" i="39" s="1"/>
  <c r="B14" i="39"/>
  <c r="D13" i="39"/>
  <c r="C13" i="39"/>
  <c r="H13" i="39" s="1"/>
  <c r="B13" i="39"/>
  <c r="D12" i="39"/>
  <c r="C12" i="39"/>
  <c r="H12" i="39" s="1"/>
  <c r="B12" i="39"/>
  <c r="D11" i="39"/>
  <c r="C11" i="39"/>
  <c r="H11" i="39" s="1"/>
  <c r="B11" i="39"/>
  <c r="D10" i="39"/>
  <c r="C10" i="39"/>
  <c r="H10" i="39" s="1"/>
  <c r="B10" i="39"/>
  <c r="D9" i="39"/>
  <c r="C9" i="39"/>
  <c r="H9" i="39" s="1"/>
  <c r="B9" i="39"/>
  <c r="D8" i="39"/>
  <c r="C8" i="39"/>
  <c r="H8" i="39" s="1"/>
  <c r="B8" i="39"/>
  <c r="D7" i="39"/>
  <c r="C7" i="39"/>
  <c r="H7" i="39" s="1"/>
  <c r="B7" i="39"/>
  <c r="D6" i="39"/>
  <c r="C6" i="39"/>
  <c r="H6" i="39" s="1"/>
  <c r="B6" i="39"/>
  <c r="D5" i="39"/>
  <c r="C5" i="39"/>
  <c r="H5" i="39" s="1"/>
  <c r="B5" i="39"/>
  <c r="D4" i="39"/>
  <c r="C4" i="39"/>
  <c r="H4" i="39" s="1"/>
  <c r="B4" i="39"/>
  <c r="D3" i="39"/>
  <c r="C3" i="39"/>
  <c r="H3" i="39" s="1"/>
  <c r="B3" i="39"/>
  <c r="B126" i="39" s="1"/>
  <c r="B135" i="40"/>
  <c r="B134" i="40"/>
  <c r="B133" i="40"/>
  <c r="B132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E116" i="40"/>
  <c r="D116" i="40"/>
  <c r="C116" i="40"/>
  <c r="E115" i="40"/>
  <c r="D115" i="40"/>
  <c r="C115" i="40"/>
  <c r="E114" i="40"/>
  <c r="D114" i="40"/>
  <c r="C114" i="40"/>
  <c r="E113" i="40"/>
  <c r="D113" i="40"/>
  <c r="C113" i="40"/>
  <c r="E112" i="40"/>
  <c r="D112" i="40"/>
  <c r="C112" i="40"/>
  <c r="E111" i="40"/>
  <c r="D111" i="40"/>
  <c r="C111" i="40"/>
  <c r="E110" i="40"/>
  <c r="D110" i="40"/>
  <c r="C110" i="40"/>
  <c r="E109" i="40"/>
  <c r="D109" i="40"/>
  <c r="C109" i="40"/>
  <c r="E108" i="40"/>
  <c r="D108" i="40"/>
  <c r="C108" i="40"/>
  <c r="E107" i="40"/>
  <c r="D107" i="40"/>
  <c r="C107" i="40"/>
  <c r="E106" i="40"/>
  <c r="D106" i="40"/>
  <c r="C106" i="40"/>
  <c r="E105" i="40"/>
  <c r="D105" i="40"/>
  <c r="C105" i="40"/>
  <c r="E104" i="40"/>
  <c r="D104" i="40"/>
  <c r="C104" i="40"/>
  <c r="E103" i="40"/>
  <c r="D103" i="40"/>
  <c r="C103" i="40"/>
  <c r="E102" i="40"/>
  <c r="D102" i="40"/>
  <c r="C102" i="40"/>
  <c r="E101" i="40"/>
  <c r="D101" i="40"/>
  <c r="C101" i="40"/>
  <c r="E100" i="40"/>
  <c r="D100" i="40"/>
  <c r="C100" i="40"/>
  <c r="E99" i="40"/>
  <c r="D99" i="40"/>
  <c r="C99" i="40"/>
  <c r="E98" i="40"/>
  <c r="D98" i="40"/>
  <c r="C98" i="40"/>
  <c r="E97" i="40"/>
  <c r="D97" i="40"/>
  <c r="C97" i="40"/>
  <c r="E96" i="40"/>
  <c r="D96" i="40"/>
  <c r="C96" i="40"/>
  <c r="E95" i="40"/>
  <c r="D95" i="40"/>
  <c r="C95" i="40"/>
  <c r="E94" i="40"/>
  <c r="D94" i="40"/>
  <c r="C94" i="40"/>
  <c r="E93" i="40"/>
  <c r="D93" i="40"/>
  <c r="C93" i="40"/>
  <c r="E92" i="40"/>
  <c r="D92" i="40"/>
  <c r="C92" i="40"/>
  <c r="E91" i="40"/>
  <c r="D91" i="40"/>
  <c r="C91" i="40"/>
  <c r="E90" i="40"/>
  <c r="D90" i="40"/>
  <c r="C90" i="40"/>
  <c r="E89" i="40"/>
  <c r="D89" i="40"/>
  <c r="C89" i="40"/>
  <c r="E88" i="40"/>
  <c r="D88" i="40"/>
  <c r="C88" i="40"/>
  <c r="E87" i="40"/>
  <c r="D87" i="40"/>
  <c r="C87" i="40"/>
  <c r="E86" i="40"/>
  <c r="D86" i="40"/>
  <c r="C86" i="40"/>
  <c r="E85" i="40"/>
  <c r="D85" i="40"/>
  <c r="C85" i="40"/>
  <c r="E84" i="40"/>
  <c r="D84" i="40"/>
  <c r="C84" i="40"/>
  <c r="E83" i="40"/>
  <c r="D83" i="40"/>
  <c r="C83" i="40"/>
  <c r="E82" i="40"/>
  <c r="D82" i="40"/>
  <c r="C82" i="40"/>
  <c r="E81" i="40"/>
  <c r="D81" i="40"/>
  <c r="C81" i="40"/>
  <c r="E80" i="40"/>
  <c r="D80" i="40"/>
  <c r="C80" i="40"/>
  <c r="E79" i="40"/>
  <c r="D79" i="40"/>
  <c r="C79" i="40"/>
  <c r="E78" i="40"/>
  <c r="D78" i="40"/>
  <c r="C78" i="40"/>
  <c r="E77" i="40"/>
  <c r="D77" i="40"/>
  <c r="C77" i="40"/>
  <c r="E76" i="40"/>
  <c r="D76" i="40"/>
  <c r="C76" i="40"/>
  <c r="E75" i="40"/>
  <c r="D75" i="40"/>
  <c r="C75" i="40"/>
  <c r="D74" i="40"/>
  <c r="C74" i="40"/>
  <c r="B74" i="40"/>
  <c r="D73" i="40"/>
  <c r="C73" i="40"/>
  <c r="H73" i="40" s="1"/>
  <c r="B73" i="40"/>
  <c r="D72" i="40"/>
  <c r="C72" i="40"/>
  <c r="B72" i="40"/>
  <c r="D71" i="40"/>
  <c r="C71" i="40"/>
  <c r="B71" i="40"/>
  <c r="D70" i="40"/>
  <c r="C70" i="40"/>
  <c r="B70" i="40"/>
  <c r="D69" i="40"/>
  <c r="C69" i="40"/>
  <c r="H69" i="40" s="1"/>
  <c r="B69" i="40"/>
  <c r="D68" i="40"/>
  <c r="C68" i="40"/>
  <c r="B68" i="40"/>
  <c r="D67" i="40"/>
  <c r="C67" i="40"/>
  <c r="B67" i="40"/>
  <c r="D66" i="40"/>
  <c r="C66" i="40"/>
  <c r="B66" i="40"/>
  <c r="D65" i="40"/>
  <c r="C65" i="40"/>
  <c r="H65" i="40" s="1"/>
  <c r="B65" i="40"/>
  <c r="D64" i="40"/>
  <c r="C64" i="40"/>
  <c r="B64" i="40"/>
  <c r="D63" i="40"/>
  <c r="C63" i="40"/>
  <c r="B63" i="40"/>
  <c r="D62" i="40"/>
  <c r="C62" i="40"/>
  <c r="B62" i="40"/>
  <c r="D61" i="40"/>
  <c r="C61" i="40"/>
  <c r="H61" i="40" s="1"/>
  <c r="B61" i="40"/>
  <c r="D60" i="40"/>
  <c r="C60" i="40"/>
  <c r="B60" i="40"/>
  <c r="D59" i="40"/>
  <c r="C59" i="40"/>
  <c r="B59" i="40"/>
  <c r="D58" i="40"/>
  <c r="C58" i="40"/>
  <c r="B58" i="40"/>
  <c r="D57" i="40"/>
  <c r="C57" i="40"/>
  <c r="H57" i="40" s="1"/>
  <c r="B57" i="40"/>
  <c r="D56" i="40"/>
  <c r="C56" i="40"/>
  <c r="B56" i="40"/>
  <c r="D55" i="40"/>
  <c r="C55" i="40"/>
  <c r="B55" i="40"/>
  <c r="D54" i="40"/>
  <c r="C54" i="40"/>
  <c r="B54" i="40"/>
  <c r="D53" i="40"/>
  <c r="C53" i="40"/>
  <c r="H53" i="40" s="1"/>
  <c r="B53" i="40"/>
  <c r="D52" i="40"/>
  <c r="C52" i="40"/>
  <c r="B52" i="40"/>
  <c r="D51" i="40"/>
  <c r="C51" i="40"/>
  <c r="B51" i="40"/>
  <c r="D50" i="40"/>
  <c r="C50" i="40"/>
  <c r="B50" i="40"/>
  <c r="D49" i="40"/>
  <c r="C49" i="40"/>
  <c r="H49" i="40" s="1"/>
  <c r="B49" i="40"/>
  <c r="D48" i="40"/>
  <c r="C48" i="40"/>
  <c r="B48" i="40"/>
  <c r="D47" i="40"/>
  <c r="C47" i="40"/>
  <c r="B47" i="40"/>
  <c r="D46" i="40"/>
  <c r="C46" i="40"/>
  <c r="B46" i="40"/>
  <c r="D45" i="40"/>
  <c r="C45" i="40"/>
  <c r="H45" i="40" s="1"/>
  <c r="B45" i="40"/>
  <c r="D44" i="40"/>
  <c r="C44" i="40"/>
  <c r="B44" i="40"/>
  <c r="D43" i="40"/>
  <c r="C43" i="40"/>
  <c r="B43" i="40"/>
  <c r="D42" i="40"/>
  <c r="C42" i="40"/>
  <c r="B42" i="40"/>
  <c r="D41" i="40"/>
  <c r="C41" i="40"/>
  <c r="H41" i="40" s="1"/>
  <c r="B41" i="40"/>
  <c r="D40" i="40"/>
  <c r="C40" i="40"/>
  <c r="B40" i="40"/>
  <c r="D39" i="40"/>
  <c r="C39" i="40"/>
  <c r="B39" i="40"/>
  <c r="D38" i="40"/>
  <c r="C38" i="40"/>
  <c r="B38" i="40"/>
  <c r="D37" i="40"/>
  <c r="C37" i="40"/>
  <c r="H37" i="40" s="1"/>
  <c r="B37" i="40"/>
  <c r="D36" i="40"/>
  <c r="C36" i="40"/>
  <c r="B36" i="40"/>
  <c r="D35" i="40"/>
  <c r="C35" i="40"/>
  <c r="B35" i="40"/>
  <c r="D34" i="40"/>
  <c r="C34" i="40"/>
  <c r="B34" i="40"/>
  <c r="D33" i="40"/>
  <c r="C33" i="40"/>
  <c r="H33" i="40" s="1"/>
  <c r="B33" i="40"/>
  <c r="D32" i="40"/>
  <c r="C32" i="40"/>
  <c r="B32" i="40"/>
  <c r="D31" i="40"/>
  <c r="C31" i="40"/>
  <c r="B31" i="40"/>
  <c r="D30" i="40"/>
  <c r="C30" i="40"/>
  <c r="B30" i="40"/>
  <c r="D29" i="40"/>
  <c r="C29" i="40"/>
  <c r="H29" i="40" s="1"/>
  <c r="B29" i="40"/>
  <c r="D28" i="40"/>
  <c r="C28" i="40"/>
  <c r="B28" i="40"/>
  <c r="D27" i="40"/>
  <c r="C27" i="40"/>
  <c r="B27" i="40"/>
  <c r="D26" i="40"/>
  <c r="C26" i="40"/>
  <c r="B26" i="40"/>
  <c r="D25" i="40"/>
  <c r="C25" i="40"/>
  <c r="H25" i="40" s="1"/>
  <c r="B25" i="40"/>
  <c r="D24" i="40"/>
  <c r="C24" i="40"/>
  <c r="B24" i="40"/>
  <c r="D23" i="40"/>
  <c r="C23" i="40"/>
  <c r="B23" i="40"/>
  <c r="D22" i="40"/>
  <c r="C22" i="40"/>
  <c r="B22" i="40"/>
  <c r="D21" i="40"/>
  <c r="C21" i="40"/>
  <c r="H21" i="40" s="1"/>
  <c r="B21" i="40"/>
  <c r="D20" i="40"/>
  <c r="C20" i="40"/>
  <c r="B20" i="40"/>
  <c r="D19" i="40"/>
  <c r="C19" i="40"/>
  <c r="B19" i="40"/>
  <c r="D18" i="40"/>
  <c r="C18" i="40"/>
  <c r="B18" i="40"/>
  <c r="D17" i="40"/>
  <c r="C17" i="40"/>
  <c r="H17" i="40" s="1"/>
  <c r="B17" i="40"/>
  <c r="D16" i="40"/>
  <c r="C16" i="40"/>
  <c r="B16" i="40"/>
  <c r="D15" i="40"/>
  <c r="C15" i="40"/>
  <c r="B15" i="40"/>
  <c r="D14" i="40"/>
  <c r="C14" i="40"/>
  <c r="B14" i="40"/>
  <c r="D13" i="40"/>
  <c r="C13" i="40"/>
  <c r="H13" i="40" s="1"/>
  <c r="B13" i="40"/>
  <c r="D12" i="40"/>
  <c r="C12" i="40"/>
  <c r="B12" i="40"/>
  <c r="D11" i="40"/>
  <c r="C11" i="40"/>
  <c r="B11" i="40"/>
  <c r="D10" i="40"/>
  <c r="C10" i="40"/>
  <c r="B10" i="40"/>
  <c r="D9" i="40"/>
  <c r="C9" i="40"/>
  <c r="H9" i="40" s="1"/>
  <c r="B9" i="40"/>
  <c r="D8" i="40"/>
  <c r="C8" i="40"/>
  <c r="B8" i="40"/>
  <c r="D7" i="40"/>
  <c r="C7" i="40"/>
  <c r="B7" i="40"/>
  <c r="D6" i="40"/>
  <c r="C6" i="40"/>
  <c r="B6" i="40"/>
  <c r="D5" i="40"/>
  <c r="C5" i="40"/>
  <c r="H5" i="40" s="1"/>
  <c r="B5" i="40"/>
  <c r="D4" i="40"/>
  <c r="C4" i="40"/>
  <c r="B4" i="40"/>
  <c r="D3" i="40"/>
  <c r="C3" i="40"/>
  <c r="B3" i="40"/>
  <c r="B135" i="41"/>
  <c r="B134" i="41"/>
  <c r="B133" i="41"/>
  <c r="B132" i="41"/>
  <c r="G122" i="41"/>
  <c r="D122" i="41"/>
  <c r="C122" i="41"/>
  <c r="G121" i="41"/>
  <c r="D121" i="41"/>
  <c r="C121" i="41"/>
  <c r="G120" i="41"/>
  <c r="D120" i="41"/>
  <c r="C120" i="41"/>
  <c r="G119" i="41"/>
  <c r="D119" i="41"/>
  <c r="C119" i="41"/>
  <c r="G118" i="41"/>
  <c r="D118" i="41"/>
  <c r="C118" i="41"/>
  <c r="G117" i="41"/>
  <c r="D117" i="41"/>
  <c r="C117" i="41"/>
  <c r="G116" i="41"/>
  <c r="D116" i="41"/>
  <c r="C116" i="41"/>
  <c r="G115" i="41"/>
  <c r="D115" i="41"/>
  <c r="C115" i="41"/>
  <c r="G114" i="41"/>
  <c r="D114" i="41"/>
  <c r="C114" i="41"/>
  <c r="G113" i="41"/>
  <c r="D113" i="41"/>
  <c r="C113" i="41"/>
  <c r="G112" i="41"/>
  <c r="D112" i="41"/>
  <c r="C112" i="41"/>
  <c r="G111" i="41"/>
  <c r="D111" i="41"/>
  <c r="C111" i="41"/>
  <c r="G110" i="41"/>
  <c r="D110" i="41"/>
  <c r="C110" i="41"/>
  <c r="G109" i="41"/>
  <c r="D109" i="41"/>
  <c r="C109" i="41"/>
  <c r="G108" i="41"/>
  <c r="D108" i="41"/>
  <c r="C108" i="41"/>
  <c r="G107" i="41"/>
  <c r="D107" i="41"/>
  <c r="C107" i="41"/>
  <c r="G106" i="41"/>
  <c r="D106" i="41"/>
  <c r="C106" i="41"/>
  <c r="G105" i="41"/>
  <c r="D105" i="41"/>
  <c r="C105" i="41"/>
  <c r="G104" i="41"/>
  <c r="D104" i="41"/>
  <c r="C104" i="41"/>
  <c r="G103" i="41"/>
  <c r="D103" i="41"/>
  <c r="C103" i="41"/>
  <c r="G102" i="41"/>
  <c r="D102" i="41"/>
  <c r="C102" i="41"/>
  <c r="G101" i="41"/>
  <c r="D101" i="41"/>
  <c r="C101" i="41"/>
  <c r="G100" i="41"/>
  <c r="D100" i="41"/>
  <c r="C100" i="41"/>
  <c r="G99" i="41"/>
  <c r="D99" i="41"/>
  <c r="C99" i="41"/>
  <c r="G98" i="41"/>
  <c r="D98" i="41"/>
  <c r="C98" i="41"/>
  <c r="G97" i="41"/>
  <c r="D97" i="41"/>
  <c r="C97" i="41"/>
  <c r="G96" i="41"/>
  <c r="D96" i="41"/>
  <c r="C96" i="41"/>
  <c r="G95" i="41"/>
  <c r="D95" i="41"/>
  <c r="C95" i="41"/>
  <c r="G94" i="41"/>
  <c r="D94" i="41"/>
  <c r="C94" i="41"/>
  <c r="G93" i="41"/>
  <c r="D93" i="41"/>
  <c r="C93" i="41"/>
  <c r="G92" i="41"/>
  <c r="D92" i="41"/>
  <c r="C92" i="41"/>
  <c r="G91" i="41"/>
  <c r="D91" i="41"/>
  <c r="C91" i="41"/>
  <c r="G90" i="41"/>
  <c r="D90" i="41"/>
  <c r="C90" i="41"/>
  <c r="G89" i="41"/>
  <c r="D89" i="41"/>
  <c r="C89" i="41"/>
  <c r="G88" i="41"/>
  <c r="D88" i="41"/>
  <c r="C88" i="41"/>
  <c r="G87" i="41"/>
  <c r="D87" i="41"/>
  <c r="C87" i="41"/>
  <c r="G86" i="41"/>
  <c r="D86" i="41"/>
  <c r="C86" i="41"/>
  <c r="G85" i="41"/>
  <c r="D85" i="41"/>
  <c r="C85" i="41"/>
  <c r="G84" i="41"/>
  <c r="D84" i="41"/>
  <c r="C84" i="41"/>
  <c r="G83" i="41"/>
  <c r="D83" i="41"/>
  <c r="C83" i="41"/>
  <c r="G82" i="41"/>
  <c r="D82" i="41"/>
  <c r="C82" i="41"/>
  <c r="G81" i="41"/>
  <c r="D81" i="41"/>
  <c r="C81" i="41"/>
  <c r="G80" i="41"/>
  <c r="D80" i="41"/>
  <c r="C80" i="41"/>
  <c r="G79" i="41"/>
  <c r="D79" i="41"/>
  <c r="C79" i="41"/>
  <c r="G78" i="41"/>
  <c r="D78" i="41"/>
  <c r="C78" i="41"/>
  <c r="G77" i="41"/>
  <c r="D77" i="41"/>
  <c r="C77" i="41"/>
  <c r="G76" i="41"/>
  <c r="G75" i="41" s="1"/>
  <c r="D76" i="41"/>
  <c r="C76" i="41"/>
  <c r="D75" i="41"/>
  <c r="C75" i="41"/>
  <c r="D74" i="41"/>
  <c r="C74" i="41"/>
  <c r="B74" i="41"/>
  <c r="D73" i="41"/>
  <c r="C73" i="41"/>
  <c r="B73" i="41"/>
  <c r="D72" i="41"/>
  <c r="C72" i="41"/>
  <c r="B72" i="41"/>
  <c r="D71" i="41"/>
  <c r="C71" i="41"/>
  <c r="B71" i="41"/>
  <c r="D70" i="41"/>
  <c r="C70" i="41"/>
  <c r="B70" i="41"/>
  <c r="D69" i="41"/>
  <c r="C69" i="41"/>
  <c r="B69" i="41"/>
  <c r="D68" i="41"/>
  <c r="C68" i="41"/>
  <c r="B68" i="41"/>
  <c r="D67" i="41"/>
  <c r="C67" i="41"/>
  <c r="B67" i="41"/>
  <c r="D66" i="41"/>
  <c r="C66" i="41"/>
  <c r="B66" i="41"/>
  <c r="D65" i="41"/>
  <c r="C65" i="41"/>
  <c r="B65" i="41"/>
  <c r="D64" i="41"/>
  <c r="C64" i="41"/>
  <c r="B64" i="41"/>
  <c r="D63" i="41"/>
  <c r="C63" i="41"/>
  <c r="B63" i="41"/>
  <c r="D62" i="41"/>
  <c r="C62" i="41"/>
  <c r="B62" i="41"/>
  <c r="D61" i="41"/>
  <c r="C61" i="41"/>
  <c r="B61" i="41"/>
  <c r="D60" i="41"/>
  <c r="C60" i="41"/>
  <c r="B60" i="41"/>
  <c r="D59" i="41"/>
  <c r="C59" i="41"/>
  <c r="B59" i="41"/>
  <c r="D58" i="41"/>
  <c r="C58" i="41"/>
  <c r="B58" i="41"/>
  <c r="D57" i="41"/>
  <c r="C57" i="41"/>
  <c r="B57" i="41"/>
  <c r="D56" i="41"/>
  <c r="C56" i="41"/>
  <c r="B56" i="41"/>
  <c r="D55" i="41"/>
  <c r="C55" i="41"/>
  <c r="B55" i="41"/>
  <c r="D54" i="41"/>
  <c r="C54" i="41"/>
  <c r="B54" i="41"/>
  <c r="D53" i="41"/>
  <c r="C53" i="41"/>
  <c r="B53" i="41"/>
  <c r="D52" i="41"/>
  <c r="C52" i="41"/>
  <c r="B52" i="41"/>
  <c r="D51" i="41"/>
  <c r="C51" i="41"/>
  <c r="B51" i="41"/>
  <c r="D50" i="41"/>
  <c r="C50" i="41"/>
  <c r="B50" i="41"/>
  <c r="D49" i="41"/>
  <c r="C49" i="41"/>
  <c r="B49" i="41"/>
  <c r="D48" i="41"/>
  <c r="C48" i="41"/>
  <c r="B48" i="41"/>
  <c r="D47" i="41"/>
  <c r="C47" i="41"/>
  <c r="B47" i="41"/>
  <c r="D46" i="41"/>
  <c r="C46" i="41"/>
  <c r="B46" i="41"/>
  <c r="D45" i="41"/>
  <c r="C45" i="41"/>
  <c r="B45" i="41"/>
  <c r="D44" i="41"/>
  <c r="C44" i="41"/>
  <c r="B44" i="41"/>
  <c r="D43" i="41"/>
  <c r="C43" i="41"/>
  <c r="B43" i="41"/>
  <c r="D42" i="41"/>
  <c r="C42" i="41"/>
  <c r="B42" i="41"/>
  <c r="D41" i="41"/>
  <c r="C41" i="41"/>
  <c r="B41" i="41"/>
  <c r="D40" i="41"/>
  <c r="C40" i="41"/>
  <c r="B40" i="41"/>
  <c r="D39" i="41"/>
  <c r="C39" i="41"/>
  <c r="B39" i="41"/>
  <c r="D38" i="41"/>
  <c r="C38" i="41"/>
  <c r="B38" i="41"/>
  <c r="D37" i="41"/>
  <c r="C37" i="41"/>
  <c r="B37" i="41"/>
  <c r="D36" i="41"/>
  <c r="C36" i="41"/>
  <c r="B36" i="41"/>
  <c r="D35" i="41"/>
  <c r="C35" i="41"/>
  <c r="B35" i="41"/>
  <c r="D34" i="41"/>
  <c r="C34" i="41"/>
  <c r="B34" i="41"/>
  <c r="D33" i="41"/>
  <c r="C33" i="41"/>
  <c r="B33" i="41"/>
  <c r="D32" i="41"/>
  <c r="C32" i="41"/>
  <c r="B32" i="41"/>
  <c r="D31" i="41"/>
  <c r="C31" i="41"/>
  <c r="B31" i="41"/>
  <c r="D30" i="41"/>
  <c r="C30" i="41"/>
  <c r="B30" i="41"/>
  <c r="D29" i="41"/>
  <c r="C29" i="41"/>
  <c r="B29" i="41"/>
  <c r="D28" i="41"/>
  <c r="C28" i="41"/>
  <c r="B28" i="41"/>
  <c r="D27" i="41"/>
  <c r="C27" i="41"/>
  <c r="B27" i="41"/>
  <c r="D26" i="41"/>
  <c r="C26" i="41"/>
  <c r="B26" i="41"/>
  <c r="D25" i="41"/>
  <c r="C25" i="41"/>
  <c r="B25" i="41"/>
  <c r="D24" i="41"/>
  <c r="C24" i="41"/>
  <c r="B24" i="41"/>
  <c r="D23" i="41"/>
  <c r="C23" i="41"/>
  <c r="B23" i="41"/>
  <c r="D22" i="41"/>
  <c r="C22" i="41"/>
  <c r="B22" i="41"/>
  <c r="D21" i="41"/>
  <c r="C21" i="41"/>
  <c r="B21" i="41"/>
  <c r="D20" i="41"/>
  <c r="C20" i="41"/>
  <c r="B20" i="41"/>
  <c r="D19" i="41"/>
  <c r="C19" i="41"/>
  <c r="B19" i="41"/>
  <c r="D18" i="41"/>
  <c r="C18" i="41"/>
  <c r="B18" i="41"/>
  <c r="D17" i="41"/>
  <c r="C17" i="41"/>
  <c r="B17" i="41"/>
  <c r="D16" i="41"/>
  <c r="C16" i="41"/>
  <c r="B16" i="41"/>
  <c r="D15" i="41"/>
  <c r="C15" i="41"/>
  <c r="B15" i="41"/>
  <c r="D14" i="41"/>
  <c r="C14" i="41"/>
  <c r="B14" i="41"/>
  <c r="D13" i="41"/>
  <c r="C13" i="41"/>
  <c r="B13" i="41"/>
  <c r="D12" i="41"/>
  <c r="C12" i="41"/>
  <c r="B12" i="41"/>
  <c r="D11" i="41"/>
  <c r="C11" i="41"/>
  <c r="B11" i="41"/>
  <c r="D10" i="41"/>
  <c r="C10" i="41"/>
  <c r="B10" i="41"/>
  <c r="D9" i="41"/>
  <c r="C9" i="41"/>
  <c r="B9" i="41"/>
  <c r="D8" i="41"/>
  <c r="C8" i="41"/>
  <c r="B8" i="41"/>
  <c r="D7" i="41"/>
  <c r="C7" i="41"/>
  <c r="B7" i="41"/>
  <c r="D6" i="41"/>
  <c r="C6" i="41"/>
  <c r="B6" i="41"/>
  <c r="D5" i="41"/>
  <c r="C5" i="41"/>
  <c r="B5" i="41"/>
  <c r="D4" i="41"/>
  <c r="C4" i="41"/>
  <c r="B4" i="41"/>
  <c r="D3" i="41"/>
  <c r="C3" i="41"/>
  <c r="B3" i="41"/>
  <c r="H127" i="39" l="1"/>
  <c r="H128" i="39"/>
  <c r="I128" i="39" s="1"/>
  <c r="J128" i="39" s="1"/>
  <c r="H7" i="41"/>
  <c r="H23" i="41"/>
  <c r="H35" i="41"/>
  <c r="H76" i="39"/>
  <c r="H80" i="39"/>
  <c r="H100" i="39"/>
  <c r="H108" i="39"/>
  <c r="B131" i="40"/>
  <c r="H76" i="40"/>
  <c r="H80" i="40"/>
  <c r="H84" i="40"/>
  <c r="H88" i="40"/>
  <c r="H92" i="40"/>
  <c r="H96" i="40"/>
  <c r="H100" i="40"/>
  <c r="H104" i="40"/>
  <c r="H108" i="40"/>
  <c r="H112" i="40"/>
  <c r="H116" i="40"/>
  <c r="H120" i="40"/>
  <c r="B131" i="39"/>
  <c r="H75" i="39"/>
  <c r="H79" i="39"/>
  <c r="H83" i="39"/>
  <c r="H87" i="39"/>
  <c r="H91" i="39"/>
  <c r="H95" i="39"/>
  <c r="H99" i="39"/>
  <c r="H103" i="39"/>
  <c r="H107" i="39"/>
  <c r="H111" i="39"/>
  <c r="H115" i="39"/>
  <c r="H119" i="39"/>
  <c r="H3" i="41"/>
  <c r="H11" i="41"/>
  <c r="H15" i="41"/>
  <c r="H19" i="41"/>
  <c r="H27" i="41"/>
  <c r="H31" i="41"/>
  <c r="H39" i="41"/>
  <c r="H43" i="41"/>
  <c r="H47" i="41"/>
  <c r="H78" i="41"/>
  <c r="H82" i="41"/>
  <c r="H86" i="41"/>
  <c r="H90" i="41"/>
  <c r="H88" i="39"/>
  <c r="H96" i="39"/>
  <c r="H104" i="39"/>
  <c r="H112" i="39"/>
  <c r="H116" i="39"/>
  <c r="H120" i="39"/>
  <c r="H4" i="40"/>
  <c r="H8" i="40"/>
  <c r="H12" i="40"/>
  <c r="H16" i="40"/>
  <c r="H20" i="40"/>
  <c r="H24" i="40"/>
  <c r="H28" i="40"/>
  <c r="H32" i="40"/>
  <c r="H36" i="40"/>
  <c r="H84" i="39"/>
  <c r="H92" i="39"/>
  <c r="B126" i="41"/>
  <c r="B131" i="41"/>
  <c r="H50" i="41"/>
  <c r="H54" i="41"/>
  <c r="H58" i="41"/>
  <c r="H62" i="41"/>
  <c r="H66" i="41"/>
  <c r="H70" i="41"/>
  <c r="H74" i="41"/>
  <c r="H93" i="41"/>
  <c r="H97" i="41"/>
  <c r="H101" i="41"/>
  <c r="H105" i="41"/>
  <c r="H109" i="41"/>
  <c r="H113" i="41"/>
  <c r="H117" i="41"/>
  <c r="H121" i="41"/>
  <c r="I127" i="39"/>
  <c r="J127" i="39" s="1"/>
  <c r="H4" i="41"/>
  <c r="H8" i="41"/>
  <c r="H12" i="41"/>
  <c r="H16" i="41"/>
  <c r="H20" i="41"/>
  <c r="H24" i="41"/>
  <c r="H28" i="41"/>
  <c r="H32" i="41"/>
  <c r="H36" i="41"/>
  <c r="H40" i="41"/>
  <c r="H44" i="41"/>
  <c r="H48" i="41"/>
  <c r="H75" i="41"/>
  <c r="H79" i="41"/>
  <c r="H83" i="41"/>
  <c r="H87" i="41"/>
  <c r="H40" i="40"/>
  <c r="H44" i="40"/>
  <c r="H48" i="40"/>
  <c r="H60" i="40"/>
  <c r="H64" i="40"/>
  <c r="H68" i="40"/>
  <c r="H72" i="40"/>
  <c r="B129" i="39"/>
  <c r="H6" i="41"/>
  <c r="H10" i="41"/>
  <c r="H14" i="41"/>
  <c r="H18" i="41"/>
  <c r="H22" i="41"/>
  <c r="H26" i="41"/>
  <c r="H30" i="41"/>
  <c r="H34" i="41"/>
  <c r="H38" i="41"/>
  <c r="B130" i="41"/>
  <c r="B130" i="39"/>
  <c r="H42" i="41"/>
  <c r="H46" i="41"/>
  <c r="H85" i="41"/>
  <c r="H89" i="41"/>
  <c r="B126" i="40"/>
  <c r="B127" i="40"/>
  <c r="H82" i="39"/>
  <c r="H86" i="39"/>
  <c r="H90" i="39"/>
  <c r="H94" i="39"/>
  <c r="H98" i="39"/>
  <c r="H102" i="39"/>
  <c r="H106" i="39"/>
  <c r="H110" i="39"/>
  <c r="H114" i="39"/>
  <c r="H5" i="41"/>
  <c r="H9" i="41"/>
  <c r="H13" i="41"/>
  <c r="B127" i="41"/>
  <c r="H17" i="41"/>
  <c r="H21" i="41"/>
  <c r="H25" i="41"/>
  <c r="B128" i="41"/>
  <c r="H29" i="41"/>
  <c r="H33" i="41"/>
  <c r="H37" i="41"/>
  <c r="B129" i="41"/>
  <c r="H41" i="41"/>
  <c r="H45" i="41"/>
  <c r="H52" i="41"/>
  <c r="H56" i="41"/>
  <c r="H60" i="41"/>
  <c r="H64" i="41"/>
  <c r="H68" i="41"/>
  <c r="H72" i="41"/>
  <c r="H76" i="41"/>
  <c r="H80" i="41"/>
  <c r="H84" i="41"/>
  <c r="H88" i="41"/>
  <c r="H91" i="41"/>
  <c r="H95" i="41"/>
  <c r="H99" i="41"/>
  <c r="H103" i="41"/>
  <c r="H107" i="41"/>
  <c r="H111" i="41"/>
  <c r="H115" i="41"/>
  <c r="H119" i="41"/>
  <c r="H3" i="40"/>
  <c r="H7" i="40"/>
  <c r="H11" i="40"/>
  <c r="H15" i="40"/>
  <c r="H19" i="40"/>
  <c r="H23" i="40"/>
  <c r="H27" i="40"/>
  <c r="H31" i="40"/>
  <c r="H35" i="40"/>
  <c r="H39" i="40"/>
  <c r="H43" i="40"/>
  <c r="H47" i="40"/>
  <c r="H59" i="40"/>
  <c r="H63" i="40"/>
  <c r="H67" i="40"/>
  <c r="H71" i="40"/>
  <c r="H49" i="39"/>
  <c r="H53" i="39"/>
  <c r="H57" i="39"/>
  <c r="H61" i="39"/>
  <c r="H65" i="39"/>
  <c r="H69" i="39"/>
  <c r="H73" i="39"/>
  <c r="H77" i="39"/>
  <c r="H81" i="39"/>
  <c r="H85" i="39"/>
  <c r="H89" i="39"/>
  <c r="H93" i="39"/>
  <c r="H97" i="39"/>
  <c r="H101" i="39"/>
  <c r="H105" i="39"/>
  <c r="H109" i="39"/>
  <c r="H113" i="39"/>
  <c r="H117" i="39"/>
  <c r="H121" i="39"/>
  <c r="H77" i="41"/>
  <c r="H81" i="41"/>
  <c r="B128" i="40"/>
  <c r="B129" i="40"/>
  <c r="B130" i="40"/>
  <c r="H78" i="39"/>
  <c r="H118" i="39"/>
  <c r="H122" i="39"/>
  <c r="H6" i="40"/>
  <c r="H10" i="40"/>
  <c r="H14" i="40"/>
  <c r="H18" i="40"/>
  <c r="H22" i="40"/>
  <c r="H26" i="40"/>
  <c r="H30" i="40"/>
  <c r="H34" i="40"/>
  <c r="H38" i="40"/>
  <c r="H42" i="40"/>
  <c r="H46" i="40"/>
  <c r="H50" i="40"/>
  <c r="H54" i="40"/>
  <c r="H58" i="40"/>
  <c r="H62" i="40"/>
  <c r="H66" i="40"/>
  <c r="H70" i="40"/>
  <c r="H74" i="40"/>
  <c r="H77" i="40"/>
  <c r="H81" i="40"/>
  <c r="H85" i="40"/>
  <c r="H89" i="40"/>
  <c r="H93" i="40"/>
  <c r="H97" i="40"/>
  <c r="H101" i="40"/>
  <c r="H105" i="40"/>
  <c r="H109" i="40"/>
  <c r="H113" i="40"/>
  <c r="H117" i="40"/>
  <c r="H121" i="40"/>
  <c r="E466" i="38"/>
  <c r="G466" i="38" s="1"/>
  <c r="F143" i="38"/>
  <c r="I376" i="38"/>
  <c r="E303" i="38"/>
  <c r="H482" i="38"/>
  <c r="L444" i="38"/>
  <c r="L477" i="38"/>
  <c r="U251" i="38"/>
  <c r="U263" i="38"/>
  <c r="U273" i="38"/>
  <c r="U275" i="38" s="1"/>
  <c r="E197" i="38"/>
  <c r="E305" i="38" s="1"/>
  <c r="L455" i="38"/>
  <c r="L443" i="38"/>
  <c r="T260" i="38"/>
  <c r="U260" i="38" s="1"/>
  <c r="V260" i="38" s="1"/>
  <c r="K128" i="38"/>
  <c r="L432" i="38"/>
  <c r="V249" i="38"/>
  <c r="I197" i="38"/>
  <c r="I305" i="38" s="1"/>
  <c r="I317" i="38" s="1"/>
  <c r="G353" i="38" s="1"/>
  <c r="K129" i="38"/>
  <c r="V274" i="38"/>
  <c r="K448" i="38"/>
  <c r="H376" i="38"/>
  <c r="P268" i="38"/>
  <c r="P275" i="38" s="1"/>
  <c r="G447" i="38"/>
  <c r="G467" i="38"/>
  <c r="H197" i="38"/>
  <c r="H305" i="38" s="1"/>
  <c r="H317" i="38" s="1"/>
  <c r="F353" i="38" s="1"/>
  <c r="L476" i="38"/>
  <c r="G479" i="38"/>
  <c r="I482" i="38"/>
  <c r="G480" i="38"/>
  <c r="T275" i="38"/>
  <c r="U272" i="38"/>
  <c r="V272" i="38" s="1"/>
  <c r="J376" i="38"/>
  <c r="G444" i="38"/>
  <c r="F376" i="38"/>
  <c r="G376" i="38"/>
  <c r="G457" i="38"/>
  <c r="I198" i="38"/>
  <c r="I306" i="38" s="1"/>
  <c r="I318" i="38" s="1"/>
  <c r="G354" i="38" s="1"/>
  <c r="G303" i="38"/>
  <c r="E322" i="38" s="1"/>
  <c r="E336" i="38" s="1"/>
  <c r="E351" i="38" s="1"/>
  <c r="H424" i="38"/>
  <c r="H192" i="38"/>
  <c r="H198" i="38" s="1"/>
  <c r="H306" i="38" s="1"/>
  <c r="H318" i="38" s="1"/>
  <c r="F354" i="38" s="1"/>
  <c r="U248" i="38"/>
  <c r="V248" i="38" s="1"/>
  <c r="T251" i="38"/>
  <c r="R251" i="38"/>
  <c r="S246" i="38"/>
  <c r="T246" i="38" s="1"/>
  <c r="U246" i="38" s="1"/>
  <c r="V246" i="38" s="1"/>
  <c r="R270" i="38"/>
  <c r="Q251" i="38"/>
  <c r="R245" i="38"/>
  <c r="S245" i="38" s="1"/>
  <c r="T245" i="38" s="1"/>
  <c r="U245" i="38" s="1"/>
  <c r="V245" i="38" s="1"/>
  <c r="G458" i="38"/>
  <c r="G459" i="38" s="1"/>
  <c r="E470" i="38"/>
  <c r="G470" i="38" s="1"/>
  <c r="S263" i="38"/>
  <c r="T259" i="38"/>
  <c r="U259" i="38" s="1"/>
  <c r="V259" i="38" s="1"/>
  <c r="F192" i="38"/>
  <c r="J424" i="38"/>
  <c r="F144" i="38"/>
  <c r="K130" i="38"/>
  <c r="F150" i="38"/>
  <c r="F156" i="38"/>
  <c r="F197" i="38" s="1"/>
  <c r="F305" i="38" s="1"/>
  <c r="K136" i="38"/>
  <c r="G445" i="38"/>
  <c r="H459" i="38"/>
  <c r="E482" i="38"/>
  <c r="K482" i="38"/>
  <c r="L478" i="38"/>
  <c r="G431" i="38"/>
  <c r="G437" i="38" s="1"/>
  <c r="F437" i="38"/>
  <c r="F459" i="38"/>
  <c r="H447" i="38"/>
  <c r="L436" i="38"/>
  <c r="J469" i="38"/>
  <c r="L469" i="38" s="1"/>
  <c r="L457" i="38"/>
  <c r="S275" i="38"/>
  <c r="T271" i="38"/>
  <c r="U271" i="38" s="1"/>
  <c r="V271" i="38" s="1"/>
  <c r="L446" i="38"/>
  <c r="F148" i="38"/>
  <c r="K134" i="38"/>
  <c r="G476" i="38"/>
  <c r="F482" i="38"/>
  <c r="F424" i="38"/>
  <c r="P263" i="38"/>
  <c r="P264" i="38"/>
  <c r="Q256" i="38"/>
  <c r="I448" i="38"/>
  <c r="K459" i="38"/>
  <c r="E437" i="38"/>
  <c r="I471" i="38"/>
  <c r="G424" i="38"/>
  <c r="I424" i="38"/>
  <c r="L434" i="38"/>
  <c r="J445" i="38"/>
  <c r="J448" i="38" s="1"/>
  <c r="L453" i="38"/>
  <c r="H465" i="38"/>
  <c r="H471" i="38" s="1"/>
  <c r="I459" i="38"/>
  <c r="Q257" i="38"/>
  <c r="J482" i="38"/>
  <c r="G465" i="38"/>
  <c r="R258" i="38"/>
  <c r="G197" i="38"/>
  <c r="G305" i="38" s="1"/>
  <c r="G192" i="38"/>
  <c r="G442" i="38"/>
  <c r="F448" i="38"/>
  <c r="F145" i="38"/>
  <c r="I437" i="38"/>
  <c r="F471" i="38"/>
  <c r="L479" i="38"/>
  <c r="E448" i="38"/>
  <c r="Q269" i="38"/>
  <c r="P252" i="38"/>
  <c r="P251" i="38"/>
  <c r="Q244" i="38"/>
  <c r="K471" i="38"/>
  <c r="L467" i="38"/>
  <c r="G446" i="38"/>
  <c r="K437" i="38"/>
  <c r="E421" i="38"/>
  <c r="H431" i="38"/>
  <c r="E459" i="38"/>
  <c r="J364" i="38"/>
  <c r="J366" i="38" s="1"/>
  <c r="J197" i="38"/>
  <c r="J305" i="38" s="1"/>
  <c r="J317" i="38" s="1"/>
  <c r="J192" i="38"/>
  <c r="E198" i="38"/>
  <c r="K133" i="38"/>
  <c r="D58" i="11"/>
  <c r="C61" i="11"/>
  <c r="C15" i="11"/>
  <c r="C42" i="11" s="1"/>
  <c r="C52" i="11" s="1"/>
  <c r="D38" i="11"/>
  <c r="E60" i="11"/>
  <c r="D19" i="11"/>
  <c r="E59" i="11"/>
  <c r="H129" i="39"/>
  <c r="H126" i="39"/>
  <c r="H50" i="39"/>
  <c r="H54" i="39"/>
  <c r="H58" i="39"/>
  <c r="H62" i="39"/>
  <c r="H66" i="39"/>
  <c r="H70" i="39"/>
  <c r="H74" i="39"/>
  <c r="H52" i="39"/>
  <c r="H56" i="39"/>
  <c r="H60" i="39"/>
  <c r="H64" i="39"/>
  <c r="H68" i="39"/>
  <c r="H72" i="39"/>
  <c r="H126" i="40"/>
  <c r="H52" i="40"/>
  <c r="H56" i="40"/>
  <c r="H75" i="40"/>
  <c r="H79" i="40"/>
  <c r="H83" i="40"/>
  <c r="H87" i="40"/>
  <c r="H91" i="40"/>
  <c r="H95" i="40"/>
  <c r="H99" i="40"/>
  <c r="H103" i="40"/>
  <c r="H107" i="40"/>
  <c r="H111" i="40"/>
  <c r="H115" i="40"/>
  <c r="H119" i="40"/>
  <c r="H51" i="40"/>
  <c r="H55" i="40"/>
  <c r="H78" i="40"/>
  <c r="H82" i="40"/>
  <c r="H86" i="40"/>
  <c r="H90" i="40"/>
  <c r="H94" i="40"/>
  <c r="H98" i="40"/>
  <c r="H102" i="40"/>
  <c r="H106" i="40"/>
  <c r="H110" i="40"/>
  <c r="H114" i="40"/>
  <c r="H118" i="40"/>
  <c r="H122" i="40"/>
  <c r="H49" i="41"/>
  <c r="H53" i="41"/>
  <c r="H57" i="41"/>
  <c r="H61" i="41"/>
  <c r="H65" i="41"/>
  <c r="H69" i="41"/>
  <c r="H73" i="41"/>
  <c r="H92" i="41"/>
  <c r="H96" i="41"/>
  <c r="H100" i="41"/>
  <c r="H104" i="41"/>
  <c r="H108" i="41"/>
  <c r="H112" i="41"/>
  <c r="H116" i="41"/>
  <c r="H120" i="41"/>
  <c r="H51" i="41"/>
  <c r="H55" i="41"/>
  <c r="H59" i="41"/>
  <c r="H63" i="41"/>
  <c r="H67" i="41"/>
  <c r="H71" i="41"/>
  <c r="H94" i="41"/>
  <c r="H98" i="41"/>
  <c r="H102" i="41"/>
  <c r="H106" i="41"/>
  <c r="H110" i="41"/>
  <c r="H114" i="41"/>
  <c r="H118" i="41"/>
  <c r="H122" i="41"/>
  <c r="H128" i="41" l="1"/>
  <c r="T263" i="38"/>
  <c r="H131" i="40"/>
  <c r="I131" i="40" s="1"/>
  <c r="J131" i="40" s="1"/>
  <c r="H132" i="41"/>
  <c r="I132" i="41" s="1"/>
  <c r="J132" i="41" s="1"/>
  <c r="H133" i="39"/>
  <c r="I133" i="39" s="1"/>
  <c r="J133" i="39" s="1"/>
  <c r="I129" i="39"/>
  <c r="J129" i="39" s="1"/>
  <c r="B137" i="40"/>
  <c r="H132" i="39"/>
  <c r="I132" i="39" s="1"/>
  <c r="J132" i="39" s="1"/>
  <c r="H129" i="40"/>
  <c r="I129" i="40" s="1"/>
  <c r="J129" i="40" s="1"/>
  <c r="B137" i="41"/>
  <c r="I128" i="41"/>
  <c r="J128" i="41" s="1"/>
  <c r="H127" i="41"/>
  <c r="I127" i="41" s="1"/>
  <c r="J127" i="41" s="1"/>
  <c r="B137" i="39"/>
  <c r="H135" i="39"/>
  <c r="I135" i="39" s="1"/>
  <c r="J135" i="39" s="1"/>
  <c r="H134" i="39"/>
  <c r="I134" i="39" s="1"/>
  <c r="J134" i="39" s="1"/>
  <c r="H127" i="40"/>
  <c r="I127" i="40" s="1"/>
  <c r="J127" i="40" s="1"/>
  <c r="H133" i="41"/>
  <c r="I133" i="41" s="1"/>
  <c r="J133" i="41" s="1"/>
  <c r="H129" i="41"/>
  <c r="H128" i="40"/>
  <c r="I128" i="40" s="1"/>
  <c r="J128" i="40" s="1"/>
  <c r="H126" i="41"/>
  <c r="H134" i="41"/>
  <c r="I134" i="41" s="1"/>
  <c r="J134" i="41" s="1"/>
  <c r="H130" i="40"/>
  <c r="I130" i="40" s="1"/>
  <c r="J130" i="40" s="1"/>
  <c r="H124" i="39"/>
  <c r="H131" i="41"/>
  <c r="I131" i="41" s="1"/>
  <c r="J131" i="41" s="1"/>
  <c r="H135" i="41"/>
  <c r="I135" i="41" s="1"/>
  <c r="J135" i="41" s="1"/>
  <c r="I129" i="41"/>
  <c r="J129" i="41" s="1"/>
  <c r="H131" i="39"/>
  <c r="I131" i="39" s="1"/>
  <c r="J131" i="39" s="1"/>
  <c r="H130" i="39"/>
  <c r="I130" i="39" s="1"/>
  <c r="J130" i="39" s="1"/>
  <c r="V273" i="38"/>
  <c r="Q268" i="38"/>
  <c r="G314" i="38" s="1"/>
  <c r="G317" i="38" s="1"/>
  <c r="E353" i="38" s="1"/>
  <c r="H353" i="38" s="1"/>
  <c r="P276" i="38"/>
  <c r="G482" i="38"/>
  <c r="J471" i="38"/>
  <c r="G425" i="38"/>
  <c r="L465" i="38"/>
  <c r="L445" i="38"/>
  <c r="G448" i="38"/>
  <c r="R244" i="38"/>
  <c r="Q252" i="38"/>
  <c r="E314" i="38"/>
  <c r="R275" i="38"/>
  <c r="S270" i="38"/>
  <c r="T270" i="38" s="1"/>
  <c r="U270" i="38" s="1"/>
  <c r="V270" i="38" s="1"/>
  <c r="J198" i="38"/>
  <c r="J306" i="38" s="1"/>
  <c r="J318" i="38" s="1"/>
  <c r="I425" i="38"/>
  <c r="S258" i="38"/>
  <c r="T258" i="38" s="1"/>
  <c r="U258" i="38" s="1"/>
  <c r="V258" i="38" s="1"/>
  <c r="R263" i="38"/>
  <c r="J425" i="38"/>
  <c r="H425" i="38"/>
  <c r="F425" i="38"/>
  <c r="G471" i="38"/>
  <c r="R269" i="38"/>
  <c r="S269" i="38" s="1"/>
  <c r="T269" i="38" s="1"/>
  <c r="U269" i="38" s="1"/>
  <c r="V269" i="38" s="1"/>
  <c r="Q275" i="38"/>
  <c r="G198" i="38"/>
  <c r="G306" i="38" s="1"/>
  <c r="E471" i="38"/>
  <c r="E306" i="38"/>
  <c r="H437" i="38"/>
  <c r="L431" i="38"/>
  <c r="F314" i="38"/>
  <c r="F317" i="38" s="1"/>
  <c r="Q264" i="38"/>
  <c r="R256" i="38"/>
  <c r="Q263" i="38"/>
  <c r="R257" i="38"/>
  <c r="S257" i="38" s="1"/>
  <c r="T257" i="38" s="1"/>
  <c r="U257" i="38" s="1"/>
  <c r="V257" i="38" s="1"/>
  <c r="K197" i="38"/>
  <c r="F223" i="38" s="1"/>
  <c r="H223" i="38" s="1"/>
  <c r="H448" i="38"/>
  <c r="L447" i="38"/>
  <c r="K305" i="38"/>
  <c r="F157" i="38"/>
  <c r="F198" i="38" s="1"/>
  <c r="F306" i="38" s="1"/>
  <c r="K156" i="38"/>
  <c r="F59" i="11"/>
  <c r="E19" i="11"/>
  <c r="F60" i="11"/>
  <c r="E38" i="11"/>
  <c r="D61" i="11"/>
  <c r="D15" i="11"/>
  <c r="D42" i="11" s="1"/>
  <c r="D52" i="11" s="1"/>
  <c r="E58" i="11"/>
  <c r="I126" i="39"/>
  <c r="J126" i="39" s="1"/>
  <c r="H132" i="40"/>
  <c r="I132" i="40" s="1"/>
  <c r="J132" i="40" s="1"/>
  <c r="H133" i="40"/>
  <c r="I133" i="40" s="1"/>
  <c r="J133" i="40" s="1"/>
  <c r="H134" i="40"/>
  <c r="I134" i="40" s="1"/>
  <c r="J134" i="40" s="1"/>
  <c r="H124" i="40"/>
  <c r="H135" i="40"/>
  <c r="I135" i="40" s="1"/>
  <c r="J135" i="40" s="1"/>
  <c r="I126" i="40"/>
  <c r="J126" i="40" s="1"/>
  <c r="H124" i="41"/>
  <c r="H130" i="41"/>
  <c r="I130" i="41" s="1"/>
  <c r="J130" i="41" s="1"/>
  <c r="H137" i="41" l="1"/>
  <c r="I137" i="41" s="1"/>
  <c r="I126" i="41"/>
  <c r="J126" i="41" s="1"/>
  <c r="H137" i="40"/>
  <c r="I137" i="40" s="1"/>
  <c r="H137" i="39"/>
  <c r="I137" i="39" s="1"/>
  <c r="Q276" i="38"/>
  <c r="R268" i="38"/>
  <c r="S268" i="38" s="1"/>
  <c r="K314" i="38"/>
  <c r="K306" i="38"/>
  <c r="K157" i="38"/>
  <c r="E317" i="38"/>
  <c r="K317" i="38" s="1"/>
  <c r="R264" i="38"/>
  <c r="F282" i="38" s="1"/>
  <c r="S256" i="38"/>
  <c r="F315" i="38"/>
  <c r="F318" i="38" s="1"/>
  <c r="K198" i="38"/>
  <c r="F224" i="38" s="1"/>
  <c r="H224" i="38" s="1"/>
  <c r="E315" i="38"/>
  <c r="S244" i="38"/>
  <c r="R252" i="38"/>
  <c r="E282" i="38" s="1"/>
  <c r="F58" i="11"/>
  <c r="E61" i="11"/>
  <c r="E15" i="11"/>
  <c r="E42" i="11" s="1"/>
  <c r="E52" i="11" s="1"/>
  <c r="G60" i="11"/>
  <c r="F38" i="11"/>
  <c r="G59" i="11"/>
  <c r="F19" i="11"/>
  <c r="L39" i="34"/>
  <c r="G315" i="38" l="1"/>
  <c r="G318" i="38" s="1"/>
  <c r="E354" i="38" s="1"/>
  <c r="H354" i="38" s="1"/>
  <c r="R276" i="38"/>
  <c r="G282" i="38" s="1"/>
  <c r="G288" i="38" s="1"/>
  <c r="K288" i="38" s="1"/>
  <c r="T256" i="38"/>
  <c r="S264" i="38"/>
  <c r="F283" i="38" s="1"/>
  <c r="T244" i="38"/>
  <c r="S252" i="38"/>
  <c r="E283" i="38" s="1"/>
  <c r="E318" i="38"/>
  <c r="S276" i="38"/>
  <c r="G283" i="38" s="1"/>
  <c r="G289" i="38" s="1"/>
  <c r="T268" i="38"/>
  <c r="H59" i="11"/>
  <c r="G19" i="11"/>
  <c r="F61" i="11"/>
  <c r="G58" i="11"/>
  <c r="F15" i="11"/>
  <c r="F42" i="11" s="1"/>
  <c r="F52" i="11" s="1"/>
  <c r="H60" i="11"/>
  <c r="G38" i="11"/>
  <c r="G294" i="38" l="1"/>
  <c r="K294" i="38" s="1"/>
  <c r="K318" i="38"/>
  <c r="K315" i="38"/>
  <c r="K282" i="38"/>
  <c r="K283" i="38"/>
  <c r="T276" i="38"/>
  <c r="G284" i="38" s="1"/>
  <c r="G290" i="38" s="1"/>
  <c r="U268" i="38"/>
  <c r="K289" i="38"/>
  <c r="G295" i="38"/>
  <c r="K295" i="38" s="1"/>
  <c r="T252" i="38"/>
  <c r="E284" i="38" s="1"/>
  <c r="U244" i="38"/>
  <c r="T264" i="38"/>
  <c r="F284" i="38" s="1"/>
  <c r="U256" i="38"/>
  <c r="H38" i="11"/>
  <c r="I60" i="11"/>
  <c r="H19" i="11"/>
  <c r="I59" i="11"/>
  <c r="H58" i="11"/>
  <c r="G61" i="11"/>
  <c r="G15" i="11"/>
  <c r="G42" i="11" s="1"/>
  <c r="G52" i="11" s="1"/>
  <c r="P8" i="34"/>
  <c r="Q8" i="34" s="1"/>
  <c r="P7" i="34"/>
  <c r="Q7" i="34" s="1"/>
  <c r="P6" i="34"/>
  <c r="Q6" i="34" s="1"/>
  <c r="P5" i="34"/>
  <c r="Q5" i="34" s="1"/>
  <c r="P4" i="34"/>
  <c r="Q4" i="34" s="1"/>
  <c r="P3" i="34"/>
  <c r="Q3" i="34" s="1"/>
  <c r="K284" i="38" l="1"/>
  <c r="U264" i="38"/>
  <c r="F285" i="38" s="1"/>
  <c r="V256" i="38"/>
  <c r="U252" i="38"/>
  <c r="E285" i="38" s="1"/>
  <c r="V244" i="38"/>
  <c r="V268" i="38"/>
  <c r="U276" i="38"/>
  <c r="G285" i="38" s="1"/>
  <c r="G291" i="38" s="1"/>
  <c r="G296" i="38"/>
  <c r="K296" i="38" s="1"/>
  <c r="K290" i="38"/>
  <c r="J60" i="11"/>
  <c r="I38" i="11"/>
  <c r="H61" i="11"/>
  <c r="H15" i="11"/>
  <c r="H42" i="11" s="1"/>
  <c r="H52" i="11" s="1"/>
  <c r="I58" i="11"/>
  <c r="J59" i="11"/>
  <c r="I19" i="11"/>
  <c r="C23" i="34"/>
  <c r="C24" i="34" s="1"/>
  <c r="C25" i="34" s="1"/>
  <c r="C26" i="34" s="1"/>
  <c r="C27" i="34" s="1"/>
  <c r="C28" i="34" s="1"/>
  <c r="F287" i="19"/>
  <c r="E287" i="19"/>
  <c r="A287" i="19"/>
  <c r="F286" i="19"/>
  <c r="E286" i="19"/>
  <c r="A286" i="19"/>
  <c r="F285" i="19"/>
  <c r="E285" i="19"/>
  <c r="A285" i="19"/>
  <c r="F284" i="19"/>
  <c r="E284" i="19"/>
  <c r="A284" i="19"/>
  <c r="F283" i="19"/>
  <c r="E283" i="19"/>
  <c r="A283" i="19"/>
  <c r="F282" i="19"/>
  <c r="E282" i="19"/>
  <c r="A282" i="19"/>
  <c r="F281" i="19"/>
  <c r="E281" i="19"/>
  <c r="A281" i="19"/>
  <c r="F280" i="19"/>
  <c r="E280" i="19"/>
  <c r="A280" i="19"/>
  <c r="F279" i="19"/>
  <c r="E279" i="19"/>
  <c r="A279" i="19"/>
  <c r="F278" i="19"/>
  <c r="E278" i="19"/>
  <c r="A278" i="19"/>
  <c r="F277" i="19"/>
  <c r="E277" i="19"/>
  <c r="A277" i="19"/>
  <c r="F276" i="19"/>
  <c r="E276" i="19"/>
  <c r="A276" i="19"/>
  <c r="F274" i="19"/>
  <c r="E274" i="19"/>
  <c r="A274" i="19"/>
  <c r="F273" i="19"/>
  <c r="E273" i="19"/>
  <c r="A273" i="19"/>
  <c r="F272" i="19"/>
  <c r="E272" i="19"/>
  <c r="A272" i="19"/>
  <c r="F271" i="19"/>
  <c r="E271" i="19"/>
  <c r="A271" i="19"/>
  <c r="F270" i="19"/>
  <c r="E270" i="19"/>
  <c r="A270" i="19"/>
  <c r="F269" i="19"/>
  <c r="E269" i="19"/>
  <c r="A269" i="19"/>
  <c r="F268" i="19"/>
  <c r="E268" i="19"/>
  <c r="A268" i="19"/>
  <c r="F267" i="19"/>
  <c r="E267" i="19"/>
  <c r="A267" i="19"/>
  <c r="F266" i="19"/>
  <c r="E266" i="19"/>
  <c r="A266" i="19"/>
  <c r="F265" i="19"/>
  <c r="E265" i="19"/>
  <c r="A265" i="19"/>
  <c r="F264" i="19"/>
  <c r="E264" i="19"/>
  <c r="A264" i="19"/>
  <c r="F263" i="19"/>
  <c r="E263" i="19"/>
  <c r="A263" i="19"/>
  <c r="E250" i="19"/>
  <c r="F250" i="19"/>
  <c r="A250" i="19"/>
  <c r="F261" i="19"/>
  <c r="E261" i="19"/>
  <c r="A261" i="19"/>
  <c r="F260" i="19"/>
  <c r="E260" i="19"/>
  <c r="A260" i="19"/>
  <c r="F259" i="19"/>
  <c r="E259" i="19"/>
  <c r="A259" i="19"/>
  <c r="F258" i="19"/>
  <c r="E258" i="19"/>
  <c r="A258" i="19"/>
  <c r="F257" i="19"/>
  <c r="E257" i="19"/>
  <c r="A257" i="19"/>
  <c r="F256" i="19"/>
  <c r="E256" i="19"/>
  <c r="A256" i="19"/>
  <c r="F255" i="19"/>
  <c r="E255" i="19"/>
  <c r="A255" i="19"/>
  <c r="F254" i="19"/>
  <c r="E254" i="19"/>
  <c r="A254" i="19"/>
  <c r="F253" i="19"/>
  <c r="E253" i="19"/>
  <c r="A253" i="19"/>
  <c r="F252" i="19"/>
  <c r="E252" i="19"/>
  <c r="A252" i="19"/>
  <c r="F251" i="19"/>
  <c r="E251" i="19"/>
  <c r="A251" i="19"/>
  <c r="E238" i="19"/>
  <c r="F238" i="19"/>
  <c r="E239" i="19"/>
  <c r="F239" i="19"/>
  <c r="E240" i="19"/>
  <c r="F240" i="19"/>
  <c r="E241" i="19"/>
  <c r="F241" i="19"/>
  <c r="E242" i="19"/>
  <c r="F242" i="19"/>
  <c r="E243" i="19"/>
  <c r="F243" i="19"/>
  <c r="E244" i="19"/>
  <c r="F244" i="19"/>
  <c r="E245" i="19"/>
  <c r="F245" i="19"/>
  <c r="E246" i="19"/>
  <c r="F246" i="19"/>
  <c r="E247" i="19"/>
  <c r="F247" i="19"/>
  <c r="E248" i="19"/>
  <c r="F248" i="19"/>
  <c r="F237" i="19"/>
  <c r="E237" i="19"/>
  <c r="A238" i="19"/>
  <c r="A239" i="19"/>
  <c r="A240" i="19"/>
  <c r="A241" i="19"/>
  <c r="A242" i="19"/>
  <c r="A243" i="19"/>
  <c r="A244" i="19"/>
  <c r="A245" i="19"/>
  <c r="A246" i="19"/>
  <c r="A247" i="19"/>
  <c r="A248" i="19"/>
  <c r="A237" i="19"/>
  <c r="D11" i="18"/>
  <c r="C11" i="18"/>
  <c r="B11" i="18"/>
  <c r="D10" i="18"/>
  <c r="C10" i="18"/>
  <c r="B10" i="18"/>
  <c r="D9" i="18"/>
  <c r="C9" i="18"/>
  <c r="B9" i="18"/>
  <c r="D8" i="18"/>
  <c r="C8" i="18"/>
  <c r="B8" i="18"/>
  <c r="V264" i="38" l="1"/>
  <c r="F286" i="38" s="1"/>
  <c r="K285" i="38"/>
  <c r="K291" i="38"/>
  <c r="G297" i="38"/>
  <c r="K297" i="38" s="1"/>
  <c r="V276" i="38"/>
  <c r="G286" i="38" s="1"/>
  <c r="G292" i="38" s="1"/>
  <c r="V252" i="38"/>
  <c r="E286" i="38" s="1"/>
  <c r="K59" i="11"/>
  <c r="J19" i="11"/>
  <c r="J58" i="11"/>
  <c r="I61" i="11"/>
  <c r="I15" i="11"/>
  <c r="I42" i="11" s="1"/>
  <c r="I52" i="11" s="1"/>
  <c r="K60" i="11"/>
  <c r="J38" i="11"/>
  <c r="E11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9" i="18"/>
  <c r="D29" i="18"/>
  <c r="B29" i="18"/>
  <c r="K286" i="38" l="1"/>
  <c r="G298" i="38"/>
  <c r="K298" i="38" s="1"/>
  <c r="K292" i="38"/>
  <c r="K58" i="11"/>
  <c r="J61" i="11"/>
  <c r="J15" i="11"/>
  <c r="J42" i="11" s="1"/>
  <c r="J52" i="11" s="1"/>
  <c r="L60" i="11"/>
  <c r="K38" i="11"/>
  <c r="L59" i="11"/>
  <c r="K19" i="11"/>
  <c r="L156" i="9"/>
  <c r="K155" i="9"/>
  <c r="J154" i="9"/>
  <c r="I153" i="9"/>
  <c r="M157" i="9"/>
  <c r="M117" i="9"/>
  <c r="L19" i="11" l="1"/>
  <c r="M59" i="11"/>
  <c r="L58" i="11"/>
  <c r="K61" i="11"/>
  <c r="K15" i="11"/>
  <c r="K42" i="11" s="1"/>
  <c r="K52" i="11" s="1"/>
  <c r="L38" i="11"/>
  <c r="M60" i="11"/>
  <c r="N32" i="9"/>
  <c r="N33" i="9"/>
  <c r="N34" i="9"/>
  <c r="N35" i="9"/>
  <c r="N36" i="9"/>
  <c r="N37" i="9"/>
  <c r="N38" i="9"/>
  <c r="N39" i="9"/>
  <c r="N40" i="9"/>
  <c r="A20" i="9"/>
  <c r="A43" i="9" s="1"/>
  <c r="A21" i="9"/>
  <c r="A44" i="9" s="1"/>
  <c r="A22" i="9"/>
  <c r="A45" i="9" s="1"/>
  <c r="A23" i="9"/>
  <c r="A46" i="9" s="1"/>
  <c r="M38" i="11" l="1"/>
  <c r="U38" i="11" s="1"/>
  <c r="L61" i="11"/>
  <c r="L15" i="11"/>
  <c r="L42" i="11" s="1"/>
  <c r="L52" i="11" s="1"/>
  <c r="M58" i="11"/>
  <c r="M19" i="11"/>
  <c r="U19" i="11" s="1"/>
  <c r="C45" i="17"/>
  <c r="F45" i="17" s="1"/>
  <c r="C44" i="17"/>
  <c r="F44" i="17" s="1"/>
  <c r="C43" i="17"/>
  <c r="F43" i="17" s="1"/>
  <c r="C42" i="17"/>
  <c r="F42" i="17" s="1"/>
  <c r="C41" i="17"/>
  <c r="F41" i="17" s="1"/>
  <c r="C40" i="17"/>
  <c r="C46" i="17" l="1"/>
  <c r="F46" i="17" s="1"/>
  <c r="M61" i="11"/>
  <c r="M15" i="11"/>
  <c r="F40" i="17"/>
  <c r="B39" i="17"/>
  <c r="G12" i="17"/>
  <c r="F12" i="17"/>
  <c r="E12" i="17"/>
  <c r="D12" i="17"/>
  <c r="C12" i="17"/>
  <c r="B12" i="17"/>
  <c r="M42" i="11" l="1"/>
  <c r="M52" i="11" s="1"/>
  <c r="U15" i="11"/>
  <c r="U41" i="11" s="1"/>
  <c r="H40" i="9"/>
  <c r="J12" i="17"/>
  <c r="L40" i="9"/>
  <c r="B40" i="17"/>
  <c r="I40" i="9"/>
  <c r="M40" i="9"/>
  <c r="J40" i="9"/>
  <c r="D13" i="17"/>
  <c r="D14" i="17" s="1"/>
  <c r="D15" i="17" s="1"/>
  <c r="K40" i="9"/>
  <c r="G112" i="19"/>
  <c r="G113" i="19"/>
  <c r="G114" i="19"/>
  <c r="G115" i="19"/>
  <c r="G116" i="19"/>
  <c r="G117" i="19"/>
  <c r="G118" i="19"/>
  <c r="G119" i="19"/>
  <c r="G120" i="19"/>
  <c r="G121" i="19"/>
  <c r="G122" i="19"/>
  <c r="G123" i="19" s="1"/>
  <c r="G124" i="19" s="1"/>
  <c r="G125" i="19" s="1"/>
  <c r="G126" i="19" s="1"/>
  <c r="G127" i="19" s="1"/>
  <c r="G128" i="19" s="1"/>
  <c r="G129" i="19" s="1"/>
  <c r="G130" i="19" s="1"/>
  <c r="G131" i="19" s="1"/>
  <c r="G132" i="19" s="1"/>
  <c r="G133" i="19" s="1"/>
  <c r="G134" i="19" s="1"/>
  <c r="G135" i="19" s="1"/>
  <c r="G111" i="19"/>
  <c r="D16" i="17" l="1"/>
  <c r="B41" i="17"/>
  <c r="G136" i="19"/>
  <c r="G137" i="19" s="1"/>
  <c r="G138" i="19" s="1"/>
  <c r="G139" i="19" s="1"/>
  <c r="G140" i="19" s="1"/>
  <c r="G141" i="19" s="1"/>
  <c r="G142" i="19" s="1"/>
  <c r="G143" i="19" s="1"/>
  <c r="G144" i="19" s="1"/>
  <c r="G145" i="19" s="1"/>
  <c r="G146" i="19" s="1"/>
  <c r="G147" i="19" s="1"/>
  <c r="G237" i="19" s="1"/>
  <c r="B13" i="17"/>
  <c r="D28" i="18"/>
  <c r="C28" i="18"/>
  <c r="D27" i="18"/>
  <c r="C27" i="18"/>
  <c r="D26" i="18"/>
  <c r="C26" i="18"/>
  <c r="J16" i="9"/>
  <c r="J15" i="9"/>
  <c r="J14" i="9"/>
  <c r="I16" i="9"/>
  <c r="I15" i="9"/>
  <c r="I14" i="9"/>
  <c r="H16" i="9"/>
  <c r="H15" i="9"/>
  <c r="H14" i="9"/>
  <c r="G11" i="17"/>
  <c r="F11" i="17"/>
  <c r="E11" i="17"/>
  <c r="D11" i="17"/>
  <c r="C11" i="17"/>
  <c r="B11" i="17"/>
  <c r="G10" i="17"/>
  <c r="F10" i="17"/>
  <c r="E10" i="17"/>
  <c r="D10" i="17"/>
  <c r="C10" i="17"/>
  <c r="B10" i="17"/>
  <c r="G9" i="17"/>
  <c r="F9" i="17"/>
  <c r="E9" i="17"/>
  <c r="D9" i="17"/>
  <c r="C9" i="17"/>
  <c r="B9" i="17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I38" i="9" l="1"/>
  <c r="J9" i="17"/>
  <c r="D28" i="17"/>
  <c r="J11" i="17"/>
  <c r="J37" i="9"/>
  <c r="D17" i="17"/>
  <c r="K14" i="17"/>
  <c r="L37" i="9"/>
  <c r="L39" i="9"/>
  <c r="F29" i="17"/>
  <c r="F30" i="17"/>
  <c r="H39" i="9"/>
  <c r="B42" i="17"/>
  <c r="M37" i="9"/>
  <c r="K38" i="9"/>
  <c r="E28" i="17"/>
  <c r="C29" i="17"/>
  <c r="C30" i="17"/>
  <c r="M39" i="9"/>
  <c r="G29" i="17"/>
  <c r="G30" i="17"/>
  <c r="I37" i="9"/>
  <c r="J38" i="9"/>
  <c r="B28" i="18"/>
  <c r="E10" i="18"/>
  <c r="J10" i="17"/>
  <c r="L38" i="9"/>
  <c r="F28" i="17"/>
  <c r="D29" i="17"/>
  <c r="D30" i="17"/>
  <c r="H37" i="9"/>
  <c r="J39" i="9"/>
  <c r="B27" i="18"/>
  <c r="E9" i="18"/>
  <c r="G148" i="19"/>
  <c r="K37" i="9"/>
  <c r="C28" i="17"/>
  <c r="M38" i="9"/>
  <c r="G28" i="17"/>
  <c r="K39" i="9"/>
  <c r="E29" i="17"/>
  <c r="E30" i="17"/>
  <c r="H38" i="9"/>
  <c r="I39" i="9"/>
  <c r="B26" i="18"/>
  <c r="E8" i="18"/>
  <c r="B14" i="17"/>
  <c r="B28" i="17"/>
  <c r="B29" i="17"/>
  <c r="B30" i="17"/>
  <c r="B6" i="18"/>
  <c r="J12" i="9"/>
  <c r="H12" i="9"/>
  <c r="G25" i="19"/>
  <c r="G3" i="19"/>
  <c r="G7" i="19"/>
  <c r="G11" i="19"/>
  <c r="G15" i="19"/>
  <c r="G19" i="19"/>
  <c r="G23" i="19"/>
  <c r="G27" i="19"/>
  <c r="G31" i="19"/>
  <c r="G35" i="19"/>
  <c r="G39" i="19"/>
  <c r="G43" i="19"/>
  <c r="G47" i="19"/>
  <c r="G51" i="19"/>
  <c r="G55" i="19"/>
  <c r="G59" i="19"/>
  <c r="G63" i="19"/>
  <c r="G67" i="19"/>
  <c r="G71" i="19"/>
  <c r="B72" i="19"/>
  <c r="B7" i="18"/>
  <c r="B5" i="18"/>
  <c r="B4" i="18"/>
  <c r="B3" i="18"/>
  <c r="B2" i="18"/>
  <c r="G8" i="17"/>
  <c r="G27" i="17" s="1"/>
  <c r="F8" i="17"/>
  <c r="F27" i="17" s="1"/>
  <c r="E8" i="17"/>
  <c r="D8" i="17"/>
  <c r="C8" i="17"/>
  <c r="C27" i="17" s="1"/>
  <c r="B8" i="17"/>
  <c r="G7" i="17"/>
  <c r="F7" i="17"/>
  <c r="E7" i="17"/>
  <c r="D7" i="17"/>
  <c r="C7" i="17"/>
  <c r="B7" i="17"/>
  <c r="G6" i="17"/>
  <c r="F6" i="17"/>
  <c r="E6" i="17"/>
  <c r="D6" i="17"/>
  <c r="C6" i="17"/>
  <c r="B6" i="17"/>
  <c r="G5" i="17"/>
  <c r="F5" i="17"/>
  <c r="E5" i="17"/>
  <c r="D5" i="17"/>
  <c r="C5" i="17"/>
  <c r="B5" i="17"/>
  <c r="G4" i="17"/>
  <c r="M32" i="9" s="1"/>
  <c r="F4" i="17"/>
  <c r="L32" i="9" s="1"/>
  <c r="E4" i="17"/>
  <c r="K32" i="9" s="1"/>
  <c r="D4" i="17"/>
  <c r="C4" i="17"/>
  <c r="B4" i="17"/>
  <c r="G3" i="17"/>
  <c r="F3" i="17"/>
  <c r="E3" i="17"/>
  <c r="D3" i="17"/>
  <c r="C3" i="17"/>
  <c r="B3" i="17"/>
  <c r="J13" i="9"/>
  <c r="I13" i="9"/>
  <c r="I36" i="9" s="1"/>
  <c r="H13" i="9"/>
  <c r="I12" i="9"/>
  <c r="J11" i="9"/>
  <c r="I11" i="9"/>
  <c r="I34" i="9" s="1"/>
  <c r="H11" i="9"/>
  <c r="J10" i="9"/>
  <c r="I10" i="9"/>
  <c r="H10" i="9"/>
  <c r="I9" i="9"/>
  <c r="I32" i="9" s="1"/>
  <c r="H9" i="9"/>
  <c r="J8" i="9"/>
  <c r="I8" i="9"/>
  <c r="H8" i="9"/>
  <c r="G73" i="19"/>
  <c r="G72" i="19"/>
  <c r="G70" i="19"/>
  <c r="G69" i="19"/>
  <c r="G68" i="19"/>
  <c r="G66" i="19"/>
  <c r="G65" i="19"/>
  <c r="G64" i="19"/>
  <c r="G62" i="19"/>
  <c r="G61" i="19"/>
  <c r="G60" i="19"/>
  <c r="G58" i="19"/>
  <c r="G57" i="19"/>
  <c r="G56" i="19"/>
  <c r="G54" i="19"/>
  <c r="G53" i="19"/>
  <c r="G52" i="19"/>
  <c r="G50" i="19"/>
  <c r="G49" i="19"/>
  <c r="G48" i="19"/>
  <c r="G46" i="19"/>
  <c r="G45" i="19"/>
  <c r="G44" i="19"/>
  <c r="G42" i="19"/>
  <c r="G41" i="19"/>
  <c r="G40" i="19"/>
  <c r="G38" i="19"/>
  <c r="G37" i="19"/>
  <c r="G36" i="19"/>
  <c r="G34" i="19"/>
  <c r="G33" i="19"/>
  <c r="G32" i="19"/>
  <c r="G30" i="19"/>
  <c r="G29" i="19"/>
  <c r="G28" i="19"/>
  <c r="G26" i="19"/>
  <c r="G24" i="19"/>
  <c r="G22" i="19"/>
  <c r="G21" i="19"/>
  <c r="G20" i="19"/>
  <c r="G18" i="19"/>
  <c r="G17" i="19"/>
  <c r="G16" i="19"/>
  <c r="G14" i="19"/>
  <c r="G13" i="19"/>
  <c r="G12" i="19"/>
  <c r="G10" i="19"/>
  <c r="G9" i="19"/>
  <c r="G8" i="19"/>
  <c r="G6" i="19"/>
  <c r="G5" i="19"/>
  <c r="G4" i="19"/>
  <c r="B74" i="19"/>
  <c r="B73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H34" i="9" l="1"/>
  <c r="H36" i="9"/>
  <c r="C23" i="17"/>
  <c r="C25" i="17"/>
  <c r="H32" i="9"/>
  <c r="J33" i="9"/>
  <c r="D24" i="17"/>
  <c r="D26" i="17"/>
  <c r="I35" i="9"/>
  <c r="J3" i="17"/>
  <c r="B23" i="17"/>
  <c r="J5" i="17"/>
  <c r="L33" i="9"/>
  <c r="F23" i="17"/>
  <c r="B25" i="17"/>
  <c r="J7" i="17"/>
  <c r="L35" i="9"/>
  <c r="F25" i="17"/>
  <c r="B25" i="18"/>
  <c r="E7" i="18"/>
  <c r="D18" i="17"/>
  <c r="M33" i="9"/>
  <c r="G23" i="17"/>
  <c r="K34" i="9"/>
  <c r="E24" i="17"/>
  <c r="M35" i="9"/>
  <c r="G25" i="17"/>
  <c r="K36" i="9"/>
  <c r="E26" i="17"/>
  <c r="H35" i="9"/>
  <c r="H33" i="9"/>
  <c r="J4" i="17"/>
  <c r="D23" i="17"/>
  <c r="J6" i="17"/>
  <c r="L34" i="9"/>
  <c r="F24" i="17"/>
  <c r="D25" i="17"/>
  <c r="J8" i="17"/>
  <c r="L36" i="9"/>
  <c r="F26" i="17"/>
  <c r="B22" i="18"/>
  <c r="J35" i="9"/>
  <c r="E27" i="17"/>
  <c r="I33" i="9"/>
  <c r="J34" i="9"/>
  <c r="J36" i="9"/>
  <c r="K33" i="9"/>
  <c r="E23" i="17"/>
  <c r="C24" i="17"/>
  <c r="M34" i="9"/>
  <c r="G24" i="17"/>
  <c r="K35" i="9"/>
  <c r="E25" i="17"/>
  <c r="C26" i="17"/>
  <c r="M36" i="9"/>
  <c r="G26" i="17"/>
  <c r="B23" i="18"/>
  <c r="B24" i="18"/>
  <c r="E6" i="18"/>
  <c r="D27" i="17"/>
  <c r="G149" i="19"/>
  <c r="G238" i="19"/>
  <c r="B43" i="17"/>
  <c r="B15" i="17"/>
  <c r="B24" i="17"/>
  <c r="B26" i="17"/>
  <c r="B27" i="17"/>
  <c r="J9" i="9"/>
  <c r="J32" i="9" s="1"/>
  <c r="B21" i="18" l="1"/>
  <c r="G150" i="19"/>
  <c r="G239" i="19"/>
  <c r="B44" i="17"/>
  <c r="B16" i="17"/>
  <c r="U39" i="24"/>
  <c r="D122" i="19" s="1"/>
  <c r="U38" i="24"/>
  <c r="D121" i="19" s="1"/>
  <c r="U37" i="24"/>
  <c r="D120" i="19" s="1"/>
  <c r="U36" i="24"/>
  <c r="U35" i="24"/>
  <c r="U34" i="24"/>
  <c r="U33" i="24"/>
  <c r="U32" i="24"/>
  <c r="U31" i="24"/>
  <c r="U30" i="24"/>
  <c r="U29" i="24"/>
  <c r="U28" i="24"/>
  <c r="U19" i="24"/>
  <c r="C122" i="19" s="1"/>
  <c r="U18" i="24"/>
  <c r="C121" i="19" s="1"/>
  <c r="U17" i="24"/>
  <c r="C120" i="19" s="1"/>
  <c r="U16" i="24"/>
  <c r="U15" i="24"/>
  <c r="U14" i="24"/>
  <c r="U13" i="24"/>
  <c r="U12" i="24"/>
  <c r="U11" i="24"/>
  <c r="U10" i="24"/>
  <c r="U9" i="24"/>
  <c r="U8" i="24"/>
  <c r="G151" i="19" l="1"/>
  <c r="G240" i="19"/>
  <c r="B45" i="17"/>
  <c r="B46" i="17" s="1"/>
  <c r="B17" i="17"/>
  <c r="B209" i="19"/>
  <c r="B18" i="17" l="1"/>
  <c r="G152" i="19"/>
  <c r="G241" i="19"/>
  <c r="G158" i="9"/>
  <c r="H151" i="9"/>
  <c r="I142" i="9"/>
  <c r="J142" i="9" s="1"/>
  <c r="K142" i="9" s="1"/>
  <c r="L142" i="9" s="1"/>
  <c r="M142" i="9" s="1"/>
  <c r="G153" i="19" l="1"/>
  <c r="G242" i="19"/>
  <c r="H158" i="9"/>
  <c r="L158" i="9"/>
  <c r="M156" i="9"/>
  <c r="J153" i="9"/>
  <c r="J158" i="9"/>
  <c r="I151" i="9"/>
  <c r="L155" i="9"/>
  <c r="K158" i="9"/>
  <c r="L97" i="9"/>
  <c r="I152" i="9"/>
  <c r="I158" i="9"/>
  <c r="K154" i="9"/>
  <c r="N158" i="9" l="1"/>
  <c r="O158" i="9" s="1"/>
  <c r="M158" i="9"/>
  <c r="G154" i="19"/>
  <c r="G243" i="19"/>
  <c r="K153" i="9"/>
  <c r="J152" i="9"/>
  <c r="M155" i="9"/>
  <c r="L154" i="9"/>
  <c r="J151" i="9"/>
  <c r="L99" i="9" s="1"/>
  <c r="L98" i="9"/>
  <c r="G155" i="19" l="1"/>
  <c r="G244" i="19"/>
  <c r="K151" i="9"/>
  <c r="L100" i="9" s="1"/>
  <c r="L153" i="9"/>
  <c r="M154" i="9"/>
  <c r="K152" i="9"/>
  <c r="L113" i="9"/>
  <c r="H109" i="9"/>
  <c r="G108" i="9"/>
  <c r="I110" i="9"/>
  <c r="K112" i="9"/>
  <c r="J111" i="9"/>
  <c r="G156" i="19" l="1"/>
  <c r="G245" i="19"/>
  <c r="L151" i="9"/>
  <c r="L101" i="9" s="1"/>
  <c r="L152" i="9"/>
  <c r="M153" i="9"/>
  <c r="J123" i="9"/>
  <c r="J133" i="9" s="1"/>
  <c r="J144" i="9" s="1"/>
  <c r="J165" i="9" s="1"/>
  <c r="J173" i="9" s="1"/>
  <c r="K124" i="9"/>
  <c r="K134" i="9" s="1"/>
  <c r="K145" i="9" s="1"/>
  <c r="K166" i="9" s="1"/>
  <c r="K174" i="9" s="1"/>
  <c r="I122" i="9"/>
  <c r="I132" i="9" s="1"/>
  <c r="I143" i="9" s="1"/>
  <c r="I164" i="9" s="1"/>
  <c r="I172" i="9" s="1"/>
  <c r="M113" i="9"/>
  <c r="L125" i="9"/>
  <c r="M125" i="9" s="1"/>
  <c r="G120" i="9"/>
  <c r="G140" i="9" s="1"/>
  <c r="H121" i="9"/>
  <c r="I121" i="9" s="1"/>
  <c r="J121" i="9" s="1"/>
  <c r="K121" i="9" s="1"/>
  <c r="L121" i="9" s="1"/>
  <c r="M121" i="9" s="1"/>
  <c r="M114" i="9"/>
  <c r="L115" i="9"/>
  <c r="K115" i="9"/>
  <c r="L112" i="9"/>
  <c r="J115" i="9"/>
  <c r="K111" i="9"/>
  <c r="I115" i="9"/>
  <c r="J110" i="9"/>
  <c r="H115" i="9"/>
  <c r="I109" i="9"/>
  <c r="G115" i="9"/>
  <c r="H108" i="9"/>
  <c r="G97" i="9" l="1"/>
  <c r="K110" i="9"/>
  <c r="M112" i="9"/>
  <c r="L111" i="9"/>
  <c r="G157" i="19"/>
  <c r="G246" i="19"/>
  <c r="M152" i="9"/>
  <c r="M151" i="9"/>
  <c r="L102" i="9" s="1"/>
  <c r="J148" i="9"/>
  <c r="K144" i="9"/>
  <c r="I148" i="9"/>
  <c r="J143" i="9"/>
  <c r="L145" i="9"/>
  <c r="K148" i="9"/>
  <c r="K137" i="9"/>
  <c r="L135" i="9"/>
  <c r="M135" i="9" s="1"/>
  <c r="H131" i="9"/>
  <c r="H137" i="9" s="1"/>
  <c r="H141" i="9"/>
  <c r="H148" i="9" s="1"/>
  <c r="G148" i="9"/>
  <c r="H140" i="9"/>
  <c r="J97" i="9" s="1"/>
  <c r="L127" i="9"/>
  <c r="G130" i="9"/>
  <c r="G162" i="9" s="1"/>
  <c r="M115" i="9"/>
  <c r="M126" i="9"/>
  <c r="M127" i="9" s="1"/>
  <c r="I108" i="9"/>
  <c r="L134" i="9"/>
  <c r="M134" i="9" s="1"/>
  <c r="K127" i="9"/>
  <c r="L124" i="9"/>
  <c r="M124" i="9" s="1"/>
  <c r="K123" i="9"/>
  <c r="L123" i="9" s="1"/>
  <c r="M123" i="9" s="1"/>
  <c r="J127" i="9"/>
  <c r="H127" i="9"/>
  <c r="J132" i="9"/>
  <c r="K132" i="9" s="1"/>
  <c r="L132" i="9" s="1"/>
  <c r="M132" i="9" s="1"/>
  <c r="I137" i="9"/>
  <c r="J122" i="9"/>
  <c r="K122" i="9" s="1"/>
  <c r="L122" i="9" s="1"/>
  <c r="M122" i="9" s="1"/>
  <c r="I127" i="9"/>
  <c r="H120" i="9"/>
  <c r="H97" i="9" s="1"/>
  <c r="G127" i="9"/>
  <c r="J109" i="9"/>
  <c r="N115" i="9"/>
  <c r="K109" i="9" l="1"/>
  <c r="M168" i="9"/>
  <c r="M176" i="9" s="1"/>
  <c r="G170" i="9"/>
  <c r="M111" i="9"/>
  <c r="J108" i="9"/>
  <c r="G98" i="9"/>
  <c r="L166" i="9"/>
  <c r="L174" i="9" s="1"/>
  <c r="L110" i="9"/>
  <c r="G158" i="19"/>
  <c r="G247" i="19"/>
  <c r="K143" i="9"/>
  <c r="J164" i="9"/>
  <c r="J172" i="9" s="1"/>
  <c r="I141" i="9"/>
  <c r="H163" i="9"/>
  <c r="H171" i="9" s="1"/>
  <c r="L144" i="9"/>
  <c r="M145" i="9"/>
  <c r="M166" i="9" s="1"/>
  <c r="M174" i="9" s="1"/>
  <c r="L146" i="9"/>
  <c r="L167" i="9" s="1"/>
  <c r="L175" i="9" s="1"/>
  <c r="M136" i="9"/>
  <c r="O115" i="9"/>
  <c r="L137" i="9"/>
  <c r="N127" i="9"/>
  <c r="O127" i="9" s="1"/>
  <c r="I140" i="9"/>
  <c r="I120" i="9"/>
  <c r="H98" i="9" s="1"/>
  <c r="G137" i="9"/>
  <c r="H130" i="9"/>
  <c r="H162" i="9" s="1"/>
  <c r="H170" i="9" s="1"/>
  <c r="K133" i="9"/>
  <c r="L133" i="9" s="1"/>
  <c r="M133" i="9" s="1"/>
  <c r="J137" i="9"/>
  <c r="I131" i="9"/>
  <c r="J131" i="9" s="1"/>
  <c r="K131" i="9" s="1"/>
  <c r="L131" i="9" s="1"/>
  <c r="M131" i="9" s="1"/>
  <c r="L109" i="9" l="1"/>
  <c r="J98" i="9"/>
  <c r="M110" i="9"/>
  <c r="K108" i="9"/>
  <c r="G99" i="9"/>
  <c r="G159" i="19"/>
  <c r="G250" i="19" s="1"/>
  <c r="G248" i="19"/>
  <c r="K15" i="17"/>
  <c r="J141" i="9"/>
  <c r="I163" i="9"/>
  <c r="I171" i="9" s="1"/>
  <c r="K165" i="9"/>
  <c r="K173" i="9" s="1"/>
  <c r="M144" i="9"/>
  <c r="M165" i="9" s="1"/>
  <c r="M173" i="9" s="1"/>
  <c r="L165" i="9"/>
  <c r="L173" i="9" s="1"/>
  <c r="L143" i="9"/>
  <c r="K164" i="9"/>
  <c r="K172" i="9" s="1"/>
  <c r="L148" i="9"/>
  <c r="N148" i="9" s="1"/>
  <c r="M146" i="9"/>
  <c r="M167" i="9" s="1"/>
  <c r="M175" i="9" s="1"/>
  <c r="N137" i="9"/>
  <c r="M137" i="9"/>
  <c r="M147" i="9"/>
  <c r="M148" i="9" s="1"/>
  <c r="O148" i="9" s="1"/>
  <c r="J140" i="9"/>
  <c r="J99" i="9" s="1"/>
  <c r="I130" i="9"/>
  <c r="I162" i="9" s="1"/>
  <c r="I170" i="9" s="1"/>
  <c r="I97" i="9"/>
  <c r="J120" i="9"/>
  <c r="N159" i="9" l="1"/>
  <c r="K120" i="9"/>
  <c r="H99" i="9"/>
  <c r="L108" i="9"/>
  <c r="G100" i="9"/>
  <c r="M109" i="9"/>
  <c r="G160" i="19"/>
  <c r="K141" i="9"/>
  <c r="J163" i="9"/>
  <c r="J171" i="9" s="1"/>
  <c r="K140" i="9"/>
  <c r="M143" i="9"/>
  <c r="M164" i="9" s="1"/>
  <c r="M172" i="9" s="1"/>
  <c r="L164" i="9"/>
  <c r="L172" i="9" s="1"/>
  <c r="O137" i="9"/>
  <c r="O159" i="9" s="1"/>
  <c r="P159" i="9" s="1"/>
  <c r="J130" i="9"/>
  <c r="I98" i="9"/>
  <c r="O98" i="9" s="1"/>
  <c r="P98" i="9" s="1"/>
  <c r="K130" i="9" l="1"/>
  <c r="I99" i="9"/>
  <c r="O99" i="9" s="1"/>
  <c r="P99" i="9" s="1"/>
  <c r="J100" i="9"/>
  <c r="L120" i="9"/>
  <c r="H100" i="9"/>
  <c r="M108" i="9"/>
  <c r="G101" i="9"/>
  <c r="G161" i="19"/>
  <c r="G251" i="19"/>
  <c r="J162" i="9"/>
  <c r="J170" i="9" s="1"/>
  <c r="L140" i="9"/>
  <c r="K162" i="9"/>
  <c r="K170" i="9" s="1"/>
  <c r="L141" i="9"/>
  <c r="K163" i="9"/>
  <c r="K171" i="9" s="1"/>
  <c r="G102" i="9" l="1"/>
  <c r="J101" i="9"/>
  <c r="L130" i="9"/>
  <c r="I100" i="9"/>
  <c r="O100" i="9" s="1"/>
  <c r="P100" i="9" s="1"/>
  <c r="M120" i="9"/>
  <c r="H102" i="9" s="1"/>
  <c r="H101" i="9"/>
  <c r="G162" i="19"/>
  <c r="G252" i="19"/>
  <c r="M140" i="9"/>
  <c r="M141" i="9"/>
  <c r="M163" i="9" s="1"/>
  <c r="M171" i="9" s="1"/>
  <c r="L163" i="9"/>
  <c r="L171" i="9" s="1"/>
  <c r="J102" i="9" l="1"/>
  <c r="M130" i="9"/>
  <c r="I102" i="9" s="1"/>
  <c r="I101" i="9"/>
  <c r="O101" i="9" s="1"/>
  <c r="P101" i="9" s="1"/>
  <c r="L162" i="9"/>
  <c r="L170" i="9" s="1"/>
  <c r="G163" i="19"/>
  <c r="G253" i="19"/>
  <c r="O97" i="9"/>
  <c r="P97" i="9" s="1"/>
  <c r="O102" i="9" l="1"/>
  <c r="P102" i="9" s="1"/>
  <c r="M162" i="9"/>
  <c r="M170" i="9" s="1"/>
  <c r="G164" i="19"/>
  <c r="G254" i="19"/>
  <c r="F224" i="19"/>
  <c r="F225" i="19"/>
  <c r="F226" i="19"/>
  <c r="F227" i="19"/>
  <c r="F228" i="19"/>
  <c r="F229" i="19"/>
  <c r="F230" i="19"/>
  <c r="F231" i="19"/>
  <c r="F232" i="19"/>
  <c r="F233" i="19"/>
  <c r="F234" i="19"/>
  <c r="F235" i="19"/>
  <c r="E225" i="19"/>
  <c r="E226" i="19"/>
  <c r="E227" i="19"/>
  <c r="E228" i="19"/>
  <c r="E229" i="19"/>
  <c r="E230" i="19"/>
  <c r="E231" i="19"/>
  <c r="E232" i="19"/>
  <c r="E233" i="19"/>
  <c r="E234" i="19"/>
  <c r="E235" i="19"/>
  <c r="E224" i="19"/>
  <c r="N31" i="9"/>
  <c r="N52" i="9"/>
  <c r="N53" i="9"/>
  <c r="N55" i="9"/>
  <c r="G165" i="19" l="1"/>
  <c r="G255" i="19"/>
  <c r="K31" i="9"/>
  <c r="N54" i="9"/>
  <c r="N51" i="9"/>
  <c r="H3" i="17"/>
  <c r="L31" i="9"/>
  <c r="M31" i="9"/>
  <c r="N56" i="9"/>
  <c r="G166" i="19" l="1"/>
  <c r="G256" i="19"/>
  <c r="A18" i="9"/>
  <c r="A41" i="9" s="1"/>
  <c r="A19" i="9"/>
  <c r="A42" i="9" s="1"/>
  <c r="A14" i="9"/>
  <c r="A37" i="9" s="1"/>
  <c r="A15" i="9"/>
  <c r="A38" i="9" s="1"/>
  <c r="A16" i="9"/>
  <c r="A39" i="9" s="1"/>
  <c r="A17" i="9"/>
  <c r="A40" i="9" s="1"/>
  <c r="G167" i="19" l="1"/>
  <c r="G257" i="19"/>
  <c r="G16" i="9"/>
  <c r="H9" i="17"/>
  <c r="H11" i="17"/>
  <c r="H10" i="17"/>
  <c r="G14" i="9"/>
  <c r="G15" i="9"/>
  <c r="G17" i="9"/>
  <c r="D76" i="19"/>
  <c r="D77" i="19"/>
  <c r="D78" i="19"/>
  <c r="D79" i="19"/>
  <c r="D80" i="19"/>
  <c r="D81" i="19"/>
  <c r="D82" i="19"/>
  <c r="D83" i="19"/>
  <c r="D84" i="19"/>
  <c r="D85" i="19"/>
  <c r="D86" i="19"/>
  <c r="D75" i="19"/>
  <c r="C76" i="19"/>
  <c r="C77" i="19"/>
  <c r="C78" i="19"/>
  <c r="C79" i="19"/>
  <c r="C80" i="19"/>
  <c r="C81" i="19"/>
  <c r="C82" i="19"/>
  <c r="C83" i="19"/>
  <c r="C84" i="19"/>
  <c r="C85" i="19"/>
  <c r="C86" i="19"/>
  <c r="C75" i="19"/>
  <c r="C73" i="19"/>
  <c r="C74" i="19"/>
  <c r="D119" i="19"/>
  <c r="D118" i="19"/>
  <c r="D117" i="19"/>
  <c r="D116" i="19"/>
  <c r="D115" i="19"/>
  <c r="D114" i="19"/>
  <c r="D113" i="19"/>
  <c r="D112" i="19"/>
  <c r="C119" i="19"/>
  <c r="C118" i="19"/>
  <c r="C117" i="19"/>
  <c r="C116" i="19"/>
  <c r="C115" i="19"/>
  <c r="C114" i="19"/>
  <c r="C113" i="19"/>
  <c r="C112" i="19"/>
  <c r="C111" i="19"/>
  <c r="T39" i="24"/>
  <c r="D110" i="19" s="1"/>
  <c r="T38" i="24"/>
  <c r="D109" i="19" s="1"/>
  <c r="T37" i="24"/>
  <c r="D108" i="19" s="1"/>
  <c r="T36" i="24"/>
  <c r="D107" i="19" s="1"/>
  <c r="T35" i="24"/>
  <c r="D106" i="19" s="1"/>
  <c r="T34" i="24"/>
  <c r="D105" i="19" s="1"/>
  <c r="T33" i="24"/>
  <c r="D104" i="19" s="1"/>
  <c r="T32" i="24"/>
  <c r="D103" i="19" s="1"/>
  <c r="T31" i="24"/>
  <c r="D102" i="19" s="1"/>
  <c r="T30" i="24"/>
  <c r="D101" i="19" s="1"/>
  <c r="T29" i="24"/>
  <c r="D100" i="19" s="1"/>
  <c r="T28" i="24"/>
  <c r="T19" i="24"/>
  <c r="C110" i="19" s="1"/>
  <c r="T18" i="24"/>
  <c r="C109" i="19" s="1"/>
  <c r="T17" i="24"/>
  <c r="C108" i="19" s="1"/>
  <c r="T16" i="24"/>
  <c r="C107" i="19" s="1"/>
  <c r="T15" i="24"/>
  <c r="C106" i="19" s="1"/>
  <c r="T14" i="24"/>
  <c r="C105" i="19" s="1"/>
  <c r="T13" i="24"/>
  <c r="C104" i="19" s="1"/>
  <c r="T12" i="24"/>
  <c r="C103" i="19" s="1"/>
  <c r="T11" i="24"/>
  <c r="C102" i="19" s="1"/>
  <c r="T10" i="24"/>
  <c r="C101" i="19" s="1"/>
  <c r="T9" i="24"/>
  <c r="C100" i="19" s="1"/>
  <c r="T8" i="24"/>
  <c r="S39" i="24"/>
  <c r="S38" i="24"/>
  <c r="S37" i="24"/>
  <c r="S36" i="24"/>
  <c r="S35" i="24"/>
  <c r="S34" i="24"/>
  <c r="S33" i="24"/>
  <c r="S32" i="24"/>
  <c r="S31" i="24"/>
  <c r="S30" i="24"/>
  <c r="S29" i="24"/>
  <c r="S28" i="24"/>
  <c r="S19" i="24"/>
  <c r="S18" i="24"/>
  <c r="S17" i="24"/>
  <c r="S16" i="24"/>
  <c r="S15" i="24"/>
  <c r="S14" i="24"/>
  <c r="S13" i="24"/>
  <c r="S12" i="24"/>
  <c r="S11" i="24"/>
  <c r="S10" i="24"/>
  <c r="S9" i="24"/>
  <c r="S8" i="24"/>
  <c r="R41" i="24"/>
  <c r="R21" i="24"/>
  <c r="C27" i="19"/>
  <c r="C39" i="19"/>
  <c r="C51" i="19"/>
  <c r="C63" i="19"/>
  <c r="D27" i="19"/>
  <c r="D39" i="19"/>
  <c r="D51" i="19"/>
  <c r="D63" i="19"/>
  <c r="C28" i="19"/>
  <c r="C40" i="19"/>
  <c r="C52" i="19"/>
  <c r="C64" i="19"/>
  <c r="D28" i="19"/>
  <c r="D40" i="19"/>
  <c r="D52" i="19"/>
  <c r="D64" i="19"/>
  <c r="C29" i="19"/>
  <c r="C41" i="19"/>
  <c r="C53" i="19"/>
  <c r="C65" i="19"/>
  <c r="D29" i="19"/>
  <c r="D41" i="19"/>
  <c r="D53" i="19"/>
  <c r="D65" i="19"/>
  <c r="C30" i="19"/>
  <c r="C42" i="19"/>
  <c r="C54" i="19"/>
  <c r="C66" i="19"/>
  <c r="D30" i="19"/>
  <c r="D42" i="19"/>
  <c r="D54" i="19"/>
  <c r="D66" i="19"/>
  <c r="C31" i="19"/>
  <c r="C43" i="19"/>
  <c r="C55" i="19"/>
  <c r="C67" i="19"/>
  <c r="D31" i="19"/>
  <c r="D43" i="19"/>
  <c r="D55" i="19"/>
  <c r="D67" i="19"/>
  <c r="C32" i="19"/>
  <c r="C44" i="19"/>
  <c r="C56" i="19"/>
  <c r="C68" i="19"/>
  <c r="D32" i="19"/>
  <c r="D44" i="19"/>
  <c r="D56" i="19"/>
  <c r="D68" i="19"/>
  <c r="C33" i="19"/>
  <c r="C45" i="19"/>
  <c r="C57" i="19"/>
  <c r="C69" i="19"/>
  <c r="D33" i="19"/>
  <c r="D45" i="19"/>
  <c r="D57" i="19"/>
  <c r="D69" i="19"/>
  <c r="C34" i="19"/>
  <c r="C46" i="19"/>
  <c r="C58" i="19"/>
  <c r="C70" i="19"/>
  <c r="D34" i="19"/>
  <c r="D46" i="19"/>
  <c r="D58" i="19"/>
  <c r="D70" i="19"/>
  <c r="C35" i="19"/>
  <c r="C47" i="19"/>
  <c r="C59" i="19"/>
  <c r="C71" i="19"/>
  <c r="D35" i="19"/>
  <c r="D47" i="19"/>
  <c r="D59" i="19"/>
  <c r="D71" i="19"/>
  <c r="C36" i="19"/>
  <c r="C48" i="19"/>
  <c r="C60" i="19"/>
  <c r="C72" i="19"/>
  <c r="D36" i="19"/>
  <c r="D48" i="19"/>
  <c r="D60" i="19"/>
  <c r="D72" i="19"/>
  <c r="C37" i="19"/>
  <c r="C49" i="19"/>
  <c r="C61" i="19"/>
  <c r="D37" i="19"/>
  <c r="D49" i="19"/>
  <c r="D61" i="19"/>
  <c r="D73" i="19"/>
  <c r="C38" i="19"/>
  <c r="C50" i="19"/>
  <c r="C62" i="19"/>
  <c r="D38" i="19"/>
  <c r="D50" i="19"/>
  <c r="D62" i="19"/>
  <c r="D74" i="19"/>
  <c r="H3" i="19"/>
  <c r="H4" i="19"/>
  <c r="H5" i="19"/>
  <c r="H6" i="19"/>
  <c r="H7" i="19"/>
  <c r="H8" i="19"/>
  <c r="H9" i="19"/>
  <c r="H10" i="19"/>
  <c r="H11" i="19"/>
  <c r="H12" i="19"/>
  <c r="H13" i="19"/>
  <c r="H14" i="19"/>
  <c r="H20" i="19"/>
  <c r="H21" i="19"/>
  <c r="H22" i="19"/>
  <c r="H23" i="19"/>
  <c r="H24" i="19"/>
  <c r="H25" i="19"/>
  <c r="H26" i="19"/>
  <c r="H15" i="19"/>
  <c r="H16" i="19"/>
  <c r="H17" i="19"/>
  <c r="H18" i="19"/>
  <c r="H19" i="19"/>
  <c r="D22" i="17"/>
  <c r="H31" i="9"/>
  <c r="I31" i="9"/>
  <c r="A1" i="19"/>
  <c r="E3" i="18"/>
  <c r="E4" i="18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O21" i="24"/>
  <c r="P21" i="24"/>
  <c r="Q21" i="24"/>
  <c r="H79" i="9"/>
  <c r="I79" i="9" s="1"/>
  <c r="C23" i="32"/>
  <c r="C24" i="32" s="1"/>
  <c r="C25" i="32" s="1"/>
  <c r="C26" i="32" s="1"/>
  <c r="C27" i="32" s="1"/>
  <c r="C28" i="32" s="1"/>
  <c r="G5" i="24"/>
  <c r="H5" i="24"/>
  <c r="I5" i="24"/>
  <c r="J5" i="24"/>
  <c r="K5" i="24"/>
  <c r="L5" i="24"/>
  <c r="M5" i="24"/>
  <c r="A8" i="9"/>
  <c r="A31" i="9" s="1"/>
  <c r="A9" i="9"/>
  <c r="A32" i="9" s="1"/>
  <c r="A10" i="9"/>
  <c r="A33" i="9" s="1"/>
  <c r="A11" i="9"/>
  <c r="A34" i="9" s="1"/>
  <c r="A12" i="9"/>
  <c r="A35" i="9" s="1"/>
  <c r="A13" i="9"/>
  <c r="A36" i="9" s="1"/>
  <c r="E2" i="17"/>
  <c r="C1" i="18" s="1"/>
  <c r="C2" i="17"/>
  <c r="D2" i="17"/>
  <c r="B1" i="18" s="1"/>
  <c r="F2" i="17"/>
  <c r="D1" i="18" s="1"/>
  <c r="G2" i="17"/>
  <c r="B2" i="17"/>
  <c r="X8" i="24" l="1"/>
  <c r="C237" i="19" s="1"/>
  <c r="AA8" i="24"/>
  <c r="C276" i="19" s="1"/>
  <c r="W8" i="24"/>
  <c r="C224" i="19" s="1"/>
  <c r="Z8" i="24"/>
  <c r="C263" i="19" s="1"/>
  <c r="Y8" i="24"/>
  <c r="C250" i="19" s="1"/>
  <c r="V12" i="24"/>
  <c r="C127" i="19" s="1"/>
  <c r="Y12" i="24"/>
  <c r="C254" i="19" s="1"/>
  <c r="X12" i="24"/>
  <c r="C241" i="19" s="1"/>
  <c r="AA12" i="24"/>
  <c r="C280" i="19" s="1"/>
  <c r="W12" i="24"/>
  <c r="C228" i="19" s="1"/>
  <c r="Z12" i="24"/>
  <c r="C267" i="19" s="1"/>
  <c r="C95" i="19"/>
  <c r="Z16" i="24"/>
  <c r="C271" i="19" s="1"/>
  <c r="Y16" i="24"/>
  <c r="C258" i="19" s="1"/>
  <c r="X16" i="24"/>
  <c r="C245" i="19" s="1"/>
  <c r="AA16" i="24"/>
  <c r="C284" i="19" s="1"/>
  <c r="W16" i="24"/>
  <c r="C232" i="19" s="1"/>
  <c r="D87" i="19"/>
  <c r="AA28" i="24"/>
  <c r="D276" i="19" s="1"/>
  <c r="W28" i="24"/>
  <c r="D224" i="19" s="1"/>
  <c r="Z28" i="24"/>
  <c r="D263" i="19" s="1"/>
  <c r="Y28" i="24"/>
  <c r="D250" i="19" s="1"/>
  <c r="X28" i="24"/>
  <c r="D237" i="19" s="1"/>
  <c r="D91" i="19"/>
  <c r="Z32" i="24"/>
  <c r="D267" i="19" s="1"/>
  <c r="X32" i="24"/>
  <c r="D241" i="19" s="1"/>
  <c r="W32" i="24"/>
  <c r="D228" i="19" s="1"/>
  <c r="AA32" i="24"/>
  <c r="D280" i="19" s="1"/>
  <c r="Y32" i="24"/>
  <c r="D254" i="19" s="1"/>
  <c r="D95" i="19"/>
  <c r="AA36" i="24"/>
  <c r="D284" i="19" s="1"/>
  <c r="Y36" i="24"/>
  <c r="D258" i="19" s="1"/>
  <c r="X36" i="24"/>
  <c r="D245" i="19" s="1"/>
  <c r="Z36" i="24"/>
  <c r="D271" i="19" s="1"/>
  <c r="W36" i="24"/>
  <c r="D232" i="19" s="1"/>
  <c r="AA9" i="24"/>
  <c r="C277" i="19" s="1"/>
  <c r="W9" i="24"/>
  <c r="C225" i="19" s="1"/>
  <c r="Z9" i="24"/>
  <c r="C264" i="19" s="1"/>
  <c r="Y9" i="24"/>
  <c r="C251" i="19" s="1"/>
  <c r="X9" i="24"/>
  <c r="C238" i="19" s="1"/>
  <c r="X13" i="24"/>
  <c r="C242" i="19" s="1"/>
  <c r="AA13" i="24"/>
  <c r="C281" i="19" s="1"/>
  <c r="W13" i="24"/>
  <c r="C229" i="19" s="1"/>
  <c r="Z13" i="24"/>
  <c r="C268" i="19" s="1"/>
  <c r="Y13" i="24"/>
  <c r="C255" i="19" s="1"/>
  <c r="Y17" i="24"/>
  <c r="C259" i="19" s="1"/>
  <c r="X17" i="24"/>
  <c r="C246" i="19" s="1"/>
  <c r="AA17" i="24"/>
  <c r="C285" i="19" s="1"/>
  <c r="W17" i="24"/>
  <c r="C233" i="19" s="1"/>
  <c r="Z17" i="24"/>
  <c r="C272" i="19" s="1"/>
  <c r="D88" i="19"/>
  <c r="AA29" i="24"/>
  <c r="D277" i="19" s="1"/>
  <c r="Z29" i="24"/>
  <c r="D264" i="19" s="1"/>
  <c r="Y29" i="24"/>
  <c r="D251" i="19" s="1"/>
  <c r="X29" i="24"/>
  <c r="D238" i="19" s="1"/>
  <c r="W29" i="24"/>
  <c r="D92" i="19"/>
  <c r="AA33" i="24"/>
  <c r="D281" i="19" s="1"/>
  <c r="Z33" i="24"/>
  <c r="D268" i="19" s="1"/>
  <c r="W33" i="24"/>
  <c r="D229" i="19" s="1"/>
  <c r="Y33" i="24"/>
  <c r="D255" i="19" s="1"/>
  <c r="X33" i="24"/>
  <c r="D242" i="19" s="1"/>
  <c r="D96" i="19"/>
  <c r="Z37" i="24"/>
  <c r="D272" i="19" s="1"/>
  <c r="Y37" i="24"/>
  <c r="D259" i="19" s="1"/>
  <c r="AA37" i="24"/>
  <c r="D285" i="19" s="1"/>
  <c r="X37" i="24"/>
  <c r="D246" i="19" s="1"/>
  <c r="W37" i="24"/>
  <c r="D233" i="19" s="1"/>
  <c r="AA10" i="24"/>
  <c r="C278" i="19" s="1"/>
  <c r="Z10" i="24"/>
  <c r="C265" i="19" s="1"/>
  <c r="Y10" i="24"/>
  <c r="C252" i="19" s="1"/>
  <c r="X10" i="24"/>
  <c r="C239" i="19" s="1"/>
  <c r="W10" i="24"/>
  <c r="AA14" i="24"/>
  <c r="C282" i="19" s="1"/>
  <c r="Z14" i="24"/>
  <c r="C269" i="19" s="1"/>
  <c r="Y14" i="24"/>
  <c r="C256" i="19" s="1"/>
  <c r="X14" i="24"/>
  <c r="C243" i="19" s="1"/>
  <c r="W14" i="24"/>
  <c r="AA18" i="24"/>
  <c r="C286" i="19" s="1"/>
  <c r="Z18" i="24"/>
  <c r="C273" i="19" s="1"/>
  <c r="Y18" i="24"/>
  <c r="C260" i="19" s="1"/>
  <c r="X18" i="24"/>
  <c r="C247" i="19" s="1"/>
  <c r="W18" i="24"/>
  <c r="C234" i="19" s="1"/>
  <c r="AA30" i="24"/>
  <c r="D278" i="19" s="1"/>
  <c r="Z30" i="24"/>
  <c r="D265" i="19" s="1"/>
  <c r="Y30" i="24"/>
  <c r="D252" i="19" s="1"/>
  <c r="X30" i="24"/>
  <c r="D239" i="19" s="1"/>
  <c r="W30" i="24"/>
  <c r="D226" i="19" s="1"/>
  <c r="AA34" i="24"/>
  <c r="D282" i="19" s="1"/>
  <c r="Z34" i="24"/>
  <c r="D269" i="19" s="1"/>
  <c r="Y34" i="24"/>
  <c r="D256" i="19" s="1"/>
  <c r="X34" i="24"/>
  <c r="D243" i="19" s="1"/>
  <c r="W34" i="24"/>
  <c r="D230" i="19" s="1"/>
  <c r="AA38" i="24"/>
  <c r="D286" i="19" s="1"/>
  <c r="Z38" i="24"/>
  <c r="D273" i="19" s="1"/>
  <c r="Y38" i="24"/>
  <c r="D260" i="19" s="1"/>
  <c r="X38" i="24"/>
  <c r="D247" i="19" s="1"/>
  <c r="W38" i="24"/>
  <c r="C90" i="19"/>
  <c r="Z11" i="24"/>
  <c r="C266" i="19" s="1"/>
  <c r="Y11" i="24"/>
  <c r="C253" i="19" s="1"/>
  <c r="X11" i="24"/>
  <c r="C240" i="19" s="1"/>
  <c r="W11" i="24"/>
  <c r="C227" i="19" s="1"/>
  <c r="AA11" i="24"/>
  <c r="C279" i="19" s="1"/>
  <c r="C94" i="19"/>
  <c r="AA15" i="24"/>
  <c r="C283" i="19" s="1"/>
  <c r="W15" i="24"/>
  <c r="Z15" i="24"/>
  <c r="C270" i="19" s="1"/>
  <c r="Y15" i="24"/>
  <c r="C257" i="19" s="1"/>
  <c r="X15" i="24"/>
  <c r="C244" i="19" s="1"/>
  <c r="C98" i="19"/>
  <c r="X19" i="24"/>
  <c r="C248" i="19" s="1"/>
  <c r="AA19" i="24"/>
  <c r="C287" i="19" s="1"/>
  <c r="W19" i="24"/>
  <c r="C235" i="19" s="1"/>
  <c r="Z19" i="24"/>
  <c r="C274" i="19" s="1"/>
  <c r="Y19" i="24"/>
  <c r="C261" i="19" s="1"/>
  <c r="Y31" i="24"/>
  <c r="D253" i="19" s="1"/>
  <c r="Z31" i="24"/>
  <c r="D266" i="19" s="1"/>
  <c r="X31" i="24"/>
  <c r="D240" i="19" s="1"/>
  <c r="W31" i="24"/>
  <c r="D227" i="19" s="1"/>
  <c r="AA31" i="24"/>
  <c r="D279" i="19" s="1"/>
  <c r="AA35" i="24"/>
  <c r="D283" i="19" s="1"/>
  <c r="Y35" i="24"/>
  <c r="D257" i="19" s="1"/>
  <c r="X35" i="24"/>
  <c r="D244" i="19" s="1"/>
  <c r="Z35" i="24"/>
  <c r="D270" i="19" s="1"/>
  <c r="W35" i="24"/>
  <c r="D231" i="19" s="1"/>
  <c r="AA39" i="24"/>
  <c r="D287" i="19" s="1"/>
  <c r="W39" i="24"/>
  <c r="D235" i="19" s="1"/>
  <c r="Z39" i="24"/>
  <c r="D274" i="19" s="1"/>
  <c r="Y39" i="24"/>
  <c r="D261" i="19" s="1"/>
  <c r="X39" i="24"/>
  <c r="D248" i="19" s="1"/>
  <c r="G168" i="19"/>
  <c r="G258" i="19"/>
  <c r="V8" i="24"/>
  <c r="C123" i="19" s="1"/>
  <c r="C135" i="19" s="1"/>
  <c r="C147" i="19" s="1"/>
  <c r="H200" i="19"/>
  <c r="H201" i="19"/>
  <c r="C9" i="9" s="1"/>
  <c r="M55" i="9"/>
  <c r="K55" i="9"/>
  <c r="G22" i="17"/>
  <c r="B22" i="17"/>
  <c r="B33" i="17" s="1"/>
  <c r="S21" i="24"/>
  <c r="I55" i="9"/>
  <c r="L56" i="9"/>
  <c r="H55" i="9"/>
  <c r="F22" i="17"/>
  <c r="U21" i="24"/>
  <c r="L51" i="9"/>
  <c r="L53" i="9"/>
  <c r="K49" i="9"/>
  <c r="E22" i="17"/>
  <c r="C22" i="17"/>
  <c r="C33" i="17" s="1"/>
  <c r="C13" i="17" s="1"/>
  <c r="S41" i="24"/>
  <c r="C226" i="19"/>
  <c r="D234" i="19"/>
  <c r="L55" i="9"/>
  <c r="C139" i="19"/>
  <c r="C151" i="19" s="1"/>
  <c r="V16" i="24"/>
  <c r="C131" i="19" s="1"/>
  <c r="V11" i="24"/>
  <c r="C126" i="19" s="1"/>
  <c r="V29" i="24"/>
  <c r="D124" i="19" s="1"/>
  <c r="D136" i="19" s="1"/>
  <c r="D148" i="19" s="1"/>
  <c r="D160" i="19" s="1"/>
  <c r="D172" i="19" s="1"/>
  <c r="D184" i="19" s="1"/>
  <c r="V33" i="24"/>
  <c r="D128" i="19" s="1"/>
  <c r="D140" i="19" s="1"/>
  <c r="D152" i="19" s="1"/>
  <c r="D164" i="19" s="1"/>
  <c r="D176" i="19" s="1"/>
  <c r="D188" i="19" s="1"/>
  <c r="V37" i="24"/>
  <c r="D132" i="19" s="1"/>
  <c r="C97" i="19"/>
  <c r="C93" i="19"/>
  <c r="C89" i="19"/>
  <c r="D98" i="19"/>
  <c r="D94" i="19"/>
  <c r="D90" i="19"/>
  <c r="H90" i="19" s="1"/>
  <c r="T21" i="24"/>
  <c r="T41" i="24"/>
  <c r="U41" i="24"/>
  <c r="V19" i="24"/>
  <c r="C134" i="19" s="1"/>
  <c r="V15" i="24"/>
  <c r="C130" i="19" s="1"/>
  <c r="V10" i="24"/>
  <c r="C125" i="19" s="1"/>
  <c r="V30" i="24"/>
  <c r="D125" i="19" s="1"/>
  <c r="D137" i="19" s="1"/>
  <c r="D149" i="19" s="1"/>
  <c r="D161" i="19" s="1"/>
  <c r="D173" i="19" s="1"/>
  <c r="D185" i="19" s="1"/>
  <c r="V34" i="24"/>
  <c r="D129" i="19" s="1"/>
  <c r="D141" i="19" s="1"/>
  <c r="D153" i="19" s="1"/>
  <c r="D165" i="19" s="1"/>
  <c r="D177" i="19" s="1"/>
  <c r="D189" i="19" s="1"/>
  <c r="V38" i="24"/>
  <c r="D133" i="19" s="1"/>
  <c r="D225" i="19"/>
  <c r="C96" i="19"/>
  <c r="H96" i="19" s="1"/>
  <c r="C92" i="19"/>
  <c r="C88" i="19"/>
  <c r="D97" i="19"/>
  <c r="D93" i="19"/>
  <c r="D89" i="19"/>
  <c r="V18" i="24"/>
  <c r="C133" i="19" s="1"/>
  <c r="V14" i="24"/>
  <c r="C129" i="19" s="1"/>
  <c r="V9" i="24"/>
  <c r="C124" i="19" s="1"/>
  <c r="V31" i="24"/>
  <c r="D126" i="19" s="1"/>
  <c r="D138" i="19" s="1"/>
  <c r="D150" i="19" s="1"/>
  <c r="D162" i="19" s="1"/>
  <c r="D174" i="19" s="1"/>
  <c r="D186" i="19" s="1"/>
  <c r="V35" i="24"/>
  <c r="D130" i="19" s="1"/>
  <c r="D142" i="19" s="1"/>
  <c r="D154" i="19" s="1"/>
  <c r="D166" i="19" s="1"/>
  <c r="D178" i="19" s="1"/>
  <c r="D190" i="19" s="1"/>
  <c r="V39" i="24"/>
  <c r="D134" i="19" s="1"/>
  <c r="C87" i="19"/>
  <c r="C91" i="19"/>
  <c r="C99" i="19"/>
  <c r="V17" i="24"/>
  <c r="C132" i="19" s="1"/>
  <c r="V13" i="24"/>
  <c r="C128" i="19" s="1"/>
  <c r="V28" i="24"/>
  <c r="D123" i="19" s="1"/>
  <c r="D135" i="19" s="1"/>
  <c r="D147" i="19" s="1"/>
  <c r="D159" i="19" s="1"/>
  <c r="D171" i="19" s="1"/>
  <c r="D183" i="19" s="1"/>
  <c r="V32" i="24"/>
  <c r="D127" i="19" s="1"/>
  <c r="D139" i="19" s="1"/>
  <c r="D151" i="19" s="1"/>
  <c r="D163" i="19" s="1"/>
  <c r="D175" i="19" s="1"/>
  <c r="D187" i="19" s="1"/>
  <c r="V36" i="24"/>
  <c r="D131" i="19" s="1"/>
  <c r="D143" i="19" s="1"/>
  <c r="D155" i="19" s="1"/>
  <c r="D167" i="19" s="1"/>
  <c r="D179" i="19" s="1"/>
  <c r="D191" i="19" s="1"/>
  <c r="D99" i="19"/>
  <c r="D111" i="19"/>
  <c r="H111" i="19" s="1"/>
  <c r="N49" i="9"/>
  <c r="N50" i="9"/>
  <c r="K52" i="9"/>
  <c r="J54" i="9"/>
  <c r="M53" i="9"/>
  <c r="K53" i="9"/>
  <c r="M54" i="9"/>
  <c r="L52" i="9"/>
  <c r="J31" i="9"/>
  <c r="J55" i="9"/>
  <c r="J56" i="9"/>
  <c r="M56" i="9"/>
  <c r="L54" i="9"/>
  <c r="I56" i="9"/>
  <c r="H56" i="9"/>
  <c r="K54" i="9"/>
  <c r="J53" i="9"/>
  <c r="C31" i="18"/>
  <c r="D31" i="18"/>
  <c r="L50" i="9"/>
  <c r="H7" i="17"/>
  <c r="H6" i="17"/>
  <c r="H8" i="17"/>
  <c r="H5" i="17"/>
  <c r="E2" i="18"/>
  <c r="G74" i="19"/>
  <c r="H74" i="19" s="1"/>
  <c r="B206" i="19"/>
  <c r="B208" i="19"/>
  <c r="B207" i="19"/>
  <c r="G9" i="9"/>
  <c r="G13" i="9"/>
  <c r="G8" i="9"/>
  <c r="B20" i="18"/>
  <c r="G10" i="9"/>
  <c r="G11" i="9"/>
  <c r="G12" i="9"/>
  <c r="H62" i="19"/>
  <c r="H61" i="19"/>
  <c r="H60" i="19"/>
  <c r="H59" i="19"/>
  <c r="H58" i="19"/>
  <c r="H57" i="19"/>
  <c r="H56" i="19"/>
  <c r="H55" i="19"/>
  <c r="H54" i="19"/>
  <c r="H53" i="19"/>
  <c r="H52" i="19"/>
  <c r="H51" i="19"/>
  <c r="H85" i="19"/>
  <c r="H81" i="19"/>
  <c r="H77" i="19"/>
  <c r="H109" i="19"/>
  <c r="H105" i="19"/>
  <c r="H10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73" i="19"/>
  <c r="H84" i="19"/>
  <c r="H80" i="19"/>
  <c r="H76" i="19"/>
  <c r="H108" i="19"/>
  <c r="H104" i="19"/>
  <c r="H100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75" i="19"/>
  <c r="H83" i="19"/>
  <c r="H79" i="19"/>
  <c r="H107" i="19"/>
  <c r="H103" i="19"/>
  <c r="H72" i="19"/>
  <c r="H71" i="19"/>
  <c r="H70" i="19"/>
  <c r="H69" i="19"/>
  <c r="H68" i="19"/>
  <c r="H67" i="19"/>
  <c r="H66" i="19"/>
  <c r="H65" i="19"/>
  <c r="H64" i="19"/>
  <c r="H63" i="19"/>
  <c r="H86" i="19"/>
  <c r="H82" i="19"/>
  <c r="H78" i="19"/>
  <c r="H110" i="19"/>
  <c r="H106" i="19"/>
  <c r="H102" i="19"/>
  <c r="H4" i="17"/>
  <c r="E5" i="18"/>
  <c r="B205" i="19"/>
  <c r="B201" i="19"/>
  <c r="B9" i="9" s="1"/>
  <c r="B202" i="19"/>
  <c r="B204" i="19"/>
  <c r="B200" i="19"/>
  <c r="B203" i="19"/>
  <c r="H258" i="19" l="1"/>
  <c r="H257" i="19"/>
  <c r="H248" i="19"/>
  <c r="H256" i="19"/>
  <c r="H239" i="19"/>
  <c r="H245" i="19"/>
  <c r="H254" i="19"/>
  <c r="H95" i="19"/>
  <c r="H241" i="19"/>
  <c r="H252" i="19"/>
  <c r="H251" i="19"/>
  <c r="H91" i="19"/>
  <c r="H94" i="19"/>
  <c r="H242" i="19"/>
  <c r="H92" i="19"/>
  <c r="H87" i="19"/>
  <c r="H247" i="19"/>
  <c r="J13" i="17"/>
  <c r="C14" i="17"/>
  <c r="C15" i="17" s="1"/>
  <c r="H93" i="19"/>
  <c r="H255" i="19"/>
  <c r="H97" i="19"/>
  <c r="H98" i="19"/>
  <c r="H244" i="19"/>
  <c r="H240" i="19"/>
  <c r="H246" i="19"/>
  <c r="H88" i="19"/>
  <c r="H253" i="19"/>
  <c r="H243" i="19"/>
  <c r="H238" i="19"/>
  <c r="H250" i="19"/>
  <c r="H237" i="19"/>
  <c r="G169" i="19"/>
  <c r="G259" i="19"/>
  <c r="H259" i="19" s="1"/>
  <c r="H151" i="19"/>
  <c r="C163" i="19"/>
  <c r="H147" i="19"/>
  <c r="C159" i="19"/>
  <c r="H99" i="19"/>
  <c r="H208" i="19" s="1"/>
  <c r="H202" i="19"/>
  <c r="H203" i="19"/>
  <c r="H205" i="19"/>
  <c r="K56" i="9"/>
  <c r="H204" i="19"/>
  <c r="K50" i="9"/>
  <c r="H206" i="19"/>
  <c r="I52" i="9"/>
  <c r="H123" i="19"/>
  <c r="H89" i="19"/>
  <c r="H118" i="19"/>
  <c r="H115" i="19"/>
  <c r="H51" i="9"/>
  <c r="H112" i="19"/>
  <c r="H113" i="19"/>
  <c r="H114" i="19"/>
  <c r="H116" i="19"/>
  <c r="H119" i="19"/>
  <c r="H117" i="19"/>
  <c r="B17" i="9"/>
  <c r="F17" i="9" s="1"/>
  <c r="C144" i="19"/>
  <c r="C156" i="19" s="1"/>
  <c r="D146" i="19"/>
  <c r="D158" i="19" s="1"/>
  <c r="D170" i="19" s="1"/>
  <c r="D182" i="19" s="1"/>
  <c r="D194" i="19" s="1"/>
  <c r="C141" i="19"/>
  <c r="C153" i="19" s="1"/>
  <c r="C138" i="19"/>
  <c r="C150" i="19" s="1"/>
  <c r="B14" i="9"/>
  <c r="F14" i="9" s="1"/>
  <c r="C145" i="19"/>
  <c r="C157" i="19" s="1"/>
  <c r="C137" i="19"/>
  <c r="C149" i="19" s="1"/>
  <c r="D144" i="19"/>
  <c r="D156" i="19" s="1"/>
  <c r="D168" i="19" s="1"/>
  <c r="D180" i="19" s="1"/>
  <c r="D192" i="19" s="1"/>
  <c r="C143" i="19"/>
  <c r="C155" i="19" s="1"/>
  <c r="B15" i="9"/>
  <c r="F15" i="9" s="1"/>
  <c r="D145" i="19"/>
  <c r="D157" i="19" s="1"/>
  <c r="D169" i="19" s="1"/>
  <c r="D181" i="19" s="1"/>
  <c r="D193" i="19" s="1"/>
  <c r="C142" i="19"/>
  <c r="C154" i="19" s="1"/>
  <c r="B16" i="9"/>
  <c r="F16" i="9" s="1"/>
  <c r="C140" i="19"/>
  <c r="C152" i="19" s="1"/>
  <c r="C136" i="19"/>
  <c r="C148" i="19" s="1"/>
  <c r="C146" i="19"/>
  <c r="C158" i="19" s="1"/>
  <c r="H52" i="9"/>
  <c r="I50" i="9"/>
  <c r="H53" i="9"/>
  <c r="H54" i="9"/>
  <c r="M49" i="9"/>
  <c r="H50" i="9"/>
  <c r="M51" i="9"/>
  <c r="J50" i="9"/>
  <c r="M52" i="9"/>
  <c r="L49" i="9"/>
  <c r="L60" i="9" s="1"/>
  <c r="L58" i="9" s="1"/>
  <c r="L41" i="9" s="1"/>
  <c r="L42" i="9" s="1"/>
  <c r="I53" i="9"/>
  <c r="I54" i="9"/>
  <c r="J51" i="9"/>
  <c r="J52" i="9"/>
  <c r="I51" i="9"/>
  <c r="N60" i="9"/>
  <c r="N58" i="9" s="1"/>
  <c r="N41" i="9" s="1"/>
  <c r="N42" i="9" s="1"/>
  <c r="I49" i="9"/>
  <c r="J49" i="9"/>
  <c r="M50" i="9"/>
  <c r="K51" i="9"/>
  <c r="F9" i="9"/>
  <c r="B31" i="18"/>
  <c r="B217" i="19"/>
  <c r="H49" i="9"/>
  <c r="B10" i="9"/>
  <c r="F10" i="9" s="1"/>
  <c r="B8" i="9"/>
  <c r="F8" i="9" s="1"/>
  <c r="B13" i="9"/>
  <c r="F13" i="9" s="1"/>
  <c r="D9" i="9"/>
  <c r="E9" i="9" s="1"/>
  <c r="B12" i="9"/>
  <c r="F12" i="9" s="1"/>
  <c r="B11" i="9"/>
  <c r="F11" i="9" s="1"/>
  <c r="C8" i="9"/>
  <c r="I248" i="19" l="1"/>
  <c r="H207" i="19"/>
  <c r="C16" i="17"/>
  <c r="J15" i="17"/>
  <c r="G170" i="19"/>
  <c r="G260" i="19"/>
  <c r="H260" i="19" s="1"/>
  <c r="N64" i="9"/>
  <c r="N43" i="9"/>
  <c r="L43" i="9"/>
  <c r="C168" i="19"/>
  <c r="H156" i="19"/>
  <c r="H159" i="19"/>
  <c r="C171" i="19"/>
  <c r="H150" i="19"/>
  <c r="C162" i="19"/>
  <c r="H158" i="19"/>
  <c r="C170" i="19"/>
  <c r="H157" i="19"/>
  <c r="C169" i="19"/>
  <c r="H153" i="19"/>
  <c r="C165" i="19"/>
  <c r="H163" i="19"/>
  <c r="C175" i="19"/>
  <c r="C164" i="19"/>
  <c r="H152" i="19"/>
  <c r="H149" i="19"/>
  <c r="C161" i="19"/>
  <c r="C160" i="19"/>
  <c r="H148" i="19"/>
  <c r="C166" i="19"/>
  <c r="H154" i="19"/>
  <c r="H155" i="19"/>
  <c r="C167" i="19"/>
  <c r="K60" i="9"/>
  <c r="K58" i="9" s="1"/>
  <c r="K41" i="9" s="1"/>
  <c r="K42" i="9" s="1"/>
  <c r="H122" i="19"/>
  <c r="I60" i="9"/>
  <c r="I58" i="9" s="1"/>
  <c r="I41" i="9" s="1"/>
  <c r="I42" i="9" s="1"/>
  <c r="J60" i="9"/>
  <c r="J58" i="9" s="1"/>
  <c r="J41" i="9" s="1"/>
  <c r="J42" i="9" s="1"/>
  <c r="H121" i="19"/>
  <c r="C16" i="9"/>
  <c r="D16" i="9" s="1"/>
  <c r="E16" i="9" s="1"/>
  <c r="H120" i="19"/>
  <c r="H60" i="9"/>
  <c r="H58" i="9" s="1"/>
  <c r="H41" i="9" s="1"/>
  <c r="H42" i="9" s="1"/>
  <c r="M60" i="9"/>
  <c r="M58" i="9" s="1"/>
  <c r="M41" i="9" s="1"/>
  <c r="M42" i="9" s="1"/>
  <c r="F26" i="9"/>
  <c r="C11" i="9"/>
  <c r="D11" i="9" s="1"/>
  <c r="E11" i="9" s="1"/>
  <c r="D8" i="9"/>
  <c r="E8" i="9" s="1"/>
  <c r="C12" i="9"/>
  <c r="D12" i="9" s="1"/>
  <c r="E12" i="9" s="1"/>
  <c r="C10" i="9"/>
  <c r="D10" i="9" s="1"/>
  <c r="E10" i="9" s="1"/>
  <c r="C13" i="9"/>
  <c r="D13" i="9" s="1"/>
  <c r="E13" i="9" s="1"/>
  <c r="C17" i="17" l="1"/>
  <c r="J16" i="17"/>
  <c r="G171" i="19"/>
  <c r="G261" i="19"/>
  <c r="H261" i="19" s="1"/>
  <c r="I261" i="19" s="1"/>
  <c r="K16" i="17"/>
  <c r="C20" i="9"/>
  <c r="G20" i="9" s="1"/>
  <c r="G73" i="9" s="1"/>
  <c r="N81" i="9"/>
  <c r="N65" i="9"/>
  <c r="N44" i="9"/>
  <c r="K43" i="9"/>
  <c r="J43" i="9"/>
  <c r="J64" i="9"/>
  <c r="L44" i="9"/>
  <c r="I43" i="9"/>
  <c r="I64" i="9"/>
  <c r="M43" i="9"/>
  <c r="H43" i="9"/>
  <c r="H64" i="9"/>
  <c r="H134" i="19"/>
  <c r="H165" i="19"/>
  <c r="C177" i="19"/>
  <c r="H161" i="19"/>
  <c r="C173" i="19"/>
  <c r="C187" i="19"/>
  <c r="H169" i="19"/>
  <c r="C181" i="19"/>
  <c r="C174" i="19"/>
  <c r="H162" i="19"/>
  <c r="H167" i="19"/>
  <c r="C179" i="19"/>
  <c r="C182" i="19"/>
  <c r="H170" i="19"/>
  <c r="C183" i="19"/>
  <c r="H160" i="19"/>
  <c r="C172" i="19"/>
  <c r="C176" i="19"/>
  <c r="H164" i="19"/>
  <c r="H166" i="19"/>
  <c r="C178" i="19"/>
  <c r="C180" i="19"/>
  <c r="H168" i="19"/>
  <c r="H209" i="19"/>
  <c r="H217" i="19" s="1"/>
  <c r="D33" i="17"/>
  <c r="H130" i="19"/>
  <c r="H125" i="19"/>
  <c r="H132" i="19"/>
  <c r="H124" i="19"/>
  <c r="H126" i="19"/>
  <c r="H131" i="19"/>
  <c r="H128" i="19"/>
  <c r="N63" i="9"/>
  <c r="N80" i="9" s="1"/>
  <c r="C18" i="17" l="1"/>
  <c r="J17" i="17"/>
  <c r="H171" i="19"/>
  <c r="G263" i="19"/>
  <c r="H263" i="19" s="1"/>
  <c r="G172" i="19"/>
  <c r="H172" i="19" s="1"/>
  <c r="H81" i="9"/>
  <c r="I81" i="9"/>
  <c r="J81" i="9"/>
  <c r="N82" i="9"/>
  <c r="N66" i="9"/>
  <c r="N45" i="9"/>
  <c r="I44" i="9"/>
  <c r="I65" i="9"/>
  <c r="H44" i="9"/>
  <c r="H65" i="9"/>
  <c r="J44" i="9"/>
  <c r="J65" i="9"/>
  <c r="M44" i="9"/>
  <c r="L45" i="9"/>
  <c r="K44" i="9"/>
  <c r="H133" i="19"/>
  <c r="H127" i="19"/>
  <c r="H129" i="19"/>
  <c r="K13" i="17"/>
  <c r="C190" i="19"/>
  <c r="C189" i="19"/>
  <c r="C194" i="19"/>
  <c r="C186" i="19"/>
  <c r="C191" i="19"/>
  <c r="C193" i="19"/>
  <c r="C185" i="19"/>
  <c r="C192" i="19"/>
  <c r="C188" i="19"/>
  <c r="C184" i="19"/>
  <c r="H12" i="17"/>
  <c r="H63" i="9"/>
  <c r="G224" i="19"/>
  <c r="H224" i="19" s="1"/>
  <c r="H135" i="19"/>
  <c r="C17" i="9"/>
  <c r="D17" i="9" s="1"/>
  <c r="E17" i="9" s="1"/>
  <c r="J18" i="17" l="1"/>
  <c r="G173" i="19"/>
  <c r="G264" i="19"/>
  <c r="H264" i="19" s="1"/>
  <c r="C21" i="9"/>
  <c r="G21" i="9" s="1"/>
  <c r="G74" i="9" s="1"/>
  <c r="H80" i="9"/>
  <c r="J82" i="9"/>
  <c r="H82" i="9"/>
  <c r="I82" i="9"/>
  <c r="N83" i="9"/>
  <c r="N67" i="9"/>
  <c r="N46" i="9"/>
  <c r="N68" i="9" s="1"/>
  <c r="K45" i="9"/>
  <c r="H45" i="9"/>
  <c r="H66" i="9"/>
  <c r="L46" i="9"/>
  <c r="J45" i="9"/>
  <c r="J66" i="9"/>
  <c r="I45" i="9"/>
  <c r="I66" i="9"/>
  <c r="M45" i="9"/>
  <c r="H210" i="19"/>
  <c r="D94" i="34"/>
  <c r="F94" i="34" s="1"/>
  <c r="H136" i="19"/>
  <c r="G225" i="19"/>
  <c r="H225" i="19" s="1"/>
  <c r="G174" i="19" l="1"/>
  <c r="G265" i="19"/>
  <c r="H265" i="19" s="1"/>
  <c r="H173" i="19"/>
  <c r="J83" i="9"/>
  <c r="N85" i="9"/>
  <c r="N84" i="9"/>
  <c r="I83" i="9"/>
  <c r="H83" i="9"/>
  <c r="M46" i="9"/>
  <c r="J46" i="9"/>
  <c r="J68" i="9" s="1"/>
  <c r="J67" i="9"/>
  <c r="H46" i="9"/>
  <c r="H68" i="9" s="1"/>
  <c r="H67" i="9"/>
  <c r="I46" i="9"/>
  <c r="I68" i="9" s="1"/>
  <c r="I67" i="9"/>
  <c r="K46" i="9"/>
  <c r="C18" i="9"/>
  <c r="D95" i="34"/>
  <c r="F95" i="34" s="1"/>
  <c r="F96" i="34" s="1"/>
  <c r="B93" i="34" s="1"/>
  <c r="I63" i="9"/>
  <c r="J63" i="9"/>
  <c r="G226" i="19"/>
  <c r="H226" i="19" s="1"/>
  <c r="H137" i="19"/>
  <c r="G175" i="19" l="1"/>
  <c r="G266" i="19"/>
  <c r="H266" i="19" s="1"/>
  <c r="H174" i="19"/>
  <c r="I80" i="9"/>
  <c r="H84" i="9"/>
  <c r="H85" i="9"/>
  <c r="J80" i="9"/>
  <c r="I84" i="9"/>
  <c r="J84" i="9"/>
  <c r="I85" i="9"/>
  <c r="J85" i="9"/>
  <c r="G227" i="19"/>
  <c r="H227" i="19" s="1"/>
  <c r="H138" i="19"/>
  <c r="G267" i="19" l="1"/>
  <c r="H267" i="19" s="1"/>
  <c r="H175" i="19"/>
  <c r="G176" i="19"/>
  <c r="G228" i="19"/>
  <c r="H228" i="19" s="1"/>
  <c r="H139" i="19"/>
  <c r="G268" i="19" l="1"/>
  <c r="H268" i="19" s="1"/>
  <c r="G177" i="19"/>
  <c r="H176" i="19"/>
  <c r="H140" i="19"/>
  <c r="G229" i="19"/>
  <c r="H229" i="19" s="1"/>
  <c r="G269" i="19" l="1"/>
  <c r="H269" i="19" s="1"/>
  <c r="G178" i="19"/>
  <c r="H177" i="19"/>
  <c r="H141" i="19"/>
  <c r="G230" i="19"/>
  <c r="H230" i="19" s="1"/>
  <c r="G270" i="19" l="1"/>
  <c r="H270" i="19" s="1"/>
  <c r="G179" i="19"/>
  <c r="H178" i="19"/>
  <c r="G231" i="19"/>
  <c r="H231" i="19" s="1"/>
  <c r="H142" i="19"/>
  <c r="G271" i="19" l="1"/>
  <c r="H271" i="19" s="1"/>
  <c r="H179" i="19"/>
  <c r="G180" i="19"/>
  <c r="G232" i="19"/>
  <c r="H232" i="19" s="1"/>
  <c r="H143" i="19"/>
  <c r="C14" i="9"/>
  <c r="D14" i="9" s="1"/>
  <c r="E14" i="9" s="1"/>
  <c r="G18" i="9"/>
  <c r="G71" i="9" s="1"/>
  <c r="G272" i="19" l="1"/>
  <c r="H272" i="19" s="1"/>
  <c r="G181" i="19"/>
  <c r="H180" i="19"/>
  <c r="G233" i="19"/>
  <c r="H233" i="19" s="1"/>
  <c r="H144" i="19"/>
  <c r="G273" i="19" l="1"/>
  <c r="H273" i="19" s="1"/>
  <c r="H181" i="19"/>
  <c r="G182" i="19"/>
  <c r="G234" i="19"/>
  <c r="H234" i="19" s="1"/>
  <c r="H145" i="19"/>
  <c r="G274" i="19" l="1"/>
  <c r="H274" i="19" s="1"/>
  <c r="I274" i="19" s="1"/>
  <c r="G183" i="19"/>
  <c r="H182" i="19"/>
  <c r="K17" i="17"/>
  <c r="G235" i="19"/>
  <c r="H235" i="19" s="1"/>
  <c r="I235" i="19" s="1"/>
  <c r="H146" i="19"/>
  <c r="C22" i="9" l="1"/>
  <c r="G22" i="9" s="1"/>
  <c r="G75" i="9" s="1"/>
  <c r="G276" i="19"/>
  <c r="H276" i="19" s="1"/>
  <c r="G184" i="19"/>
  <c r="H183" i="19"/>
  <c r="G277" i="19" l="1"/>
  <c r="H277" i="19" s="1"/>
  <c r="H184" i="19"/>
  <c r="G185" i="19"/>
  <c r="C19" i="9"/>
  <c r="G19" i="9" s="1"/>
  <c r="G72" i="9" s="1"/>
  <c r="G278" i="19" l="1"/>
  <c r="H278" i="19" s="1"/>
  <c r="H185" i="19"/>
  <c r="G186" i="19"/>
  <c r="D94" i="32"/>
  <c r="F94" i="32" s="1"/>
  <c r="C15" i="9"/>
  <c r="D15" i="9" s="1"/>
  <c r="E15" i="9" s="1"/>
  <c r="G279" i="19" l="1"/>
  <c r="H279" i="19" s="1"/>
  <c r="G187" i="19"/>
  <c r="H186" i="19"/>
  <c r="J14" i="17"/>
  <c r="D95" i="32"/>
  <c r="I217" i="19"/>
  <c r="F95" i="32" l="1"/>
  <c r="F96" i="32" s="1"/>
  <c r="B93" i="32" s="1"/>
  <c r="G280" i="19"/>
  <c r="H280" i="19" s="1"/>
  <c r="G188" i="19"/>
  <c r="H187" i="19"/>
  <c r="E33" i="17"/>
  <c r="E13" i="17" s="1"/>
  <c r="F33" i="17"/>
  <c r="F13" i="17" s="1"/>
  <c r="G33" i="17"/>
  <c r="G13" i="17" s="1"/>
  <c r="G281" i="19" l="1"/>
  <c r="H281" i="19" s="1"/>
  <c r="G189" i="19"/>
  <c r="H188" i="19"/>
  <c r="G14" i="17"/>
  <c r="M63" i="9"/>
  <c r="F14" i="17"/>
  <c r="L63" i="9"/>
  <c r="E14" i="17"/>
  <c r="K63" i="9"/>
  <c r="H13" i="17"/>
  <c r="G282" i="19" l="1"/>
  <c r="H282" i="19" s="1"/>
  <c r="G190" i="19"/>
  <c r="H189" i="19"/>
  <c r="K80" i="9"/>
  <c r="G63" i="9"/>
  <c r="G80" i="9" s="1"/>
  <c r="O63" i="9"/>
  <c r="W63" i="9" s="1"/>
  <c r="F15" i="17"/>
  <c r="L64" i="9"/>
  <c r="E15" i="17"/>
  <c r="K64" i="9"/>
  <c r="H14" i="17"/>
  <c r="M80" i="9"/>
  <c r="L80" i="9"/>
  <c r="G15" i="17"/>
  <c r="M64" i="9"/>
  <c r="X63" i="9" l="1"/>
  <c r="G283" i="19"/>
  <c r="H283" i="19" s="1"/>
  <c r="H190" i="19"/>
  <c r="G191" i="19"/>
  <c r="G16" i="17"/>
  <c r="M65" i="9"/>
  <c r="L81" i="9"/>
  <c r="O80" i="9"/>
  <c r="K88" i="9" s="1"/>
  <c r="K71" i="9" s="1"/>
  <c r="O64" i="9"/>
  <c r="W64" i="9" s="1"/>
  <c r="G64" i="9"/>
  <c r="G81" i="9" s="1"/>
  <c r="K81" i="9"/>
  <c r="F16" i="17"/>
  <c r="L65" i="9"/>
  <c r="M81" i="9"/>
  <c r="E16" i="17"/>
  <c r="H15" i="17"/>
  <c r="K65" i="9"/>
  <c r="V63" i="9"/>
  <c r="Y63" i="9"/>
  <c r="S63" i="9"/>
  <c r="U63" i="9"/>
  <c r="T63" i="9"/>
  <c r="L88" i="9" l="1"/>
  <c r="L71" i="9" s="1"/>
  <c r="X64" i="9"/>
  <c r="G284" i="19"/>
  <c r="H284" i="19" s="1"/>
  <c r="H191" i="19"/>
  <c r="G192" i="19"/>
  <c r="F17" i="17"/>
  <c r="L66" i="9"/>
  <c r="D12" i="18"/>
  <c r="C5" i="34" s="1"/>
  <c r="B5" i="34"/>
  <c r="K82" i="9"/>
  <c r="G65" i="9"/>
  <c r="G82" i="9" s="1"/>
  <c r="O65" i="9"/>
  <c r="X65" i="9" s="1"/>
  <c r="M82" i="9"/>
  <c r="C12" i="18"/>
  <c r="C6" i="34" s="1"/>
  <c r="B6" i="34"/>
  <c r="E17" i="17"/>
  <c r="H16" i="17"/>
  <c r="K66" i="9"/>
  <c r="L82" i="9"/>
  <c r="V64" i="9"/>
  <c r="Y64" i="9"/>
  <c r="S64" i="9"/>
  <c r="U64" i="9"/>
  <c r="T64" i="9"/>
  <c r="I88" i="9"/>
  <c r="I71" i="9" s="1"/>
  <c r="H88" i="9"/>
  <c r="N88" i="9"/>
  <c r="N71" i="9" s="1"/>
  <c r="J88" i="9"/>
  <c r="J71" i="9" s="1"/>
  <c r="M88" i="9"/>
  <c r="M71" i="9" s="1"/>
  <c r="O81" i="9"/>
  <c r="K89" i="9" s="1"/>
  <c r="K72" i="9" s="1"/>
  <c r="G17" i="17"/>
  <c r="M66" i="9"/>
  <c r="W65" i="9" l="1"/>
  <c r="B16" i="34"/>
  <c r="D16" i="34" s="1"/>
  <c r="M89" i="9"/>
  <c r="M72" i="9" s="1"/>
  <c r="B17" i="34"/>
  <c r="D17" i="34" s="1"/>
  <c r="D86" i="34"/>
  <c r="F86" i="34" s="1"/>
  <c r="D36" i="34"/>
  <c r="D37" i="34"/>
  <c r="D87" i="34"/>
  <c r="F87" i="34" s="1"/>
  <c r="G285" i="19"/>
  <c r="H285" i="19" s="1"/>
  <c r="G193" i="19"/>
  <c r="H192" i="19"/>
  <c r="H71" i="9"/>
  <c r="O88" i="9"/>
  <c r="E18" i="17"/>
  <c r="H17" i="17"/>
  <c r="K67" i="9"/>
  <c r="C13" i="18"/>
  <c r="C6" i="32" s="1"/>
  <c r="B6" i="32"/>
  <c r="B7" i="34"/>
  <c r="B3" i="34"/>
  <c r="O82" i="9"/>
  <c r="M90" i="9" s="1"/>
  <c r="M73" i="9" s="1"/>
  <c r="N89" i="9"/>
  <c r="N72" i="9" s="1"/>
  <c r="I89" i="9"/>
  <c r="I72" i="9" s="1"/>
  <c r="J89" i="9"/>
  <c r="J72" i="9" s="1"/>
  <c r="H89" i="9"/>
  <c r="B12" i="18"/>
  <c r="B4" i="34"/>
  <c r="B15" i="34" s="1"/>
  <c r="K83" i="9"/>
  <c r="O66" i="9"/>
  <c r="V66" i="9" s="1"/>
  <c r="G66" i="9"/>
  <c r="G83" i="9" s="1"/>
  <c r="M83" i="9"/>
  <c r="L89" i="9"/>
  <c r="L72" i="9" s="1"/>
  <c r="Y65" i="9"/>
  <c r="T65" i="9"/>
  <c r="U65" i="9"/>
  <c r="S65" i="9"/>
  <c r="V65" i="9"/>
  <c r="L83" i="9"/>
  <c r="G18" i="17"/>
  <c r="M67" i="9"/>
  <c r="F18" i="17"/>
  <c r="L67" i="9"/>
  <c r="K90" i="9" l="1"/>
  <c r="K73" i="9" s="1"/>
  <c r="B26" i="34"/>
  <c r="D26" i="34" s="1"/>
  <c r="F26" i="34" s="1"/>
  <c r="B18" i="34"/>
  <c r="D18" i="34" s="1"/>
  <c r="D88" i="34"/>
  <c r="F88" i="34" s="1"/>
  <c r="F17" i="34"/>
  <c r="L68" i="9"/>
  <c r="L85" i="9" s="1"/>
  <c r="W66" i="9"/>
  <c r="D46" i="34"/>
  <c r="F46" i="34" s="1"/>
  <c r="F36" i="34"/>
  <c r="M68" i="9"/>
  <c r="M85" i="9" s="1"/>
  <c r="L90" i="9"/>
  <c r="L73" i="9" s="1"/>
  <c r="D15" i="34"/>
  <c r="B25" i="34"/>
  <c r="D25" i="34" s="1"/>
  <c r="F25" i="34" s="1"/>
  <c r="B14" i="34"/>
  <c r="D14" i="34" s="1"/>
  <c r="D84" i="34"/>
  <c r="F84" i="34" s="1"/>
  <c r="D47" i="34"/>
  <c r="F47" i="34" s="1"/>
  <c r="F37" i="34"/>
  <c r="B27" i="34"/>
  <c r="D27" i="34" s="1"/>
  <c r="F27" i="34" s="1"/>
  <c r="F16" i="34"/>
  <c r="D56" i="34"/>
  <c r="G286" i="19"/>
  <c r="H286" i="19" s="1"/>
  <c r="G194" i="19"/>
  <c r="H193" i="19"/>
  <c r="K18" i="17"/>
  <c r="E12" i="18"/>
  <c r="C4" i="34"/>
  <c r="L84" i="9"/>
  <c r="M84" i="9"/>
  <c r="H72" i="9"/>
  <c r="O89" i="9"/>
  <c r="C14" i="18"/>
  <c r="B17" i="32"/>
  <c r="D17" i="32" s="1"/>
  <c r="O67" i="9"/>
  <c r="W67" i="9" s="1"/>
  <c r="G67" i="9"/>
  <c r="G84" i="9" s="1"/>
  <c r="K84" i="9"/>
  <c r="O71" i="9"/>
  <c r="S71" i="9" s="1"/>
  <c r="B2" i="34"/>
  <c r="X66" i="9"/>
  <c r="Y66" i="9"/>
  <c r="T66" i="9"/>
  <c r="S66" i="9"/>
  <c r="U66" i="9"/>
  <c r="B13" i="18"/>
  <c r="B4" i="32"/>
  <c r="J90" i="9"/>
  <c r="J73" i="9" s="1"/>
  <c r="I90" i="9"/>
  <c r="I73" i="9" s="1"/>
  <c r="H90" i="9"/>
  <c r="N90" i="9"/>
  <c r="N73" i="9" s="1"/>
  <c r="D13" i="18"/>
  <c r="B5" i="32"/>
  <c r="O83" i="9"/>
  <c r="K91" i="9" s="1"/>
  <c r="K74" i="9" s="1"/>
  <c r="D37" i="32"/>
  <c r="D87" i="32"/>
  <c r="F87" i="32" s="1"/>
  <c r="H18" i="17"/>
  <c r="K68" i="9"/>
  <c r="V67" i="9" l="1"/>
  <c r="B24" i="34"/>
  <c r="D24" i="34" s="1"/>
  <c r="F24" i="34" s="1"/>
  <c r="B28" i="34"/>
  <c r="D28" i="34" s="1"/>
  <c r="F28" i="34" s="1"/>
  <c r="D14" i="18"/>
  <c r="D66" i="34"/>
  <c r="F56" i="34"/>
  <c r="B3" i="32"/>
  <c r="D84" i="32" s="1"/>
  <c r="F84" i="32" s="1"/>
  <c r="B7" i="32"/>
  <c r="D35" i="34"/>
  <c r="D85" i="34"/>
  <c r="F85" i="34" s="1"/>
  <c r="C8" i="34"/>
  <c r="F15" i="34"/>
  <c r="D55" i="34"/>
  <c r="D57" i="34"/>
  <c r="F18" i="34"/>
  <c r="B13" i="34"/>
  <c r="B23" i="34" s="1"/>
  <c r="D83" i="34"/>
  <c r="B8" i="34"/>
  <c r="F14" i="34"/>
  <c r="D54" i="34"/>
  <c r="G287" i="19"/>
  <c r="H287" i="19" s="1"/>
  <c r="I287" i="19" s="1"/>
  <c r="H194" i="19"/>
  <c r="H196" i="19" s="1"/>
  <c r="B27" i="32"/>
  <c r="D27" i="32" s="1"/>
  <c r="F27" i="32" s="1"/>
  <c r="C15" i="18"/>
  <c r="O84" i="9"/>
  <c r="K92" i="9" s="1"/>
  <c r="K75" i="9" s="1"/>
  <c r="L91" i="9"/>
  <c r="L74" i="9" s="1"/>
  <c r="C5" i="32"/>
  <c r="B15" i="32"/>
  <c r="K85" i="9"/>
  <c r="G68" i="9"/>
  <c r="O68" i="9"/>
  <c r="H73" i="9"/>
  <c r="O90" i="9"/>
  <c r="B16" i="32"/>
  <c r="D16" i="32" s="1"/>
  <c r="E13" i="18"/>
  <c r="C4" i="32"/>
  <c r="I91" i="9"/>
  <c r="I74" i="9" s="1"/>
  <c r="N91" i="9"/>
  <c r="N74" i="9" s="1"/>
  <c r="J91" i="9"/>
  <c r="J74" i="9" s="1"/>
  <c r="H91" i="9"/>
  <c r="B14" i="18"/>
  <c r="O72" i="9"/>
  <c r="S72" i="9" s="1"/>
  <c r="F37" i="32"/>
  <c r="D47" i="32"/>
  <c r="F47" i="32" s="1"/>
  <c r="M91" i="9"/>
  <c r="M74" i="9" s="1"/>
  <c r="P71" i="9"/>
  <c r="Q71" i="9" s="1"/>
  <c r="V71" i="9"/>
  <c r="W71" i="9"/>
  <c r="U71" i="9"/>
  <c r="Y71" i="9"/>
  <c r="T71" i="9"/>
  <c r="X71" i="9"/>
  <c r="Y67" i="9"/>
  <c r="U67" i="9"/>
  <c r="S67" i="9"/>
  <c r="T67" i="9"/>
  <c r="F17" i="32"/>
  <c r="X67" i="9"/>
  <c r="D34" i="34" l="1"/>
  <c r="D38" i="34"/>
  <c r="D48" i="34" s="1"/>
  <c r="F48" i="34" s="1"/>
  <c r="B14" i="32"/>
  <c r="D14" i="32" s="1"/>
  <c r="D58" i="34"/>
  <c r="F58" i="34" s="1"/>
  <c r="D15" i="32"/>
  <c r="F15" i="32" s="1"/>
  <c r="B25" i="32"/>
  <c r="D44" i="34"/>
  <c r="F44" i="34" s="1"/>
  <c r="F34" i="34"/>
  <c r="D23" i="34"/>
  <c r="B29" i="34"/>
  <c r="F38" i="34"/>
  <c r="D64" i="34"/>
  <c r="F54" i="34"/>
  <c r="F83" i="34"/>
  <c r="F89" i="34" s="1"/>
  <c r="B99" i="34" s="1"/>
  <c r="D89" i="34"/>
  <c r="D65" i="34"/>
  <c r="F55" i="34"/>
  <c r="D45" i="34"/>
  <c r="F45" i="34" s="1"/>
  <c r="F35" i="34"/>
  <c r="F66" i="34"/>
  <c r="D76" i="34"/>
  <c r="F76" i="34" s="1"/>
  <c r="M92" i="9"/>
  <c r="M75" i="9" s="1"/>
  <c r="D13" i="34"/>
  <c r="B19" i="34"/>
  <c r="D67" i="34"/>
  <c r="F57" i="34"/>
  <c r="D68" i="34"/>
  <c r="B18" i="32"/>
  <c r="D88" i="32"/>
  <c r="F88" i="32" s="1"/>
  <c r="C23" i="9"/>
  <c r="G23" i="9" s="1"/>
  <c r="G76" i="9" s="1"/>
  <c r="G85" i="9" s="1"/>
  <c r="E14" i="18"/>
  <c r="B26" i="32"/>
  <c r="D26" i="32" s="1"/>
  <c r="F26" i="32" s="1"/>
  <c r="D57" i="32"/>
  <c r="F57" i="32" s="1"/>
  <c r="D25" i="32"/>
  <c r="F25" i="32" s="1"/>
  <c r="V68" i="9"/>
  <c r="Y68" i="9"/>
  <c r="S68" i="9"/>
  <c r="T68" i="9"/>
  <c r="U68" i="9"/>
  <c r="X68" i="9"/>
  <c r="W68" i="9"/>
  <c r="D15" i="18"/>
  <c r="H74" i="9"/>
  <c r="O91" i="9"/>
  <c r="C16" i="18"/>
  <c r="P72" i="9"/>
  <c r="Q72" i="9" s="1"/>
  <c r="X72" i="9"/>
  <c r="V72" i="9"/>
  <c r="Y72" i="9"/>
  <c r="T72" i="9"/>
  <c r="W72" i="9"/>
  <c r="U72" i="9"/>
  <c r="B15" i="18"/>
  <c r="D85" i="32"/>
  <c r="F85" i="32" s="1"/>
  <c r="D35" i="32"/>
  <c r="C8" i="32"/>
  <c r="F16" i="32"/>
  <c r="O85" i="9"/>
  <c r="F14" i="32"/>
  <c r="L92" i="9"/>
  <c r="L75" i="9" s="1"/>
  <c r="H92" i="9"/>
  <c r="I92" i="9"/>
  <c r="I75" i="9" s="1"/>
  <c r="N92" i="9"/>
  <c r="N75" i="9" s="1"/>
  <c r="J92" i="9"/>
  <c r="J75" i="9" s="1"/>
  <c r="O73" i="9"/>
  <c r="D36" i="32"/>
  <c r="D86" i="32"/>
  <c r="F86" i="32" s="1"/>
  <c r="K93" i="9" l="1"/>
  <c r="K76" i="9" s="1"/>
  <c r="B24" i="32"/>
  <c r="D24" i="32" s="1"/>
  <c r="F24" i="32" s="1"/>
  <c r="F68" i="34"/>
  <c r="D78" i="34"/>
  <c r="F78" i="34" s="1"/>
  <c r="D19" i="34"/>
  <c r="F13" i="34"/>
  <c r="F19" i="34" s="1"/>
  <c r="D33" i="34"/>
  <c r="D53" i="34"/>
  <c r="F23" i="34"/>
  <c r="F29" i="34" s="1"/>
  <c r="D29" i="34"/>
  <c r="B2" i="32"/>
  <c r="B8" i="32" s="1"/>
  <c r="F65" i="34"/>
  <c r="D75" i="34"/>
  <c r="F75" i="34" s="1"/>
  <c r="F64" i="34"/>
  <c r="D74" i="34"/>
  <c r="F74" i="34" s="1"/>
  <c r="H219" i="19"/>
  <c r="I219" i="19" s="1"/>
  <c r="D18" i="32"/>
  <c r="B28" i="32"/>
  <c r="D28" i="32" s="1"/>
  <c r="F28" i="32" s="1"/>
  <c r="F67" i="34"/>
  <c r="D77" i="34"/>
  <c r="F77" i="34" s="1"/>
  <c r="S73" i="9"/>
  <c r="D56" i="32"/>
  <c r="D66" i="32" s="1"/>
  <c r="D67" i="32"/>
  <c r="D34" i="32"/>
  <c r="D44" i="32" s="1"/>
  <c r="F44" i="32" s="1"/>
  <c r="D55" i="32"/>
  <c r="F55" i="32" s="1"/>
  <c r="D54" i="32"/>
  <c r="D64" i="32" s="1"/>
  <c r="D46" i="32"/>
  <c r="F46" i="32" s="1"/>
  <c r="F36" i="32"/>
  <c r="O74" i="9"/>
  <c r="E15" i="18"/>
  <c r="H75" i="9"/>
  <c r="O92" i="9"/>
  <c r="H93" i="9"/>
  <c r="J93" i="9"/>
  <c r="J76" i="9" s="1"/>
  <c r="I93" i="9"/>
  <c r="I76" i="9" s="1"/>
  <c r="N93" i="9"/>
  <c r="N76" i="9" s="1"/>
  <c r="M93" i="9"/>
  <c r="M76" i="9" s="1"/>
  <c r="L93" i="9"/>
  <c r="L76" i="9" s="1"/>
  <c r="F35" i="32"/>
  <c r="D45" i="32"/>
  <c r="F45" i="32" s="1"/>
  <c r="P73" i="9"/>
  <c r="Q73" i="9" s="1"/>
  <c r="X73" i="9"/>
  <c r="W73" i="9"/>
  <c r="V73" i="9"/>
  <c r="U73" i="9"/>
  <c r="Y73" i="9"/>
  <c r="T73" i="9"/>
  <c r="B16" i="18"/>
  <c r="D16" i="18"/>
  <c r="B13" i="32"/>
  <c r="B23" i="32" s="1"/>
  <c r="C17" i="18"/>
  <c r="D83" i="32" l="1"/>
  <c r="F30" i="34"/>
  <c r="D43" i="34"/>
  <c r="F43" i="34" s="1"/>
  <c r="F49" i="34" s="1"/>
  <c r="B97" i="34" s="1"/>
  <c r="F33" i="34"/>
  <c r="F39" i="34" s="1"/>
  <c r="B96" i="34" s="1"/>
  <c r="B94" i="34"/>
  <c r="F18" i="32"/>
  <c r="D58" i="32"/>
  <c r="D38" i="32"/>
  <c r="D63" i="34"/>
  <c r="F53" i="34"/>
  <c r="F59" i="34" s="1"/>
  <c r="B95" i="34" s="1"/>
  <c r="D59" i="34"/>
  <c r="F66" i="32"/>
  <c r="D76" i="32"/>
  <c r="F76" i="32" s="1"/>
  <c r="F67" i="32"/>
  <c r="D77" i="32"/>
  <c r="F77" i="32" s="1"/>
  <c r="F64" i="32"/>
  <c r="D74" i="32"/>
  <c r="F74" i="32" s="1"/>
  <c r="S74" i="9"/>
  <c r="D65" i="32"/>
  <c r="F56" i="32"/>
  <c r="F34" i="32"/>
  <c r="F54" i="32"/>
  <c r="B29" i="32"/>
  <c r="D23" i="32"/>
  <c r="D89" i="32"/>
  <c r="F83" i="32"/>
  <c r="F89" i="32" s="1"/>
  <c r="B99" i="32" s="1"/>
  <c r="B17" i="18"/>
  <c r="E16" i="18"/>
  <c r="H76" i="9"/>
  <c r="O93" i="9"/>
  <c r="D17" i="18"/>
  <c r="D13" i="32"/>
  <c r="B19" i="32"/>
  <c r="O75" i="9"/>
  <c r="P74" i="9"/>
  <c r="Q74" i="9" s="1"/>
  <c r="V74" i="9"/>
  <c r="T74" i="9"/>
  <c r="Y74" i="9"/>
  <c r="W74" i="9"/>
  <c r="X74" i="9"/>
  <c r="U74" i="9"/>
  <c r="D48" i="32" l="1"/>
  <c r="F48" i="32" s="1"/>
  <c r="F38" i="32"/>
  <c r="D73" i="34"/>
  <c r="D69" i="34"/>
  <c r="F63" i="34"/>
  <c r="F69" i="34" s="1"/>
  <c r="B98" i="34" s="1"/>
  <c r="D68" i="32"/>
  <c r="F58" i="32"/>
  <c r="F65" i="32"/>
  <c r="D75" i="32"/>
  <c r="F75" i="32" s="1"/>
  <c r="E17" i="18"/>
  <c r="P75" i="9"/>
  <c r="Q75" i="9" s="1"/>
  <c r="X75" i="9"/>
  <c r="V75" i="9"/>
  <c r="T75" i="9"/>
  <c r="W75" i="9"/>
  <c r="Y75" i="9"/>
  <c r="U75" i="9"/>
  <c r="F13" i="32"/>
  <c r="F19" i="32" s="1"/>
  <c r="D19" i="32"/>
  <c r="D53" i="32"/>
  <c r="D33" i="32"/>
  <c r="S75" i="9"/>
  <c r="D29" i="32"/>
  <c r="F23" i="32"/>
  <c r="F29" i="32" s="1"/>
  <c r="O76" i="9"/>
  <c r="F68" i="32" l="1"/>
  <c r="D78" i="32"/>
  <c r="F78" i="32" s="1"/>
  <c r="D79" i="34"/>
  <c r="F73" i="34"/>
  <c r="F79" i="34" s="1"/>
  <c r="B92" i="34" s="1"/>
  <c r="B100" i="34" s="1"/>
  <c r="P76" i="9"/>
  <c r="Q76" i="9" s="1"/>
  <c r="V76" i="9"/>
  <c r="U76" i="9"/>
  <c r="T76" i="9"/>
  <c r="Y76" i="9"/>
  <c r="W76" i="9"/>
  <c r="X76" i="9"/>
  <c r="S76" i="9"/>
  <c r="B94" i="32"/>
  <c r="F33" i="32"/>
  <c r="F39" i="32" s="1"/>
  <c r="B96" i="32" s="1"/>
  <c r="D43" i="32"/>
  <c r="F43" i="32" s="1"/>
  <c r="F49" i="32" s="1"/>
  <c r="B97" i="32" s="1"/>
  <c r="D63" i="32"/>
  <c r="D73" i="32" s="1"/>
  <c r="F53" i="32"/>
  <c r="F59" i="32" s="1"/>
  <c r="B95" i="32" s="1"/>
  <c r="D59" i="32"/>
  <c r="F73" i="32" l="1"/>
  <c r="F79" i="32" s="1"/>
  <c r="B92" i="32" s="1"/>
  <c r="D79" i="32"/>
  <c r="F63" i="32"/>
  <c r="F69" i="32" s="1"/>
  <c r="B98" i="32" s="1"/>
  <c r="D69" i="32"/>
  <c r="B100" i="32" l="1"/>
</calcChain>
</file>

<file path=xl/sharedStrings.xml><?xml version="1.0" encoding="utf-8"?>
<sst xmlns="http://schemas.openxmlformats.org/spreadsheetml/2006/main" count="967" uniqueCount="346">
  <si>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</si>
  <si>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</si>
  <si>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</si>
  <si>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</si>
  <si>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</si>
  <si>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</si>
  <si>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</si>
  <si>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</si>
  <si>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</si>
  <si>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</si>
  <si>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</si>
  <si>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</si>
  <si>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</si>
  <si>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</si>
  <si>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</si>
  <si>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</si>
  <si>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</si>
  <si>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</si>
  <si>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</si>
  <si>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</si>
  <si>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</si>
  <si>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</si>
  <si>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</si>
  <si>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</si>
  <si>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</si>
  <si>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</si>
  <si>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</si>
  <si>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</si>
  <si>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</si>
  <si>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</si>
  <si>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</si>
  <si>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</si>
  <si>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</si>
  <si>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</si>
  <si>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</si>
  <si>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</si>
  <si>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</si>
  <si>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</si>
  <si>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</si>
  <si>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</si>
  <si>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</si>
  <si>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</si>
  <si>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</si>
  <si>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</si>
  <si>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</si>
  <si>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</si>
  <si>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</si>
  <si>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</si>
  <si>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</si>
  <si>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</si>
  <si>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</si>
  <si>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</si>
  <si>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</si>
  <si>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</si>
  <si>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By Class</t>
  </si>
  <si>
    <t>Billed kWh</t>
  </si>
  <si>
    <t>kW/kWh</t>
  </si>
  <si>
    <t>2008 Actual</t>
  </si>
  <si>
    <t>Residential</t>
  </si>
  <si>
    <t>GS&lt;50</t>
  </si>
  <si>
    <t>GS&gt;50</t>
  </si>
  <si>
    <t>USL</t>
  </si>
  <si>
    <t>Weather Normal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</si>
  <si>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</si>
  <si>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</si>
  <si>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</si>
  <si>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</si>
  <si>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</si>
  <si>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</si>
  <si>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</si>
  <si>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</si>
  <si>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 xml:space="preserve">2011 Actual </t>
  </si>
  <si>
    <t>Number of Customers - 3 Main Classes</t>
  </si>
  <si>
    <t>Summary of Degree Day Information</t>
  </si>
  <si>
    <t>Summary of All Heating Degree Days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</si>
  <si>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</si>
  <si>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</si>
  <si>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</si>
  <si>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</si>
  <si>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</si>
  <si>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</si>
  <si>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</si>
  <si>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</si>
  <si>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</si>
  <si>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</si>
  <si>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</si>
  <si>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</si>
  <si>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</si>
  <si>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</si>
  <si>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Avg</t>
  </si>
  <si>
    <t>20 Year Trend</t>
  </si>
  <si>
    <t>kWh</t>
  </si>
  <si>
    <t>kW</t>
  </si>
  <si>
    <t xml:space="preserve">Residential </t>
  </si>
  <si>
    <t>General Service &lt; 50 kW</t>
  </si>
  <si>
    <t>General Service  50 to 4,999 kW</t>
  </si>
  <si>
    <t>Street Lighting</t>
  </si>
  <si>
    <t>Sentinel Lighting</t>
  </si>
  <si>
    <t>Unmetered Scattered Load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</si>
  <si>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</si>
  <si>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</si>
  <si>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</si>
  <si>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</si>
  <si>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</si>
  <si>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</si>
  <si>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</si>
  <si>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</si>
  <si>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</si>
  <si>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</si>
  <si>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</si>
  <si>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</si>
  <si>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</si>
  <si>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</si>
  <si>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</si>
  <si>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</si>
  <si>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</si>
  <si>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TORONTO LESTER B. PEARSON INT'L A</t>
  </si>
  <si>
    <t>Hydro One Load Transfers</t>
  </si>
  <si>
    <t>Calcualtion Of SME Charges</t>
  </si>
  <si>
    <t>SME</t>
  </si>
  <si>
    <t>Customers</t>
  </si>
  <si>
    <t>Rate</t>
  </si>
  <si>
    <t>LV</t>
  </si>
  <si>
    <t>Metric(w/o losses)</t>
  </si>
  <si>
    <t>Summary</t>
  </si>
  <si>
    <t>2012 Actual</t>
  </si>
  <si>
    <t>2013 Actual</t>
  </si>
  <si>
    <t>2014 Actual</t>
  </si>
  <si>
    <t>2015 Actual</t>
  </si>
  <si>
    <t>2016 Weather Normal</t>
  </si>
  <si>
    <t>2017 Weather Normal</t>
  </si>
  <si>
    <t>Total to 2015 - Aug</t>
  </si>
  <si>
    <t>2016 Load Foreacst</t>
  </si>
  <si>
    <t>2016 Forecasted Metered kWhs</t>
  </si>
  <si>
    <t>2016  Loss Factor</t>
  </si>
  <si>
    <t>2017 Load Foreacst</t>
  </si>
  <si>
    <t>2017 Forecasted Metered kWhs</t>
  </si>
  <si>
    <t>2017  Loss Factor</t>
  </si>
  <si>
    <t>CDM Adjustment</t>
  </si>
  <si>
    <t>2015 %RPP</t>
  </si>
  <si>
    <t>2015 Programs</t>
  </si>
  <si>
    <t>2016 Programs</t>
  </si>
  <si>
    <t>2017 Programs</t>
  </si>
  <si>
    <t>2018 Programs</t>
  </si>
  <si>
    <t>2019 Programs</t>
  </si>
  <si>
    <t>Target Credit</t>
  </si>
  <si>
    <t>2020 Programs</t>
  </si>
  <si>
    <t>Persistence Assumption - Total</t>
  </si>
  <si>
    <t>Persistence Assumption - Residential</t>
  </si>
  <si>
    <t>Persistence Assumption - GS &lt; 50 kW</t>
  </si>
  <si>
    <t>Persistence Assumption - GS &gt; 50 kW</t>
  </si>
  <si>
    <t>Persistence Assumption - Streetlight</t>
  </si>
  <si>
    <t>Predicted kWh Purchases Before CDM</t>
  </si>
  <si>
    <t>Predicted kWh Purchases After CDM</t>
  </si>
  <si>
    <t>CDM Adjustment - Purchased</t>
  </si>
  <si>
    <t>Year End</t>
  </si>
  <si>
    <t>Year end Incr</t>
  </si>
  <si>
    <t xml:space="preserve">Total to 2020 </t>
  </si>
  <si>
    <t>Total to 2021</t>
  </si>
  <si>
    <t>Residential %</t>
  </si>
  <si>
    <t>2021 Programs</t>
  </si>
  <si>
    <t>2016 CHP Prj</t>
  </si>
  <si>
    <t xml:space="preserve">Check </t>
  </si>
  <si>
    <t>% RPP (Actual and Forecast)</t>
  </si>
  <si>
    <t xml:space="preserve"> </t>
  </si>
  <si>
    <t xml:space="preserve">  </t>
  </si>
  <si>
    <t>RPP kWh</t>
  </si>
  <si>
    <t>Non Rpp kWh</t>
  </si>
  <si>
    <t xml:space="preserve">Retailer </t>
  </si>
  <si>
    <t>Variable Rate</t>
  </si>
  <si>
    <t>2016 Rate</t>
  </si>
  <si>
    <t>OESP</t>
  </si>
  <si>
    <t>4062-OESP</t>
  </si>
  <si>
    <t>Forecast of power purchased for the next 5 years</t>
  </si>
  <si>
    <t>usage * customer</t>
  </si>
  <si>
    <t>includes weather impacts</t>
  </si>
  <si>
    <t>this has average weather impacts</t>
  </si>
  <si>
    <t>this has normalized weahter impacts</t>
  </si>
  <si>
    <t xml:space="preserve">load adjustment based on </t>
  </si>
  <si>
    <t>2015-2021 programs</t>
  </si>
  <si>
    <t>Rate Class</t>
  </si>
  <si>
    <t>GSE</t>
  </si>
  <si>
    <t>R2</t>
  </si>
  <si>
    <t>3Flat rate services</t>
  </si>
  <si>
    <t>Average price paid by consumer as per the Regulated price Plan Nov 1, 2015 tp Oct 31, 2016</t>
  </si>
  <si>
    <t>Page 3 and page 5</t>
  </si>
  <si>
    <t>Non RPP price is calcualted by adding the following from the above table'</t>
  </si>
  <si>
    <t xml:space="preserve">Impact of the Global Adjustment ($/MWh) </t>
  </si>
  <si>
    <t>Forecast Wholesale Electrcity Price</t>
  </si>
  <si>
    <t>Table 2: Summary of Load and Customer/Connection Forecast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</si>
  <si>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</si>
  <si>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</si>
  <si>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</si>
  <si>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</si>
  <si>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</si>
  <si>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</si>
  <si>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</si>
  <si>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</si>
  <si>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 xml:space="preserve">2008 Actual </t>
  </si>
  <si>
    <t xml:space="preserve">2012 Actual </t>
  </si>
  <si>
    <t xml:space="preserve">2013 Actual </t>
  </si>
  <si>
    <t xml:space="preserve">2014 Actual </t>
  </si>
  <si>
    <t>General Service 50 to 4,999 kW</t>
  </si>
  <si>
    <t>Billed Energy (GWh)</t>
  </si>
  <si>
    <t>Number of Customers/Connections</t>
  </si>
  <si>
    <t>Energy Usage per Customer/Connection (kWh per customer/connection)</t>
  </si>
  <si>
    <t>Statistic</t>
  </si>
  <si>
    <t>Value</t>
  </si>
  <si>
    <t>F Test</t>
  </si>
  <si>
    <t xml:space="preserve">MAPE (Monthly) </t>
  </si>
  <si>
    <t>T-stats by Coefficient</t>
  </si>
  <si>
    <t>Number of Customers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</si>
  <si>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</si>
  <si>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</si>
  <si>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</si>
  <si>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</si>
  <si>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</si>
  <si>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</si>
  <si>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</si>
  <si>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 xml:space="preserve"> Growth Rate in Usage Per Customer/Connection</t>
  </si>
  <si>
    <t>Forecast Annual kWh Usage per Customers/Connection</t>
  </si>
  <si>
    <t>NON-normalized Weather Billed Energy Forecast (GWh)</t>
  </si>
  <si>
    <t>2016 (Not Normalized)</t>
  </si>
  <si>
    <t>Weather Sensitivity</t>
  </si>
  <si>
    <t>Non-normalized Weather Billed Energy Forecast (GWh)</t>
  </si>
  <si>
    <t>Adjustment for Weather (GWh)</t>
  </si>
  <si>
    <t>Adjustment for CDM (GWh)</t>
  </si>
  <si>
    <t>Weather Normalized Billed Energy Forecast (GWh)</t>
  </si>
  <si>
    <t>Billed Annual kW</t>
  </si>
  <si>
    <t>Ratio of kW to kWh</t>
  </si>
  <si>
    <t>Predicted Billed kW</t>
  </si>
  <si>
    <t>Predicted kWh Purchases before CDM adjustment</t>
  </si>
  <si>
    <t>% Difference between actual and predicted purchases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</si>
  <si>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</si>
  <si>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</si>
  <si>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</si>
  <si>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</si>
  <si>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</si>
  <si>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Billing Determinants</t>
  </si>
  <si>
    <t>Volumeteric Difference</t>
  </si>
  <si>
    <t xml:space="preserve">Total </t>
  </si>
  <si>
    <t>Not Used</t>
  </si>
  <si>
    <t>Consumed</t>
  </si>
  <si>
    <t>Predicted Consumption</t>
  </si>
  <si>
    <t>Weatther Normal</t>
  </si>
  <si>
    <t>Total to 2011</t>
  </si>
  <si>
    <t>Check totals above sould be zero</t>
  </si>
  <si>
    <t xml:space="preserve">Not used </t>
  </si>
  <si>
    <t xml:space="preserve">% Allocated to Residential </t>
  </si>
  <si>
    <t>% Allocated to GS &lt; 50 kW</t>
  </si>
  <si>
    <t>% Allocated to USL</t>
  </si>
  <si>
    <t>Table 1: R Square and Adjusted R Square Values</t>
  </si>
  <si>
    <t>Class</t>
  </si>
  <si>
    <t>Power Purchased</t>
  </si>
  <si>
    <t>2013 Board Approved</t>
  </si>
  <si>
    <t xml:space="preserve">2015 Actual </t>
  </si>
  <si>
    <t>2016 Bridge - Normalized</t>
  </si>
  <si>
    <t>2017 Test - Normalized</t>
  </si>
  <si>
    <t xml:space="preserve">Table 3: Billed Energy by Rate Class </t>
  </si>
  <si>
    <t xml:space="preserve">Sentinel Lighting </t>
  </si>
  <si>
    <t>Table 4:  Number of Customers / Connections by Rate Class</t>
  </si>
  <si>
    <t xml:space="preserve">Table 5: Annual Usage per Customer/Connection by Rate Class </t>
  </si>
  <si>
    <t>Table 6: Statistcial Results</t>
  </si>
  <si>
    <t>Table 7: Total System Purchases</t>
  </si>
  <si>
    <t>2017 Test - Normalized - 20 Year Trend</t>
  </si>
  <si>
    <t>Table 8: Conversion of Total System Purchases to Total Billed</t>
  </si>
  <si>
    <t>Billed</t>
  </si>
  <si>
    <t>Table 9: Historical Customer/Connection Data</t>
  </si>
  <si>
    <t>Table 10: Growth Rate in Customer/Connections</t>
  </si>
  <si>
    <t>Geo Mean - 2006 to 2015</t>
  </si>
  <si>
    <t>Table11: Customer/Connection Forecast</t>
  </si>
  <si>
    <t>Table 12: Historical Annual Usage per Customer Before Allocation of Hydro One Load Transfers</t>
  </si>
  <si>
    <t>Table 13: Growth Rate in Usage Per Customer/Connection</t>
  </si>
  <si>
    <t>Table 14: Forecast Annual kWh Usage per Customer/Connection</t>
  </si>
  <si>
    <t>Table 15: Non-normalized Weather Billed Energy Forecast</t>
  </si>
  <si>
    <t>2017 (Not Normalized)</t>
  </si>
  <si>
    <t>Table 16: Weather Sensitivity by Rate Class</t>
  </si>
  <si>
    <t>Table 17: Hydro One Load Transfers</t>
  </si>
  <si>
    <t>Hydro One Load Transfers (GWh)</t>
  </si>
  <si>
    <t>2006 - Actual</t>
  </si>
  <si>
    <t>2007 - Actual</t>
  </si>
  <si>
    <t>2008 - Actual</t>
  </si>
  <si>
    <t>2009 - Actual</t>
  </si>
  <si>
    <t>2010 - Actual</t>
  </si>
  <si>
    <t>2011 - Actual</t>
  </si>
  <si>
    <t>2012 - Actual</t>
  </si>
  <si>
    <t>2013 - Actual</t>
  </si>
  <si>
    <t>2014 - Actual</t>
  </si>
  <si>
    <t>2015 - Actual</t>
  </si>
  <si>
    <t>2016 - Bridge Forecast</t>
  </si>
  <si>
    <t>2017 - Test Year Forecast</t>
  </si>
  <si>
    <t>Table 18: Difference Between Normalized and Non-normalized Bill Forecast</t>
  </si>
  <si>
    <t>Table 3-8 
(A)</t>
  </si>
  <si>
    <t>Table 3-15
(B)</t>
  </si>
  <si>
    <t>Table 3-17
 (C)</t>
  </si>
  <si>
    <t>Difference
= (A) - (B)
 - (C)</t>
  </si>
  <si>
    <t>2015-2021 Expected kWh Savings</t>
  </si>
  <si>
    <t>Total for 2015 to 2020 Target</t>
  </si>
  <si>
    <t>n/a</t>
  </si>
  <si>
    <t>Total Including Persistence</t>
  </si>
  <si>
    <t xml:space="preserve">Residential Allocation </t>
  </si>
  <si>
    <t>2015-2021 Expected Residential kWh Savings</t>
  </si>
  <si>
    <t>2015-2021 Expected General Service &lt; 50 kW kWh Savings</t>
  </si>
  <si>
    <t>2015-2021 Expected General Service  50 to 4,999 kW kWh Savings</t>
  </si>
  <si>
    <t>Table 24: Expected CDM Savings by Rate Class for LRAM Variance Account</t>
  </si>
  <si>
    <t>2017 LRAMVA kWh</t>
  </si>
  <si>
    <t>2018 LRAMVA kWh</t>
  </si>
  <si>
    <t>2019 LRAMVA kWh</t>
  </si>
  <si>
    <t>2020 LRAMVA kWh</t>
  </si>
  <si>
    <t>2021 LRAMVA kWh</t>
  </si>
  <si>
    <t>2017 LRAMVA kW - Annual</t>
  </si>
  <si>
    <t>2018 LRAMVA kW - Annual</t>
  </si>
  <si>
    <t>2019 LRAMVA kW - Annual</t>
  </si>
  <si>
    <t>2020 LRAMVA kW - Annual</t>
  </si>
  <si>
    <t>2021 LRAMVA kW - Annual</t>
  </si>
  <si>
    <t>2017 LRAMVA kW - Monthly</t>
  </si>
  <si>
    <t>2018 LRAMVA kW - Monthly</t>
  </si>
  <si>
    <t>2019 LRAMVA kW - Monthly</t>
  </si>
  <si>
    <t>2020 LRAMVA kW - Monthly</t>
  </si>
  <si>
    <t>2021 LRAMVA kW - Monthly</t>
  </si>
  <si>
    <t>Table 25: Alignment of Non-normal to Weather Normal Forecast and Other Adjustments</t>
  </si>
  <si>
    <t>Adjustment for Hydro One Load Transfer (GWh)</t>
  </si>
  <si>
    <t>Table 26: Historical Annual kW per Applicable Rate Class</t>
  </si>
  <si>
    <t>Table 27: Historical kW/KWh Ratio per Applicable Rate Class</t>
  </si>
  <si>
    <t>Average 2006 to 2015</t>
  </si>
  <si>
    <t>Table 28: kW Forecast by Applicable Rate Class</t>
  </si>
  <si>
    <t>Table 29: Summary of Total Forecast</t>
  </si>
  <si>
    <t>Table 30: Summary of Billing Determinants and Variances of Actual and Forecast Data</t>
  </si>
  <si>
    <t>Table 32 Billing Determinants - 2013 Actual vs 2013 Board Approved</t>
  </si>
  <si>
    <t xml:space="preserve">2013 Board Approved </t>
  </si>
  <si>
    <t>Table 34 Billing Determinants - 2014 Actual vs 2013 Actual</t>
  </si>
  <si>
    <t>Table 36 Billing Determinants - 2015 Actual vs 2014 Actual</t>
  </si>
  <si>
    <t>Table 38 Billing Determinants - 2016 Bridge vs 2015 Actual</t>
  </si>
  <si>
    <t>2016 Bridge</t>
  </si>
  <si>
    <t>Table 40 Billing Determinants - 2017 Test vs 2016 Bridge</t>
  </si>
  <si>
    <t>2017 Test</t>
  </si>
  <si>
    <t>Calculation Of SME Charges</t>
  </si>
  <si>
    <t>customers</t>
  </si>
  <si>
    <t>InnPower Forecast for 2017 EB-2016-0086  Rate Application</t>
  </si>
  <si>
    <t xml:space="preserve"> Variance Analysis Compare to Board Approved</t>
  </si>
  <si>
    <t>Actual</t>
  </si>
  <si>
    <t>Predicted</t>
  </si>
  <si>
    <t>Table ES-1 Average RPP Supply Cost Symmary (for the 12 months from May 1, 2016)</t>
  </si>
  <si>
    <t>RPP Supply Cost Summary - for the period from Nov 1, 2016 through to Oct 31, 2017</t>
  </si>
  <si>
    <t>Average Supply Cost for RPP Consumers ($/MWh) = $112.39</t>
  </si>
  <si>
    <t>Regulated Price Plan Price Report  - Issued on October 14,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</si>
</sst>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(#,##0\)"/>
    <numFmt numFmtId="166" formatCode="0.0000"/>
    <numFmt numFmtId="167" formatCode="#,##0.0000"/>
    <numFmt numFmtId="168" formatCode="0.0000%"/>
    <numFmt numFmtId="169" formatCode="_(* #,##0_);_(* \(#,##0\);_(* &quot;-&quot;??_);_(@_)"/>
    <numFmt numFmtId="170" formatCode="#,##0.0000_);\(#,##0.0000\)"/>
    <numFmt numFmtId="171" formatCode="#,##0.00000_);\(#,##0.00000\)"/>
    <numFmt numFmtId="172" formatCode="&quot;$&quot;#,##0.00000_);\(&quot;$&quot;#,##0.00000\)"/>
    <numFmt numFmtId="173" formatCode="&quot;$&quot;#,##0.0000_);\(&quot;$&quot;#,##0.0000\)"/>
    <numFmt numFmtId="174" formatCode="0.0"/>
    <numFmt numFmtId="175" formatCode="#,##0;\(#,###\)"/>
    <numFmt numFmtId="176" formatCode="#,##0.0"/>
    <numFmt numFmtId="177" formatCode="_(&quot;$&quot;* #,##0_);_(&quot;$&quot;* \(#,##0\);_(&quot;$&quot;* &quot;-&quot;??_);_(@_)"/>
    <numFmt numFmtId="178" formatCode="0.000"/>
    <numFmt numFmtId="179" formatCode="_(* #,##0.0_);_(* \(#,##0.0\);_(* &quot;-&quot;??_);_(@_)"/>
    <numFmt numFmtId="180" formatCode="#,##0.0;\(#,##0.0\)"/>
    <numFmt numFmtId="181" formatCode="0.0%;\(0.0%\)"/>
    <numFmt numFmtId="182" formatCode="0.0;\(0.0\)"/>
    <numFmt numFmtId="183" formatCode="#,##0_ ;\-#,##0\ "/>
    <numFmt numFmtId="184" formatCode="0.0000%;\(0.0%\)"/>
    <numFmt numFmtId="185" formatCode="0.00%;\(0.00%\)"/>
    <numFmt numFmtId="186" formatCode="0;\(0\)"/>
    <numFmt numFmtId="187" formatCode="#,##0.0000000000"/>
    <numFmt numFmtId="188" formatCode="#,##0.00000"/>
    <numFmt numFmtId="189" formatCode="0.000;\(0.000\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8"/>
      <color indexed="5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/>
    <xf numFmtId="9" fontId="2" fillId="0" borderId="0" applyFont="0" applyFill="0" applyBorder="0" applyAlignment="0" applyProtection="0"/>
    <xf numFmtId="0" fontId="1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3" fontId="0" fillId="2" borderId="0" xfId="0" applyNumberFormat="1" applyFill="1" applyAlignment="1">
      <alignment horizontal="center"/>
    </xf>
    <xf numFmtId="17" fontId="5" fillId="0" borderId="0" xfId="0" applyNumberFormat="1" applyFont="1"/>
    <xf numFmtId="0" fontId="0" fillId="0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5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6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165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0" fontId="0" fillId="0" borderId="0" xfId="11" applyNumberFormat="1" applyFont="1" applyFill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2" xfId="1" applyFont="1" applyFill="1" applyBorder="1" applyAlignment="1"/>
    <xf numFmtId="169" fontId="0" fillId="0" borderId="0" xfId="1" applyNumberFormat="1" applyFont="1" applyFill="1" applyBorder="1" applyAlignment="1"/>
    <xf numFmtId="169" fontId="0" fillId="0" borderId="2" xfId="1" applyNumberFormat="1" applyFont="1" applyFill="1" applyBorder="1" applyAlignment="1"/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43" fontId="2" fillId="0" borderId="0" xfId="4" applyFont="1"/>
    <xf numFmtId="0" fontId="9" fillId="0" borderId="0" xfId="0" applyFont="1"/>
    <xf numFmtId="0" fontId="10" fillId="0" borderId="0" xfId="0" applyFont="1"/>
    <xf numFmtId="43" fontId="11" fillId="0" borderId="0" xfId="4" applyFont="1"/>
    <xf numFmtId="0" fontId="11" fillId="0" borderId="0" xfId="0" applyFont="1"/>
    <xf numFmtId="43" fontId="12" fillId="0" borderId="0" xfId="4" applyFont="1" applyAlignment="1">
      <alignment horizontal="right"/>
    </xf>
    <xf numFmtId="0" fontId="12" fillId="0" borderId="4" xfId="0" applyFont="1" applyBorder="1" applyAlignment="1">
      <alignment horizontal="right"/>
    </xf>
    <xf numFmtId="0" fontId="11" fillId="0" borderId="0" xfId="0" applyFont="1" applyAlignment="1">
      <alignment horizontal="right"/>
    </xf>
    <xf numFmtId="43" fontId="11" fillId="0" borderId="0" xfId="0" applyNumberFormat="1" applyFont="1" applyAlignment="1">
      <alignment horizontal="right"/>
    </xf>
    <xf numFmtId="2" fontId="8" fillId="2" borderId="0" xfId="0" applyNumberFormat="1" applyFont="1" applyFill="1"/>
    <xf numFmtId="4" fontId="8" fillId="2" borderId="0" xfId="0" applyNumberFormat="1" applyFont="1" applyFill="1"/>
    <xf numFmtId="0" fontId="12" fillId="2" borderId="0" xfId="0" applyFont="1" applyFill="1"/>
    <xf numFmtId="2" fontId="0" fillId="0" borderId="0" xfId="0" applyNumberFormat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37" fontId="3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3" fontId="0" fillId="0" borderId="5" xfId="0" applyNumberForma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3" fontId="0" fillId="0" borderId="10" xfId="0" applyNumberFormat="1" applyBorder="1"/>
    <xf numFmtId="0" fontId="5" fillId="0" borderId="0" xfId="0" applyFont="1" applyBorder="1" applyAlignment="1">
      <alignment horizontal="left" indent="1"/>
    </xf>
    <xf numFmtId="37" fontId="5" fillId="0" borderId="0" xfId="0" applyNumberFormat="1" applyFont="1" applyBorder="1"/>
    <xf numFmtId="0" fontId="5" fillId="0" borderId="0" xfId="0" applyFont="1" applyBorder="1"/>
    <xf numFmtId="171" fontId="0" fillId="0" borderId="0" xfId="0" applyNumberFormat="1" applyBorder="1"/>
    <xf numFmtId="5" fontId="5" fillId="0" borderId="0" xfId="0" applyNumberFormat="1" applyFont="1" applyFill="1" applyBorder="1"/>
    <xf numFmtId="5" fontId="0" fillId="0" borderId="5" xfId="0" applyNumberFormat="1" applyBorder="1"/>
    <xf numFmtId="0" fontId="0" fillId="0" borderId="10" xfId="0" applyBorder="1"/>
    <xf numFmtId="5" fontId="0" fillId="0" borderId="5" xfId="0" applyNumberFormat="1" applyFill="1" applyBorder="1"/>
    <xf numFmtId="37" fontId="5" fillId="0" borderId="1" xfId="0" applyNumberFormat="1" applyFont="1" applyBorder="1"/>
    <xf numFmtId="37" fontId="0" fillId="0" borderId="1" xfId="0" applyNumberFormat="1" applyFill="1" applyBorder="1"/>
    <xf numFmtId="170" fontId="0" fillId="0" borderId="1" xfId="0" applyNumberFormat="1" applyFill="1" applyBorder="1"/>
    <xf numFmtId="37" fontId="0" fillId="0" borderId="1" xfId="0" applyNumberFormat="1" applyBorder="1"/>
    <xf numFmtId="5" fontId="0" fillId="0" borderId="1" xfId="0" applyNumberFormat="1" applyBorder="1"/>
    <xf numFmtId="171" fontId="0" fillId="0" borderId="1" xfId="0" applyNumberFormat="1" applyBorder="1"/>
    <xf numFmtId="170" fontId="0" fillId="0" borderId="1" xfId="0" applyNumberFormat="1" applyBorder="1" applyAlignment="1">
      <alignment horizontal="center"/>
    </xf>
    <xf numFmtId="5" fontId="5" fillId="0" borderId="1" xfId="0" applyNumberFormat="1" applyFont="1" applyBorder="1"/>
    <xf numFmtId="3" fontId="0" fillId="0" borderId="1" xfId="0" applyNumberFormat="1" applyBorder="1"/>
    <xf numFmtId="169" fontId="2" fillId="0" borderId="1" xfId="1" applyNumberFormat="1" applyFill="1" applyBorder="1"/>
    <xf numFmtId="165" fontId="0" fillId="0" borderId="0" xfId="0" applyNumberFormat="1"/>
    <xf numFmtId="174" fontId="0" fillId="0" borderId="0" xfId="0" applyNumberFormat="1" applyFill="1" applyAlignment="1">
      <alignment horizontal="center"/>
    </xf>
    <xf numFmtId="174" fontId="4" fillId="0" borderId="0" xfId="0" applyNumberFormat="1" applyFont="1" applyFill="1" applyAlignment="1">
      <alignment horizontal="center" wrapText="1"/>
    </xf>
    <xf numFmtId="174" fontId="3" fillId="2" borderId="0" xfId="0" applyNumberFormat="1" applyFont="1" applyFill="1" applyAlignment="1">
      <alignment horizontal="center"/>
    </xf>
    <xf numFmtId="174" fontId="0" fillId="2" borderId="0" xfId="0" applyNumberFormat="1" applyFill="1" applyAlignment="1">
      <alignment horizontal="center"/>
    </xf>
    <xf numFmtId="175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wrapText="1"/>
    </xf>
    <xf numFmtId="175" fontId="0" fillId="0" borderId="0" xfId="0" applyNumberFormat="1"/>
    <xf numFmtId="176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174" fontId="3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13" fillId="6" borderId="1" xfId="0" applyFont="1" applyFill="1" applyBorder="1"/>
    <xf numFmtId="0" fontId="5" fillId="6" borderId="7" xfId="0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" xfId="0" applyFont="1" applyFill="1" applyBorder="1"/>
    <xf numFmtId="0" fontId="5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indent="1"/>
    </xf>
    <xf numFmtId="37" fontId="5" fillId="6" borderId="1" xfId="0" applyNumberFormat="1" applyFont="1" applyFill="1" applyBorder="1"/>
    <xf numFmtId="171" fontId="0" fillId="6" borderId="1" xfId="0" applyNumberFormat="1" applyFill="1" applyBorder="1"/>
    <xf numFmtId="5" fontId="5" fillId="6" borderId="1" xfId="0" applyNumberFormat="1" applyFont="1" applyFill="1" applyBorder="1"/>
    <xf numFmtId="0" fontId="13" fillId="6" borderId="11" xfId="0" applyFont="1" applyFill="1" applyBorder="1"/>
    <xf numFmtId="0" fontId="5" fillId="6" borderId="12" xfId="0" applyFont="1" applyFill="1" applyBorder="1"/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/>
    <xf numFmtId="0" fontId="5" fillId="6" borderId="14" xfId="0" applyFont="1" applyFill="1" applyBorder="1"/>
    <xf numFmtId="0" fontId="5" fillId="6" borderId="6" xfId="0" applyNumberFormat="1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 indent="1"/>
    </xf>
    <xf numFmtId="37" fontId="5" fillId="5" borderId="0" xfId="0" applyNumberFormat="1" applyFont="1" applyFill="1" applyBorder="1"/>
    <xf numFmtId="0" fontId="5" fillId="5" borderId="0" xfId="0" applyFont="1" applyFill="1" applyBorder="1"/>
    <xf numFmtId="171" fontId="0" fillId="5" borderId="0" xfId="0" applyNumberFormat="1" applyFill="1" applyBorder="1"/>
    <xf numFmtId="5" fontId="5" fillId="5" borderId="0" xfId="0" applyNumberFormat="1" applyFont="1" applyFill="1" applyBorder="1"/>
    <xf numFmtId="37" fontId="0" fillId="5" borderId="1" xfId="0" applyNumberFormat="1" applyFill="1" applyBorder="1"/>
    <xf numFmtId="5" fontId="0" fillId="5" borderId="1" xfId="0" applyNumberFormat="1" applyFill="1" applyBorder="1"/>
    <xf numFmtId="170" fontId="2" fillId="0" borderId="1" xfId="0" applyNumberFormat="1" applyFont="1" applyBorder="1" applyAlignment="1">
      <alignment horizontal="center"/>
    </xf>
    <xf numFmtId="5" fontId="0" fillId="5" borderId="5" xfId="0" applyNumberFormat="1" applyFill="1" applyBorder="1"/>
    <xf numFmtId="177" fontId="0" fillId="0" borderId="5" xfId="6" applyNumberFormat="1" applyFont="1" applyBorder="1"/>
    <xf numFmtId="0" fontId="5" fillId="5" borderId="13" xfId="0" applyFont="1" applyFill="1" applyBorder="1" applyAlignment="1">
      <alignment horizontal="left" indent="1"/>
    </xf>
    <xf numFmtId="37" fontId="5" fillId="5" borderId="9" xfId="0" applyNumberFormat="1" applyFont="1" applyFill="1" applyBorder="1"/>
    <xf numFmtId="0" fontId="5" fillId="6" borderId="9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9" fontId="2" fillId="4" borderId="1" xfId="11" applyFill="1" applyBorder="1"/>
    <xf numFmtId="170" fontId="0" fillId="4" borderId="1" xfId="0" applyNumberFormat="1" applyFill="1" applyBorder="1"/>
    <xf numFmtId="172" fontId="0" fillId="4" borderId="1" xfId="0" applyNumberFormat="1" applyFill="1" applyBorder="1"/>
    <xf numFmtId="173" fontId="0" fillId="4" borderId="1" xfId="0" applyNumberFormat="1" applyFill="1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166" fontId="0" fillId="7" borderId="0" xfId="0" applyNumberFormat="1" applyFill="1" applyAlignment="1">
      <alignment horizontal="center"/>
    </xf>
    <xf numFmtId="0" fontId="0" fillId="5" borderId="0" xfId="0" applyNumberFormat="1" applyFill="1" applyAlignment="1">
      <alignment horizontal="right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wrapText="1"/>
    </xf>
    <xf numFmtId="3" fontId="0" fillId="4" borderId="0" xfId="0" applyNumberFormat="1" applyFill="1" applyAlignment="1">
      <alignment horizontal="center"/>
    </xf>
    <xf numFmtId="3" fontId="0" fillId="0" borderId="0" xfId="0" applyNumberFormat="1"/>
    <xf numFmtId="164" fontId="0" fillId="0" borderId="0" xfId="11" applyNumberFormat="1" applyFont="1" applyAlignment="1">
      <alignment horizontal="center"/>
    </xf>
    <xf numFmtId="164" fontId="2" fillId="0" borderId="0" xfId="11" applyNumberFormat="1" applyFont="1" applyAlignment="1">
      <alignment horizontal="center"/>
    </xf>
    <xf numFmtId="175" fontId="2" fillId="0" borderId="0" xfId="0" applyNumberFormat="1" applyFont="1" applyFill="1" applyAlignment="1">
      <alignment horizontal="center"/>
    </xf>
    <xf numFmtId="10" fontId="0" fillId="0" borderId="0" xfId="1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11" applyNumberFormat="1" applyFont="1"/>
    <xf numFmtId="0" fontId="5" fillId="6" borderId="6" xfId="0" applyNumberFormat="1" applyFont="1" applyFill="1" applyBorder="1" applyAlignment="1">
      <alignment horizontal="center"/>
    </xf>
    <xf numFmtId="178" fontId="0" fillId="0" borderId="0" xfId="0" applyNumberFormat="1" applyFill="1" applyAlignment="1">
      <alignment horizont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2" xfId="0" applyFont="1" applyBorder="1"/>
    <xf numFmtId="0" fontId="2" fillId="0" borderId="20" xfId="0" applyFont="1" applyBorder="1"/>
    <xf numFmtId="0" fontId="2" fillId="0" borderId="0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/>
    <xf numFmtId="5" fontId="2" fillId="0" borderId="23" xfId="0" applyNumberFormat="1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4" xfId="0" applyFont="1" applyBorder="1"/>
    <xf numFmtId="5" fontId="2" fillId="5" borderId="23" xfId="0" applyNumberFormat="1" applyFont="1" applyFill="1" applyBorder="1"/>
    <xf numFmtId="4" fontId="0" fillId="0" borderId="0" xfId="0" applyNumberFormat="1" applyAlignment="1">
      <alignment horizontal="center"/>
    </xf>
    <xf numFmtId="3" fontId="0" fillId="0" borderId="0" xfId="0" applyNumberFormat="1" applyBorder="1"/>
    <xf numFmtId="0" fontId="5" fillId="0" borderId="0" xfId="0" applyFont="1" applyAlignment="1">
      <alignment horizontal="right"/>
    </xf>
    <xf numFmtId="0" fontId="5" fillId="6" borderId="6" xfId="0" applyNumberFormat="1" applyFont="1" applyFill="1" applyBorder="1" applyAlignment="1">
      <alignment horizontal="center"/>
    </xf>
    <xf numFmtId="169" fontId="0" fillId="0" borderId="0" xfId="1" applyNumberFormat="1" applyFont="1"/>
    <xf numFmtId="0" fontId="0" fillId="5" borderId="0" xfId="0" applyFill="1"/>
    <xf numFmtId="0" fontId="2" fillId="0" borderId="13" xfId="0" applyFont="1" applyBorder="1"/>
    <xf numFmtId="177" fontId="0" fillId="0" borderId="11" xfId="6" applyNumberFormat="1" applyFont="1" applyBorder="1"/>
    <xf numFmtId="0" fontId="5" fillId="6" borderId="6" xfId="0" applyNumberFormat="1" applyFont="1" applyFill="1" applyBorder="1" applyAlignment="1">
      <alignment horizontal="center"/>
    </xf>
    <xf numFmtId="0" fontId="15" fillId="0" borderId="0" xfId="0" applyFont="1"/>
    <xf numFmtId="5" fontId="0" fillId="0" borderId="0" xfId="0" applyNumberFormat="1"/>
    <xf numFmtId="0" fontId="0" fillId="2" borderId="0" xfId="0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74" fontId="8" fillId="0" borderId="1" xfId="13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41" fontId="8" fillId="0" borderId="1" xfId="13" applyNumberFormat="1" applyFont="1" applyFill="1" applyBorder="1" applyAlignment="1">
      <alignment vertical="center"/>
    </xf>
    <xf numFmtId="3" fontId="8" fillId="0" borderId="9" xfId="13" applyNumberFormat="1" applyFont="1" applyFill="1" applyBorder="1" applyAlignment="1">
      <alignment horizontal="center" vertical="center"/>
    </xf>
    <xf numFmtId="176" fontId="8" fillId="0" borderId="1" xfId="13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1" fontId="8" fillId="0" borderId="0" xfId="13" applyNumberFormat="1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4" fontId="8" fillId="0" borderId="9" xfId="13" applyNumberFormat="1" applyFont="1" applyFill="1" applyBorder="1" applyAlignment="1">
      <alignment horizontal="center" vertical="center"/>
    </xf>
    <xf numFmtId="176" fontId="8" fillId="0" borderId="9" xfId="13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174" fontId="8" fillId="0" borderId="0" xfId="0" applyNumberFormat="1" applyFont="1" applyFill="1" applyAlignment="1">
      <alignment vertical="center"/>
    </xf>
    <xf numFmtId="3" fontId="8" fillId="0" borderId="1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7" fontId="8" fillId="0" borderId="0" xfId="14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 wrapText="1"/>
    </xf>
    <xf numFmtId="164" fontId="8" fillId="0" borderId="1" xfId="13" applyNumberFormat="1" applyFont="1" applyFill="1" applyBorder="1" applyAlignment="1">
      <alignment horizontal="center" vertical="center"/>
    </xf>
    <xf numFmtId="182" fontId="8" fillId="0" borderId="1" xfId="13" applyNumberFormat="1" applyFont="1" applyFill="1" applyBorder="1" applyAlignment="1">
      <alignment horizontal="center" vertical="center"/>
    </xf>
    <xf numFmtId="181" fontId="8" fillId="0" borderId="9" xfId="13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3" fontId="8" fillId="0" borderId="16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9" fontId="8" fillId="0" borderId="16" xfId="0" applyNumberFormat="1" applyFont="1" applyFill="1" applyBorder="1" applyAlignment="1">
      <alignment horizontal="center" vertical="center" wrapText="1"/>
    </xf>
    <xf numFmtId="9" fontId="8" fillId="0" borderId="0" xfId="0" applyNumberFormat="1" applyFont="1" applyFill="1" applyBorder="1" applyAlignment="1">
      <alignment horizontal="center" vertical="center" wrapText="1"/>
    </xf>
    <xf numFmtId="0" fontId="17" fillId="0" borderId="7" xfId="15" applyFont="1" applyFill="1" applyBorder="1" applyAlignment="1">
      <alignment horizontal="left"/>
    </xf>
    <xf numFmtId="0" fontId="17" fillId="0" borderId="1" xfId="15" applyFont="1" applyFill="1" applyBorder="1" applyAlignment="1">
      <alignment horizontal="left"/>
    </xf>
    <xf numFmtId="0" fontId="17" fillId="0" borderId="0" xfId="15" applyFont="1" applyFill="1" applyBorder="1" applyAlignment="1">
      <alignment horizontal="left"/>
    </xf>
    <xf numFmtId="183" fontId="8" fillId="0" borderId="0" xfId="16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182" fontId="8" fillId="0" borderId="16" xfId="0" applyNumberFormat="1" applyFont="1" applyFill="1" applyBorder="1" applyAlignment="1">
      <alignment horizontal="center" vertical="center" wrapText="1"/>
    </xf>
    <xf numFmtId="180" fontId="8" fillId="0" borderId="16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184" fontId="8" fillId="0" borderId="16" xfId="0" applyNumberFormat="1" applyFont="1" applyFill="1" applyBorder="1" applyAlignment="1">
      <alignment horizontal="center" vertical="center" wrapText="1"/>
    </xf>
    <xf numFmtId="184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181" fontId="12" fillId="0" borderId="9" xfId="13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vertical="center"/>
    </xf>
    <xf numFmtId="185" fontId="8" fillId="0" borderId="1" xfId="11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left"/>
    </xf>
    <xf numFmtId="3" fontId="8" fillId="0" borderId="8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186" fontId="8" fillId="0" borderId="1" xfId="0" applyNumberFormat="1" applyFont="1" applyBorder="1" applyAlignment="1">
      <alignment horizontal="center"/>
    </xf>
    <xf numFmtId="3" fontId="8" fillId="0" borderId="1" xfId="11" applyNumberFormat="1" applyFont="1" applyBorder="1" applyAlignment="1">
      <alignment horizontal="center"/>
    </xf>
    <xf numFmtId="3" fontId="8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0" fontId="8" fillId="5" borderId="0" xfId="0" applyFont="1" applyFill="1" applyAlignment="1">
      <alignment vertic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3" fontId="0" fillId="0" borderId="0" xfId="1" applyNumberFormat="1" applyFont="1" applyFill="1" applyBorder="1" applyAlignment="1"/>
    <xf numFmtId="43" fontId="0" fillId="0" borderId="2" xfId="1" applyNumberFormat="1" applyFont="1" applyFill="1" applyBorder="1" applyAlignment="1"/>
    <xf numFmtId="37" fontId="0" fillId="0" borderId="0" xfId="0" applyNumberFormat="1" applyFill="1" applyAlignment="1">
      <alignment horizontal="center"/>
    </xf>
    <xf numFmtId="0" fontId="0" fillId="0" borderId="0" xfId="11" applyNumberFormat="1" applyFont="1" applyFill="1" applyAlignment="1">
      <alignment horizontal="center" wrapText="1"/>
    </xf>
    <xf numFmtId="0" fontId="0" fillId="0" borderId="0" xfId="1" applyNumberFormat="1" applyFont="1"/>
    <xf numFmtId="164" fontId="0" fillId="0" borderId="0" xfId="0" applyNumberFormat="1" applyFill="1" applyAlignment="1">
      <alignment horizontal="center"/>
    </xf>
    <xf numFmtId="164" fontId="0" fillId="0" borderId="0" xfId="0" applyNumberFormat="1"/>
    <xf numFmtId="179" fontId="0" fillId="0" borderId="0" xfId="0" applyNumberFormat="1"/>
    <xf numFmtId="187" fontId="8" fillId="0" borderId="0" xfId="0" applyNumberFormat="1" applyFont="1" applyFill="1" applyAlignment="1">
      <alignment vertical="center"/>
    </xf>
    <xf numFmtId="181" fontId="8" fillId="0" borderId="16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9" fontId="8" fillId="0" borderId="1" xfId="0" applyNumberFormat="1" applyFont="1" applyBorder="1" applyAlignment="1">
      <alignment horizontal="center" vertical="center"/>
    </xf>
    <xf numFmtId="9" fontId="19" fillId="0" borderId="1" xfId="13" applyNumberFormat="1" applyFont="1" applyFill="1" applyBorder="1" applyAlignment="1">
      <alignment horizontal="center" vertical="center" wrapText="1"/>
    </xf>
    <xf numFmtId="176" fontId="8" fillId="0" borderId="0" xfId="13" applyNumberFormat="1" applyFont="1" applyFill="1" applyBorder="1" applyAlignment="1">
      <alignment horizontal="center" vertical="center"/>
    </xf>
    <xf numFmtId="182" fontId="8" fillId="0" borderId="0" xfId="0" applyNumberFormat="1" applyFont="1" applyFill="1" applyBorder="1" applyAlignment="1">
      <alignment horizontal="center" vertical="center"/>
    </xf>
    <xf numFmtId="181" fontId="8" fillId="0" borderId="0" xfId="0" applyNumberFormat="1" applyFont="1" applyFill="1" applyBorder="1" applyAlignment="1">
      <alignment horizontal="center" vertical="center"/>
    </xf>
    <xf numFmtId="188" fontId="8" fillId="0" borderId="0" xfId="0" applyNumberFormat="1" applyFont="1" applyFill="1" applyAlignment="1">
      <alignment vertical="center"/>
    </xf>
    <xf numFmtId="174" fontId="8" fillId="0" borderId="0" xfId="13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0" fillId="0" borderId="1" xfId="0" applyBorder="1"/>
    <xf numFmtId="181" fontId="8" fillId="0" borderId="0" xfId="13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67" fontId="8" fillId="0" borderId="1" xfId="13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1" xfId="11" applyNumberFormat="1" applyFont="1" applyFill="1" applyBorder="1" applyAlignment="1">
      <alignment horizontal="center" vertical="center"/>
    </xf>
    <xf numFmtId="164" fontId="8" fillId="0" borderId="0" xfId="11" applyNumberFormat="1" applyFont="1" applyFill="1" applyBorder="1" applyAlignment="1">
      <alignment horizontal="center" vertical="center"/>
    </xf>
    <xf numFmtId="189" fontId="8" fillId="0" borderId="1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3" fontId="8" fillId="0" borderId="8" xfId="13" applyNumberFormat="1" applyFont="1" applyFill="1" applyBorder="1" applyAlignment="1">
      <alignment horizontal="center" vertical="center"/>
    </xf>
    <xf numFmtId="185" fontId="8" fillId="0" borderId="8" xfId="11" applyNumberFormat="1" applyFont="1" applyFill="1" applyBorder="1" applyAlignment="1">
      <alignment horizontal="center"/>
    </xf>
    <xf numFmtId="185" fontId="8" fillId="0" borderId="9" xfId="11" applyNumberFormat="1" applyFont="1" applyFill="1" applyBorder="1" applyAlignment="1">
      <alignment horizontal="center"/>
    </xf>
    <xf numFmtId="3" fontId="8" fillId="0" borderId="6" xfId="13" applyNumberFormat="1" applyFont="1" applyFill="1" applyBorder="1" applyAlignment="1">
      <alignment horizontal="center" vertical="center"/>
    </xf>
    <xf numFmtId="3" fontId="0" fillId="5" borderId="0" xfId="0" applyNumberFormat="1" applyFill="1" applyAlignment="1">
      <alignment horizontal="center"/>
    </xf>
    <xf numFmtId="0" fontId="5" fillId="0" borderId="20" xfId="0" applyFont="1" applyBorder="1"/>
    <xf numFmtId="5" fontId="5" fillId="0" borderId="23" xfId="0" applyNumberFormat="1" applyFont="1" applyBorder="1"/>
    <xf numFmtId="0" fontId="5" fillId="0" borderId="0" xfId="0" applyFont="1" applyBorder="1" applyAlignment="1">
      <alignment horizontal="right"/>
    </xf>
    <xf numFmtId="0" fontId="5" fillId="6" borderId="18" xfId="0" applyFont="1" applyFill="1" applyBorder="1"/>
    <xf numFmtId="0" fontId="5" fillId="6" borderId="19" xfId="0" applyFont="1" applyFill="1" applyBorder="1"/>
    <xf numFmtId="0" fontId="5" fillId="6" borderId="22" xfId="0" applyFont="1" applyFill="1" applyBorder="1"/>
    <xf numFmtId="0" fontId="5" fillId="6" borderId="20" xfId="0" applyFont="1" applyFill="1" applyBorder="1"/>
    <xf numFmtId="0" fontId="5" fillId="6" borderId="0" xfId="0" applyFont="1" applyFill="1" applyBorder="1"/>
    <xf numFmtId="0" fontId="5" fillId="6" borderId="23" xfId="0" applyFont="1" applyFill="1" applyBorder="1"/>
    <xf numFmtId="3" fontId="0" fillId="0" borderId="0" xfId="1" applyNumberFormat="1" applyFont="1"/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2" fillId="8" borderId="1" xfId="12" applyFont="1" applyFill="1" applyBorder="1" applyAlignment="1">
      <alignment horizontal="center" vertical="center" wrapText="1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center" vertical="center"/>
    </xf>
    <xf numFmtId="3" fontId="12" fillId="8" borderId="1" xfId="12" applyNumberFormat="1" applyFont="1" applyFill="1" applyBorder="1" applyAlignment="1">
      <alignment horizontal="center" vertical="center" wrapText="1"/>
    </xf>
    <xf numFmtId="0" fontId="12" fillId="8" borderId="9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2" fillId="8" borderId="13" xfId="12" applyFont="1" applyFill="1" applyBorder="1" applyAlignment="1">
      <alignment horizontal="left" vertical="center"/>
    </xf>
    <xf numFmtId="0" fontId="12" fillId="8" borderId="14" xfId="12" applyFont="1" applyFill="1" applyBorder="1" applyAlignment="1">
      <alignment horizontal="center" vertical="center"/>
    </xf>
    <xf numFmtId="0" fontId="12" fillId="8" borderId="11" xfId="12" applyFont="1" applyFill="1" applyBorder="1" applyAlignment="1">
      <alignment horizontal="center" vertical="center" wrapText="1"/>
    </xf>
    <xf numFmtId="0" fontId="16" fillId="8" borderId="1" xfId="15" applyFont="1" applyFill="1" applyBorder="1" applyAlignment="1">
      <alignment horizontal="center"/>
    </xf>
    <xf numFmtId="0" fontId="8" fillId="8" borderId="7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horizontal="center" wrapText="1"/>
    </xf>
    <xf numFmtId="3" fontId="8" fillId="8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12" fillId="0" borderId="10" xfId="0" applyFont="1" applyBorder="1"/>
    <xf numFmtId="0" fontId="0" fillId="0" borderId="0" xfId="0" applyBorder="1"/>
    <xf numFmtId="0" fontId="0" fillId="0" borderId="17" xfId="0" applyBorder="1"/>
    <xf numFmtId="0" fontId="12" fillId="0" borderId="0" xfId="0" applyFont="1" applyBorder="1"/>
    <xf numFmtId="0" fontId="8" fillId="0" borderId="0" xfId="0" applyFont="1" applyBorder="1"/>
    <xf numFmtId="0" fontId="8" fillId="0" borderId="17" xfId="0" applyFont="1" applyBorder="1"/>
    <xf numFmtId="9" fontId="8" fillId="0" borderId="0" xfId="11" applyFont="1" applyFill="1" applyAlignment="1">
      <alignment vertical="center"/>
    </xf>
    <xf numFmtId="0" fontId="1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72" fontId="2" fillId="4" borderId="1" xfId="0" applyNumberFormat="1" applyFont="1" applyFill="1" applyBorder="1"/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" xfId="1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2" fillId="8" borderId="7" xfId="12" applyFont="1" applyFill="1" applyBorder="1" applyAlignment="1">
      <alignment horizontal="left" vertical="center" wrapText="1"/>
    </xf>
    <xf numFmtId="0" fontId="12" fillId="8" borderId="8" xfId="12" applyFont="1" applyFill="1" applyBorder="1" applyAlignment="1">
      <alignment horizontal="left" vertical="center" wrapText="1"/>
    </xf>
    <xf numFmtId="0" fontId="12" fillId="8" borderId="9" xfId="12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vertical="center" wrapText="1" indent="1"/>
    </xf>
    <xf numFmtId="1" fontId="8" fillId="0" borderId="8" xfId="0" applyNumberFormat="1" applyFont="1" applyFill="1" applyBorder="1" applyAlignment="1">
      <alignment horizontal="left" vertical="center" wrapText="1" indent="1"/>
    </xf>
    <xf numFmtId="1" fontId="8" fillId="0" borderId="9" xfId="0" applyNumberFormat="1" applyFont="1" applyFill="1" applyBorder="1" applyAlignment="1">
      <alignment horizontal="left" vertical="center" wrapText="1" indent="1"/>
    </xf>
    <xf numFmtId="1" fontId="8" fillId="0" borderId="7" xfId="0" applyNumberFormat="1" applyFont="1" applyFill="1" applyBorder="1" applyAlignment="1">
      <alignment horizontal="left" vertical="center" indent="1"/>
    </xf>
    <xf numFmtId="1" fontId="8" fillId="0" borderId="8" xfId="0" applyNumberFormat="1" applyFont="1" applyFill="1" applyBorder="1" applyAlignment="1">
      <alignment horizontal="left" vertical="center" indent="1"/>
    </xf>
    <xf numFmtId="1" fontId="8" fillId="0" borderId="9" xfId="0" applyNumberFormat="1" applyFont="1" applyFill="1" applyBorder="1" applyAlignment="1">
      <alignment horizontal="left" vertical="center" indent="1"/>
    </xf>
    <xf numFmtId="0" fontId="12" fillId="0" borderId="16" xfId="0" applyFont="1" applyFill="1" applyBorder="1" applyAlignment="1">
      <alignment horizontal="left" vertical="center"/>
    </xf>
    <xf numFmtId="0" fontId="12" fillId="8" borderId="7" xfId="12" applyFont="1" applyFill="1" applyBorder="1" applyAlignment="1">
      <alignment horizontal="left" vertical="center"/>
    </xf>
    <xf numFmtId="0" fontId="12" fillId="8" borderId="8" xfId="12" applyFont="1" applyFill="1" applyBorder="1" applyAlignment="1">
      <alignment horizontal="left" vertical="center"/>
    </xf>
    <xf numFmtId="0" fontId="12" fillId="8" borderId="9" xfId="12" applyFont="1" applyFill="1" applyBorder="1" applyAlignment="1">
      <alignment horizontal="left" vertical="center"/>
    </xf>
    <xf numFmtId="0" fontId="16" fillId="8" borderId="1" xfId="15" applyFont="1" applyFill="1" applyBorder="1" applyAlignment="1">
      <alignment horizontal="center"/>
    </xf>
    <xf numFmtId="0" fontId="12" fillId="8" borderId="7" xfId="12" applyFont="1" applyFill="1" applyBorder="1" applyAlignment="1">
      <alignment horizontal="center" vertical="center"/>
    </xf>
    <xf numFmtId="0" fontId="12" fillId="8" borderId="8" xfId="12" applyFont="1" applyFill="1" applyBorder="1" applyAlignment="1">
      <alignment horizontal="center" vertical="center"/>
    </xf>
    <xf numFmtId="0" fontId="12" fillId="8" borderId="9" xfId="12" applyFont="1" applyFill="1" applyBorder="1" applyAlignment="1">
      <alignment horizontal="center" vertical="center"/>
    </xf>
    <xf numFmtId="185" fontId="8" fillId="0" borderId="7" xfId="0" applyNumberFormat="1" applyFont="1" applyFill="1" applyBorder="1" applyAlignment="1">
      <alignment horizontal="left" vertical="center" wrapText="1"/>
    </xf>
    <xf numFmtId="185" fontId="8" fillId="0" borderId="8" xfId="0" applyNumberFormat="1" applyFont="1" applyFill="1" applyBorder="1" applyAlignment="1">
      <alignment horizontal="left" vertical="center" wrapText="1"/>
    </xf>
    <xf numFmtId="185" fontId="8" fillId="0" borderId="9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2" fillId="8" borderId="8" xfId="0" applyFont="1" applyFill="1" applyBorder="1" applyAlignment="1">
      <alignment horizontal="left"/>
    </xf>
    <xf numFmtId="0" fontId="12" fillId="8" borderId="9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/>
    </xf>
    <xf numFmtId="0" fontId="5" fillId="6" borderId="11" xfId="0" applyNumberFormat="1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7" xfId="0" applyNumberFormat="1" applyFont="1" applyFill="1" applyBorder="1" applyAlignment="1">
      <alignment horizontal="center"/>
    </xf>
    <xf numFmtId="0" fontId="5" fillId="6" borderId="8" xfId="0" applyNumberFormat="1" applyFont="1" applyFill="1" applyBorder="1" applyAlignment="1">
      <alignment horizontal="center"/>
    </xf>
    <xf numFmtId="0" fontId="5" fillId="6" borderId="9" xfId="0" applyNumberFormat="1" applyFont="1" applyFill="1" applyBorder="1" applyAlignment="1">
      <alignment horizontal="center"/>
    </xf>
    <xf numFmtId="0" fontId="5" fillId="6" borderId="13" xfId="0" applyNumberFormat="1" applyFont="1" applyFill="1" applyBorder="1" applyAlignment="1">
      <alignment horizontal="center"/>
    </xf>
    <xf numFmtId="0" fontId="5" fillId="6" borderId="14" xfId="0" applyNumberFormat="1" applyFont="1" applyFill="1" applyBorder="1" applyAlignment="1">
      <alignment horizontal="center"/>
    </xf>
    <xf numFmtId="0" fontId="5" fillId="6" borderId="15" xfId="0" applyNumberFormat="1" applyFont="1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/>
    </xf>
    <xf numFmtId="0" fontId="5" fillId="6" borderId="6" xfId="0" applyNumberFormat="1" applyFont="1" applyFill="1" applyBorder="1" applyAlignment="1">
      <alignment horizontal="center"/>
    </xf>
    <xf numFmtId="0" fontId="5" fillId="6" borderId="17" xfId="0" applyNumberFormat="1" applyFont="1" applyFill="1" applyBorder="1" applyAlignment="1">
      <alignment horizontal="center"/>
    </xf>
    <xf numFmtId="0" fontId="5" fillId="6" borderId="10" xfId="0" applyNumberFormat="1" applyFont="1" applyFill="1" applyBorder="1" applyAlignment="1">
      <alignment horizontal="center"/>
    </xf>
  </cellXfs>
  <cellStyles count="18">
    <cellStyle name="Comma" xfId="1" builtinId="3"/>
    <cellStyle name="Comma 2" xfId="2"/>
    <cellStyle name="Comma 3" xfId="3"/>
    <cellStyle name="Comma 3 2 5" xfId="16"/>
    <cellStyle name="Comma_Horizon 2011 Load Forecast Model  June 25, 2010" xfId="4"/>
    <cellStyle name="Comma_OPDC_RA2009_Rates Design" xfId="14"/>
    <cellStyle name="Comma0" xfId="5"/>
    <cellStyle name="Currency" xfId="6" builtinId="4"/>
    <cellStyle name="Currency0" xfId="7"/>
    <cellStyle name="Date" xfId="8"/>
    <cellStyle name="Fixed" xfId="9"/>
    <cellStyle name="Normal" xfId="0" builtinId="0"/>
    <cellStyle name="Normal 2" xfId="10"/>
    <cellStyle name="Normal 5 2 3" xfId="15"/>
    <cellStyle name="Normal_OEB Trial Balance - Regulatory-July24-07" xfId="13"/>
    <cellStyle name="Normal_Sheet2" xfId="12"/>
    <cellStyle name="Percent" xfId="11" builtinId="5"/>
    <cellStyle name="Percent 3 2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'Exhibit 3 Tables'!$J$104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'Exhibit 3 Tables'!$I$105:$I$114</c:f>
              <c:numCache>
                <c:formatCode>@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'Exhibit 3 Tables'!$J$105:$J$114</c:f>
              <c:numCache>
                <c:formatCode>0</c:formatCode>
                <c:ptCount val="10"/>
                <c:pt idx="0">
                  <c:v>234.4</c:v>
                </c:pt>
                <c:pt idx="1">
                  <c:v>241.2</c:v>
                </c:pt>
                <c:pt idx="2">
                  <c:v>245.6</c:v>
                </c:pt>
                <c:pt idx="3">
                  <c:v>247.2</c:v>
                </c:pt>
                <c:pt idx="4">
                  <c:v>250.2</c:v>
                </c:pt>
                <c:pt idx="5">
                  <c:v>246.8</c:v>
                </c:pt>
                <c:pt idx="6">
                  <c:v>245.1</c:v>
                </c:pt>
                <c:pt idx="7">
                  <c:v>245.1</c:v>
                </c:pt>
                <c:pt idx="8">
                  <c:v>253.3</c:v>
                </c:pt>
                <c:pt idx="9">
                  <c:v>255.2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C-456A-9AFB-ED35207293F1}"/>
            </c:ext>
          </c:extLst>
        </c:ser>
        <c:ser>
          <c:idx val="1"/>
          <c:order val="1"/>
          <c:tx>
            <c:strRef>
              <c:f>'Exhibit 3 Tables'!$K$104</c:f>
              <c:strCache>
                <c:ptCount val="1"/>
                <c:pt idx="0">
                  <c:v>Predicted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'Exhibit 3 Tables'!$I$105:$I$114</c:f>
              <c:numCache>
                <c:formatCode>@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'Exhibit 3 Tables'!$K$105:$K$114</c:f>
              <c:numCache>
                <c:formatCode>0</c:formatCode>
                <c:ptCount val="10"/>
                <c:pt idx="0">
                  <c:v>236.7</c:v>
                </c:pt>
                <c:pt idx="1">
                  <c:v>243.5</c:v>
                </c:pt>
                <c:pt idx="2">
                  <c:v>242.7</c:v>
                </c:pt>
                <c:pt idx="3">
                  <c:v>242.9</c:v>
                </c:pt>
                <c:pt idx="4">
                  <c:v>245.5</c:v>
                </c:pt>
                <c:pt idx="5">
                  <c:v>248</c:v>
                </c:pt>
                <c:pt idx="6">
                  <c:v>246</c:v>
                </c:pt>
                <c:pt idx="7">
                  <c:v>249.5</c:v>
                </c:pt>
                <c:pt idx="8">
                  <c:v>254.2</c:v>
                </c:pt>
                <c:pt idx="9">
                  <c:v>255.1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C-456A-9AFB-ED352072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068096"/>
        <c:axId val="110069632"/>
      </c:barChart>
      <c:catAx>
        <c:axId val="1100680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69632"/>
        <c:crosses val="autoZero"/>
        <c:auto val="1"/>
        <c:lblAlgn val="ctr"/>
        <c:lblOffset val="100"/>
        <c:noMultiLvlLbl val="0"/>
      </c:catAx>
      <c:valAx>
        <c:axId val="1100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6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100</xdr:row>
      <xdr:rowOff>15240</xdr:rowOff>
    </xdr:from>
    <xdr:to>
      <xdr:col>16</xdr:col>
      <xdr:colOff>449580</xdr:colOff>
      <xdr:row>114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16</xdr:col>
      <xdr:colOff>656048</xdr:colOff>
      <xdr:row>32</xdr:row>
      <xdr:rowOff>161541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305050"/>
          <a:ext cx="9419048" cy="30761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Revised%20Load%20Forecast%20for%202017-2020%20ASyed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3-1231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4-1231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eng-daily-01012015-1231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2017%20to%202021%20Load%20Forecast%20May%2013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2002%20to%202011%20Load%20Forecast%20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Power%20Puchased%202002_2015%20Dec%20Updates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Innisfil\2013%20Rate%20Appl\Load%20Forecast\2002%20to%202011%20Load%20Forecast%20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2017%20to%202021%20Load%20Forecast%20May%202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p\AppData\Local\Microsoft\Windows\Temporary%20Internet%20Files\Content.Outlook\L7LXSOMP\InnPower%20CDM%20Plan%20Submission\InnPower%20CDM%20Plan%20Submission\InnPower%20CF%20CDM%20EE%20Cost%20Effectiveness%20Tool%20Final%20v2_0120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D6">
            <v>674</v>
          </cell>
          <cell r="E6">
            <v>348</v>
          </cell>
          <cell r="F6">
            <v>1143.9000000000001</v>
          </cell>
          <cell r="G6">
            <v>1150.8</v>
          </cell>
          <cell r="H6">
            <v>954.7</v>
          </cell>
          <cell r="I6">
            <v>997.2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3-12312013"/>
    </sheetNames>
    <sheetDataSet>
      <sheetData sheetId="0">
        <row r="57">
          <cell r="M57">
            <v>624.40000000000009</v>
          </cell>
          <cell r="O57">
            <v>0</v>
          </cell>
        </row>
        <row r="86">
          <cell r="M86">
            <v>631.49999999999989</v>
          </cell>
          <cell r="O86">
            <v>0</v>
          </cell>
        </row>
        <row r="117">
          <cell r="M117">
            <v>554.79999999999995</v>
          </cell>
          <cell r="O117">
            <v>0</v>
          </cell>
        </row>
        <row r="147">
          <cell r="M147">
            <v>358.6</v>
          </cell>
          <cell r="O147">
            <v>0</v>
          </cell>
        </row>
        <row r="178">
          <cell r="M178">
            <v>109.10000000000001</v>
          </cell>
          <cell r="O178">
            <v>23.1</v>
          </cell>
        </row>
        <row r="208">
          <cell r="M208">
            <v>32.999999999999993</v>
          </cell>
          <cell r="O208">
            <v>59.6</v>
          </cell>
        </row>
        <row r="239">
          <cell r="M239">
            <v>1.2999999999999998</v>
          </cell>
          <cell r="O239">
            <v>120.80000000000003</v>
          </cell>
        </row>
        <row r="270">
          <cell r="M270">
            <v>4.4000000000000004</v>
          </cell>
          <cell r="O270">
            <v>93.799999999999983</v>
          </cell>
        </row>
        <row r="300">
          <cell r="M300">
            <v>82.999999999999986</v>
          </cell>
          <cell r="O300">
            <v>28.099999999999998</v>
          </cell>
        </row>
        <row r="331">
          <cell r="M331">
            <v>208.5</v>
          </cell>
          <cell r="O331">
            <v>0.4</v>
          </cell>
        </row>
        <row r="361">
          <cell r="M361">
            <v>478.20000000000005</v>
          </cell>
          <cell r="O361">
            <v>0</v>
          </cell>
        </row>
        <row r="392">
          <cell r="M392">
            <v>687.9</v>
          </cell>
          <cell r="O392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4-12312014"/>
    </sheetNames>
    <sheetDataSet>
      <sheetData sheetId="0">
        <row r="57">
          <cell r="M57">
            <v>825.90000000000009</v>
          </cell>
          <cell r="O57">
            <v>0</v>
          </cell>
        </row>
        <row r="86">
          <cell r="M86">
            <v>737.09999999999991</v>
          </cell>
          <cell r="O86">
            <v>0</v>
          </cell>
        </row>
        <row r="117">
          <cell r="M117">
            <v>690.6</v>
          </cell>
          <cell r="O117">
            <v>0</v>
          </cell>
        </row>
        <row r="147">
          <cell r="M147">
            <v>356.90000000000003</v>
          </cell>
          <cell r="O147">
            <v>0</v>
          </cell>
        </row>
        <row r="178">
          <cell r="M178">
            <v>132.10000000000005</v>
          </cell>
          <cell r="O178">
            <v>11.9</v>
          </cell>
        </row>
        <row r="208">
          <cell r="M208">
            <v>14.1</v>
          </cell>
          <cell r="O208">
            <v>68.099999999999994</v>
          </cell>
        </row>
        <row r="239">
          <cell r="M239">
            <v>4</v>
          </cell>
          <cell r="O239">
            <v>71</v>
          </cell>
        </row>
        <row r="270">
          <cell r="M270">
            <v>8.7999999999999989</v>
          </cell>
          <cell r="O270">
            <v>81.799999999999983</v>
          </cell>
        </row>
        <row r="300">
          <cell r="M300">
            <v>69.700000000000017</v>
          </cell>
          <cell r="O300">
            <v>30.099999999999998</v>
          </cell>
        </row>
        <row r="331">
          <cell r="M331">
            <v>224.30000000000004</v>
          </cell>
          <cell r="O331">
            <v>1.3</v>
          </cell>
        </row>
        <row r="361">
          <cell r="M361">
            <v>482.1</v>
          </cell>
          <cell r="O361">
            <v>0</v>
          </cell>
        </row>
        <row r="392">
          <cell r="M392">
            <v>557.29999999999995</v>
          </cell>
          <cell r="O39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-daily-01012015-12312015"/>
    </sheetNames>
    <sheetDataSet>
      <sheetData sheetId="0">
        <row r="57">
          <cell r="M57">
            <v>792.39999999999975</v>
          </cell>
          <cell r="O57">
            <v>0</v>
          </cell>
        </row>
        <row r="86">
          <cell r="M86">
            <v>856.8</v>
          </cell>
          <cell r="O86">
            <v>0</v>
          </cell>
        </row>
        <row r="117">
          <cell r="M117">
            <v>615.49999999999989</v>
          </cell>
          <cell r="O117">
            <v>0</v>
          </cell>
        </row>
        <row r="147">
          <cell r="M147">
            <v>313.7</v>
          </cell>
          <cell r="O147">
            <v>0</v>
          </cell>
        </row>
        <row r="178">
          <cell r="M178">
            <v>89.3</v>
          </cell>
          <cell r="O178">
            <v>34.1</v>
          </cell>
        </row>
        <row r="208">
          <cell r="M208">
            <v>33.800000000000004</v>
          </cell>
          <cell r="O208">
            <v>32.299999999999997</v>
          </cell>
        </row>
        <row r="239">
          <cell r="M239">
            <v>4</v>
          </cell>
          <cell r="O239">
            <v>114.29999999999998</v>
          </cell>
        </row>
        <row r="270">
          <cell r="M270">
            <v>4.4000000000000004</v>
          </cell>
          <cell r="O270">
            <v>88.6</v>
          </cell>
        </row>
        <row r="300">
          <cell r="M300">
            <v>31.099999999999994</v>
          </cell>
          <cell r="O300">
            <v>81.900000000000006</v>
          </cell>
        </row>
        <row r="331">
          <cell r="M331">
            <v>249.8</v>
          </cell>
          <cell r="O331">
            <v>0</v>
          </cell>
        </row>
        <row r="361">
          <cell r="M361">
            <v>345</v>
          </cell>
          <cell r="O361">
            <v>0</v>
          </cell>
        </row>
        <row r="392">
          <cell r="M392">
            <v>429.70000000000005</v>
          </cell>
          <cell r="O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Act vs Pred Chart"/>
      <sheetName val="Summary"/>
      <sheetName val="Purchased Power Model "/>
      <sheetName val="Residential"/>
      <sheetName val="GS &lt; 50 kW"/>
      <sheetName val="GS &gt; 50 kW"/>
      <sheetName val="Rate Class Energy Model"/>
      <sheetName val="Rate Class Customer Model"/>
      <sheetName val="Rate Class Load Model"/>
      <sheetName val="Weather Analysis"/>
      <sheetName val="2016 COP Forecast"/>
      <sheetName val="2017 COP Forecast"/>
      <sheetName val="2018 COP Forecast"/>
      <sheetName val="2019 COP Forecast"/>
      <sheetName val="2020 COP Forecast"/>
      <sheetName val="2021 COP Forecast"/>
    </sheetNames>
    <sheetDataSet>
      <sheetData sheetId="0">
        <row r="208">
          <cell r="B208">
            <v>2006</v>
          </cell>
        </row>
        <row r="209">
          <cell r="B209">
            <v>2007</v>
          </cell>
        </row>
        <row r="210">
          <cell r="B210">
            <v>2008</v>
          </cell>
        </row>
        <row r="211">
          <cell r="B211">
            <v>2009</v>
          </cell>
        </row>
        <row r="212">
          <cell r="B212">
            <v>2010</v>
          </cell>
        </row>
        <row r="213">
          <cell r="B213">
            <v>2011</v>
          </cell>
        </row>
        <row r="214">
          <cell r="B214">
            <v>2012</v>
          </cell>
        </row>
        <row r="215">
          <cell r="B215">
            <v>2013</v>
          </cell>
        </row>
        <row r="216">
          <cell r="B216">
            <v>2014</v>
          </cell>
        </row>
        <row r="217">
          <cell r="B217">
            <v>2015</v>
          </cell>
        </row>
        <row r="289">
          <cell r="P289">
            <v>0.29677625102910027</v>
          </cell>
          <cell r="Q289">
            <v>0.22964187470247915</v>
          </cell>
        </row>
      </sheetData>
      <sheetData sheetId="1" refreshError="1"/>
      <sheetData sheetId="2">
        <row r="3">
          <cell r="I3" t="str">
            <v>2013 Actual</v>
          </cell>
          <cell r="J3" t="str">
            <v>2014 Actual</v>
          </cell>
          <cell r="K3" t="str">
            <v>2015 Actual</v>
          </cell>
          <cell r="L3" t="str">
            <v>2016 Weather Normal</v>
          </cell>
          <cell r="M3" t="str">
            <v>2017 Weather Normal</v>
          </cell>
        </row>
        <row r="4">
          <cell r="I4">
            <v>245129838.10000002</v>
          </cell>
          <cell r="J4">
            <v>253254985</v>
          </cell>
          <cell r="K4">
            <v>255186387</v>
          </cell>
        </row>
        <row r="5">
          <cell r="I5">
            <v>249473504.49720371</v>
          </cell>
          <cell r="J5">
            <v>254225266.15011215</v>
          </cell>
          <cell r="K5">
            <v>255095713.96550572</v>
          </cell>
          <cell r="L5">
            <v>258773135.43857595</v>
          </cell>
          <cell r="M5">
            <v>261762895.03097278</v>
          </cell>
        </row>
        <row r="10">
          <cell r="B10">
            <v>219381471.09999999</v>
          </cell>
          <cell r="C10">
            <v>219752747.40000001</v>
          </cell>
          <cell r="D10">
            <v>226836185.95000002</v>
          </cell>
          <cell r="E10">
            <v>229135055.51199999</v>
          </cell>
          <cell r="F10">
            <v>231850248.90999997</v>
          </cell>
          <cell r="G10">
            <v>233577129.06799996</v>
          </cell>
          <cell r="H10">
            <v>229785721.25834411</v>
          </cell>
          <cell r="I10">
            <v>232518309.85753286</v>
          </cell>
          <cell r="J10">
            <v>237858386.56148806</v>
          </cell>
          <cell r="K10">
            <v>242165066.05775237</v>
          </cell>
          <cell r="L10">
            <v>238940858.31243581</v>
          </cell>
          <cell r="M10">
            <v>239587667.33067667</v>
          </cell>
        </row>
        <row r="14">
          <cell r="B14">
            <v>12867</v>
          </cell>
          <cell r="C14">
            <v>12991</v>
          </cell>
          <cell r="D14">
            <v>13277</v>
          </cell>
          <cell r="E14">
            <v>13533</v>
          </cell>
          <cell r="F14">
            <v>13651</v>
          </cell>
          <cell r="G14">
            <v>13779</v>
          </cell>
          <cell r="H14">
            <v>13942.916666666666</v>
          </cell>
          <cell r="I14">
            <v>14181</v>
          </cell>
          <cell r="J14">
            <v>14509.166666666666</v>
          </cell>
          <cell r="K14">
            <v>14861.583333333334</v>
          </cell>
          <cell r="L14">
            <v>15419</v>
          </cell>
          <cell r="M14">
            <v>15930</v>
          </cell>
        </row>
        <row r="15">
          <cell r="B15">
            <v>150233092.31592038</v>
          </cell>
          <cell r="C15">
            <v>149616200.24355027</v>
          </cell>
          <cell r="D15">
            <v>150807967.91560954</v>
          </cell>
          <cell r="E15">
            <v>151173729.68216282</v>
          </cell>
          <cell r="F15">
            <v>149156464.98376492</v>
          </cell>
          <cell r="G15">
            <v>150873412.88607672</v>
          </cell>
          <cell r="H15">
            <v>145610871.6009787</v>
          </cell>
          <cell r="I15">
            <v>148570811.09520668</v>
          </cell>
          <cell r="J15">
            <v>152923211.90943465</v>
          </cell>
          <cell r="K15">
            <v>151526915.08366263</v>
          </cell>
          <cell r="L15">
            <v>149674173.61039653</v>
          </cell>
          <cell r="M15">
            <v>149932101.44827333</v>
          </cell>
        </row>
        <row r="18">
          <cell r="B18">
            <v>797</v>
          </cell>
          <cell r="C18">
            <v>819</v>
          </cell>
          <cell r="D18">
            <v>836</v>
          </cell>
          <cell r="E18">
            <v>855</v>
          </cell>
          <cell r="F18">
            <v>865</v>
          </cell>
          <cell r="G18">
            <v>896</v>
          </cell>
          <cell r="H18">
            <v>913.75</v>
          </cell>
          <cell r="I18">
            <v>949.25</v>
          </cell>
          <cell r="J18">
            <v>991.25</v>
          </cell>
          <cell r="K18">
            <v>1000.5833333333334</v>
          </cell>
          <cell r="L18">
            <v>1026</v>
          </cell>
          <cell r="M18">
            <v>1052</v>
          </cell>
        </row>
        <row r="19">
          <cell r="B19">
            <v>27443720.57335151</v>
          </cell>
          <cell r="C19">
            <v>28670212.627351865</v>
          </cell>
          <cell r="D19">
            <v>28589050.645392656</v>
          </cell>
          <cell r="E19">
            <v>28292210.727234788</v>
          </cell>
          <cell r="F19">
            <v>29371262.372997314</v>
          </cell>
          <cell r="G19">
            <v>30721964.274347447</v>
          </cell>
          <cell r="H19">
            <v>30872636.305821747</v>
          </cell>
          <cell r="I19">
            <v>30978542.255071979</v>
          </cell>
          <cell r="J19">
            <v>32143896.404322214</v>
          </cell>
          <cell r="K19">
            <v>34326840.153572448</v>
          </cell>
          <cell r="L19">
            <v>33122069.126032144</v>
          </cell>
          <cell r="M19">
            <v>32368432.968739454</v>
          </cell>
        </row>
        <row r="22">
          <cell r="B22">
            <v>80</v>
          </cell>
          <cell r="C22">
            <v>71</v>
          </cell>
          <cell r="D22">
            <v>73</v>
          </cell>
          <cell r="E22">
            <v>72</v>
          </cell>
          <cell r="F22">
            <v>68</v>
          </cell>
          <cell r="G22">
            <v>67</v>
          </cell>
          <cell r="H22">
            <v>67.916666666666671</v>
          </cell>
          <cell r="I22">
            <v>67</v>
          </cell>
          <cell r="J22">
            <v>67.166666666666671</v>
          </cell>
          <cell r="K22">
            <v>71.5</v>
          </cell>
          <cell r="L22">
            <v>71.5</v>
          </cell>
          <cell r="M22">
            <v>71.5</v>
          </cell>
        </row>
        <row r="23">
          <cell r="B23">
            <v>39830915</v>
          </cell>
          <cell r="C23">
            <v>39320570</v>
          </cell>
          <cell r="D23">
            <v>45269405.57</v>
          </cell>
          <cell r="E23">
            <v>47473258.210000001</v>
          </cell>
          <cell r="F23">
            <v>51128771.11999999</v>
          </cell>
          <cell r="G23">
            <v>49921685.450000003</v>
          </cell>
          <cell r="H23">
            <v>51138110</v>
          </cell>
          <cell r="I23">
            <v>50921722</v>
          </cell>
          <cell r="J23">
            <v>50592266.850000001</v>
          </cell>
          <cell r="K23">
            <v>54636276</v>
          </cell>
          <cell r="L23">
            <v>54889863.250576422</v>
          </cell>
          <cell r="M23">
            <v>55988819.024951793</v>
          </cell>
        </row>
        <row r="24">
          <cell r="I24">
            <v>130935</v>
          </cell>
          <cell r="J24">
            <v>135393.63999999998</v>
          </cell>
          <cell r="K24">
            <v>141986.79999999999</v>
          </cell>
          <cell r="L24">
            <v>154174.11191583652</v>
          </cell>
          <cell r="M24">
            <v>157260.84816394193</v>
          </cell>
        </row>
        <row r="27">
          <cell r="B27">
            <v>189</v>
          </cell>
          <cell r="C27">
            <v>186</v>
          </cell>
          <cell r="D27">
            <v>186</v>
          </cell>
          <cell r="E27">
            <v>193</v>
          </cell>
          <cell r="F27">
            <v>201</v>
          </cell>
          <cell r="G27">
            <v>225</v>
          </cell>
          <cell r="H27">
            <v>172.08333333333334</v>
          </cell>
          <cell r="I27">
            <v>168</v>
          </cell>
          <cell r="J27">
            <v>169.41666666666666</v>
          </cell>
          <cell r="K27">
            <v>165.75</v>
          </cell>
          <cell r="L27">
            <v>163</v>
          </cell>
          <cell r="M27">
            <v>161</v>
          </cell>
        </row>
        <row r="28">
          <cell r="B28">
            <v>131869</v>
          </cell>
          <cell r="C28">
            <v>126371</v>
          </cell>
          <cell r="D28">
            <v>124211.62</v>
          </cell>
          <cell r="E28">
            <v>122021.1</v>
          </cell>
          <cell r="F28">
            <v>116702.72</v>
          </cell>
          <cell r="G28">
            <v>110240.82</v>
          </cell>
          <cell r="H28">
            <v>113359.85597714041</v>
          </cell>
          <cell r="I28">
            <v>101843.93410009757</v>
          </cell>
          <cell r="J28">
            <v>107980</v>
          </cell>
          <cell r="K28">
            <v>103536</v>
          </cell>
          <cell r="L28">
            <v>100673.16794547772</v>
          </cell>
          <cell r="M28">
            <v>98319.642763457639</v>
          </cell>
        </row>
        <row r="29">
          <cell r="I29">
            <v>283</v>
          </cell>
          <cell r="J29">
            <v>299.94344444444442</v>
          </cell>
          <cell r="K29">
            <v>287.601</v>
          </cell>
          <cell r="L29">
            <v>279.72691784487739</v>
          </cell>
          <cell r="M29">
            <v>273.18749568630062</v>
          </cell>
        </row>
        <row r="32">
          <cell r="B32">
            <v>2371</v>
          </cell>
          <cell r="C32">
            <v>2489</v>
          </cell>
          <cell r="D32">
            <v>2588</v>
          </cell>
          <cell r="E32">
            <v>2625</v>
          </cell>
          <cell r="F32">
            <v>2685</v>
          </cell>
          <cell r="G32">
            <v>2728</v>
          </cell>
          <cell r="H32">
            <v>2728</v>
          </cell>
          <cell r="I32">
            <v>2843.3333333333335</v>
          </cell>
          <cell r="J32">
            <v>2923.3333333333335</v>
          </cell>
          <cell r="K32">
            <v>2897.6666666666665</v>
          </cell>
          <cell r="L32">
            <v>2963</v>
          </cell>
          <cell r="M32">
            <v>3030</v>
          </cell>
        </row>
        <row r="33">
          <cell r="B33">
            <v>1445518</v>
          </cell>
          <cell r="C33">
            <v>1495947</v>
          </cell>
          <cell r="D33">
            <v>1533898.8</v>
          </cell>
          <cell r="E33">
            <v>1576911.6</v>
          </cell>
          <cell r="F33">
            <v>1580058</v>
          </cell>
          <cell r="G33">
            <v>1457369.41</v>
          </cell>
          <cell r="H33">
            <v>1569708.8405002926</v>
          </cell>
          <cell r="I33">
            <v>1472134.2629375483</v>
          </cell>
          <cell r="J33">
            <v>1625553.4323642934</v>
          </cell>
          <cell r="K33">
            <v>1106444</v>
          </cell>
          <cell r="L33">
            <v>657418.89922655048</v>
          </cell>
          <cell r="M33">
            <v>669627.3173472397</v>
          </cell>
        </row>
        <row r="34">
          <cell r="I34">
            <v>4149</v>
          </cell>
          <cell r="J34">
            <v>4581.3899999999994</v>
          </cell>
          <cell r="K34">
            <v>3139.7699999999995</v>
          </cell>
          <cell r="L34">
            <v>1854.1136637654336</v>
          </cell>
          <cell r="M34">
            <v>1888.5449751821914</v>
          </cell>
        </row>
        <row r="37">
          <cell r="B37">
            <v>90</v>
          </cell>
          <cell r="C37">
            <v>89</v>
          </cell>
          <cell r="D37">
            <v>84</v>
          </cell>
          <cell r="E37">
            <v>83</v>
          </cell>
          <cell r="F37">
            <v>82</v>
          </cell>
          <cell r="G37">
            <v>81</v>
          </cell>
          <cell r="H37">
            <v>78.666666666666671</v>
          </cell>
          <cell r="I37">
            <v>77.583333333333329</v>
          </cell>
          <cell r="J37">
            <v>75.583333333333329</v>
          </cell>
          <cell r="K37">
            <v>76</v>
          </cell>
          <cell r="L37">
            <v>75</v>
          </cell>
          <cell r="M37">
            <v>74</v>
          </cell>
        </row>
        <row r="38">
          <cell r="B38">
            <v>296356.21072812018</v>
          </cell>
          <cell r="C38">
            <v>523446.52909785032</v>
          </cell>
          <cell r="D38">
            <v>511651.39899779594</v>
          </cell>
          <cell r="E38">
            <v>496924.19260237826</v>
          </cell>
          <cell r="F38">
            <v>496989.71323771565</v>
          </cell>
          <cell r="G38">
            <v>492456.22757582989</v>
          </cell>
          <cell r="H38">
            <v>481034.65506622108</v>
          </cell>
          <cell r="I38">
            <v>473256.31021658465</v>
          </cell>
          <cell r="J38">
            <v>465477.96536694834</v>
          </cell>
          <cell r="K38">
            <v>465054.82051731192</v>
          </cell>
          <cell r="L38">
            <v>496660.25825870311</v>
          </cell>
          <cell r="M38">
            <v>530366.92860140104</v>
          </cell>
        </row>
        <row r="46">
          <cell r="B46">
            <v>16394</v>
          </cell>
          <cell r="C46">
            <v>16645</v>
          </cell>
          <cell r="D46">
            <v>17044</v>
          </cell>
          <cell r="E46">
            <v>17361</v>
          </cell>
          <cell r="F46">
            <v>17552</v>
          </cell>
          <cell r="G46">
            <v>17776</v>
          </cell>
          <cell r="H46">
            <v>17903.333333333332</v>
          </cell>
          <cell r="I46">
            <v>18286.166666666664</v>
          </cell>
          <cell r="J46">
            <v>18735.916666666664</v>
          </cell>
          <cell r="K46">
            <v>19073.083333333336</v>
          </cell>
          <cell r="L46">
            <v>19717.5</v>
          </cell>
          <cell r="M46">
            <v>20318.5</v>
          </cell>
        </row>
        <row r="56">
          <cell r="L56">
            <v>542444.72954968503</v>
          </cell>
          <cell r="M56">
            <v>495264.01402672008</v>
          </cell>
        </row>
        <row r="58">
          <cell r="L58">
            <v>0.8146368353453961</v>
          </cell>
          <cell r="M58">
            <v>0.8146368353453961</v>
          </cell>
        </row>
        <row r="59">
          <cell r="L59">
            <v>0.1820594207535185</v>
          </cell>
          <cell r="M59">
            <v>0.1820594207535185</v>
          </cell>
        </row>
        <row r="60">
          <cell r="L60">
            <v>3.3037439010854225E-3</v>
          </cell>
          <cell r="M60">
            <v>3.3037439010854225E-3</v>
          </cell>
        </row>
      </sheetData>
      <sheetData sheetId="3">
        <row r="6">
          <cell r="L6">
            <v>0.94276401329347359</v>
          </cell>
        </row>
        <row r="7">
          <cell r="L7">
            <v>0.94025366299932778</v>
          </cell>
        </row>
        <row r="13">
          <cell r="O13">
            <v>375.55078089778431</v>
          </cell>
        </row>
        <row r="18">
          <cell r="N18">
            <v>-3.9890259720512833</v>
          </cell>
        </row>
        <row r="19">
          <cell r="K19" t="str">
            <v>Heating Degree Days</v>
          </cell>
          <cell r="N19">
            <v>30.389851181076668</v>
          </cell>
        </row>
        <row r="20">
          <cell r="K20" t="str">
            <v>Cooling Degree Days</v>
          </cell>
          <cell r="N20">
            <v>11.867544787691221</v>
          </cell>
        </row>
        <row r="21">
          <cell r="K21" t="str">
            <v>Number of Days in Month</v>
          </cell>
          <cell r="N21">
            <v>7.8222566976043089</v>
          </cell>
        </row>
        <row r="22">
          <cell r="K22" t="str">
            <v>Spring Fall Flag</v>
          </cell>
          <cell r="N22">
            <v>-6.6950563324790089</v>
          </cell>
        </row>
        <row r="23">
          <cell r="K23" t="str">
            <v>Number of Customers - 3 Main Classes</v>
          </cell>
          <cell r="N23">
            <v>5.8395731071373946</v>
          </cell>
        </row>
        <row r="123">
          <cell r="J123">
            <v>2.5218302649987302E-2</v>
          </cell>
        </row>
        <row r="200">
          <cell r="B200">
            <v>234398898.69999999</v>
          </cell>
          <cell r="H200">
            <v>236716533.66990495</v>
          </cell>
        </row>
        <row r="201">
          <cell r="B201">
            <v>241154636.09999999</v>
          </cell>
          <cell r="H201">
            <v>243492052.03077695</v>
          </cell>
        </row>
        <row r="202">
          <cell r="B202">
            <v>245623027.80000001</v>
          </cell>
          <cell r="H202">
            <v>242687773.94966653</v>
          </cell>
        </row>
        <row r="203">
          <cell r="B203">
            <v>247239189.20000002</v>
          </cell>
          <cell r="H203">
            <v>242876077.28270113</v>
          </cell>
        </row>
        <row r="204">
          <cell r="B204">
            <v>250239378.79999998</v>
          </cell>
          <cell r="H204">
            <v>245540747.45753264</v>
          </cell>
        </row>
        <row r="205">
          <cell r="B205">
            <v>246758167.20000002</v>
          </cell>
          <cell r="H205">
            <v>248011801.80632263</v>
          </cell>
        </row>
        <row r="206">
          <cell r="B206">
            <v>245129838.40000004</v>
          </cell>
          <cell r="H206">
            <v>245994875.49027348</v>
          </cell>
        </row>
        <row r="207">
          <cell r="B207">
            <v>245129838.10000002</v>
          </cell>
          <cell r="H207">
            <v>249473504.49720371</v>
          </cell>
        </row>
        <row r="208">
          <cell r="B208">
            <v>253254985</v>
          </cell>
          <cell r="H208">
            <v>254225266.15011215</v>
          </cell>
        </row>
        <row r="209">
          <cell r="B209">
            <v>255186387</v>
          </cell>
          <cell r="H209">
            <v>255095713.96550572</v>
          </cell>
        </row>
        <row r="210">
          <cell r="H210">
            <v>258773135.43857595</v>
          </cell>
        </row>
        <row r="211">
          <cell r="H211">
            <v>261762895.03097278</v>
          </cell>
        </row>
        <row r="235">
          <cell r="I235">
            <v>262417646.58603656</v>
          </cell>
        </row>
      </sheetData>
      <sheetData sheetId="4">
        <row r="6">
          <cell r="L6">
            <v>0.77653338145393225</v>
          </cell>
        </row>
        <row r="7">
          <cell r="L7">
            <v>0.77075407235360294</v>
          </cell>
        </row>
      </sheetData>
      <sheetData sheetId="5">
        <row r="6">
          <cell r="L6">
            <v>0.72154306847647276</v>
          </cell>
        </row>
        <row r="7">
          <cell r="L7">
            <v>0.714341596109485</v>
          </cell>
        </row>
      </sheetData>
      <sheetData sheetId="6">
        <row r="6">
          <cell r="L6">
            <v>2.9628671787656102E-2</v>
          </cell>
        </row>
        <row r="7">
          <cell r="L7">
            <v>4.5328615752678993E-3</v>
          </cell>
        </row>
      </sheetData>
      <sheetData sheetId="7">
        <row r="3">
          <cell r="H3" t="str">
            <v>Residential</v>
          </cell>
          <cell r="I3" t="str">
            <v>GS&lt;50</v>
          </cell>
          <cell r="J3" t="str">
            <v>GS&gt;50</v>
          </cell>
          <cell r="K3" t="str">
            <v>Sentinels</v>
          </cell>
          <cell r="L3" t="str">
            <v>Streetlights</v>
          </cell>
          <cell r="M3" t="str">
            <v>USL</v>
          </cell>
          <cell r="N3" t="str">
            <v>Hydro One Load Transfers</v>
          </cell>
        </row>
        <row r="8">
          <cell r="G8">
            <v>219381471.09999999</v>
          </cell>
          <cell r="H8">
            <v>149103951</v>
          </cell>
          <cell r="I8">
            <v>27191374</v>
          </cell>
          <cell r="J8">
            <v>39830915</v>
          </cell>
          <cell r="K8">
            <v>131869</v>
          </cell>
          <cell r="L8">
            <v>1445518</v>
          </cell>
          <cell r="M8">
            <v>291777</v>
          </cell>
        </row>
        <row r="9">
          <cell r="G9">
            <v>219752747.40000001</v>
          </cell>
          <cell r="H9">
            <v>148690902</v>
          </cell>
          <cell r="I9">
            <v>28463422</v>
          </cell>
          <cell r="J9">
            <v>39320570</v>
          </cell>
          <cell r="K9">
            <v>126371</v>
          </cell>
          <cell r="L9">
            <v>1495947</v>
          </cell>
          <cell r="M9">
            <v>519694</v>
          </cell>
        </row>
        <row r="10">
          <cell r="G10">
            <v>226836185.95000002</v>
          </cell>
          <cell r="H10">
            <v>149960621</v>
          </cell>
          <cell r="I10">
            <v>28399681</v>
          </cell>
          <cell r="J10">
            <v>45269405.57</v>
          </cell>
          <cell r="K10">
            <v>124211.62</v>
          </cell>
          <cell r="L10">
            <v>1533898.8</v>
          </cell>
          <cell r="M10">
            <v>508215</v>
          </cell>
        </row>
        <row r="11">
          <cell r="G11">
            <v>229135055.51199999</v>
          </cell>
          <cell r="H11">
            <v>150373777</v>
          </cell>
          <cell r="I11">
            <v>28113433</v>
          </cell>
          <cell r="J11">
            <v>47473258.210000001</v>
          </cell>
          <cell r="K11">
            <v>122021.1</v>
          </cell>
          <cell r="L11">
            <v>1576911.6</v>
          </cell>
          <cell r="M11">
            <v>493680</v>
          </cell>
        </row>
        <row r="12">
          <cell r="G12">
            <v>231850248.90999997</v>
          </cell>
          <cell r="H12">
            <v>148340356.22999996</v>
          </cell>
          <cell r="I12">
            <v>29188874</v>
          </cell>
          <cell r="J12">
            <v>51128771.11999999</v>
          </cell>
          <cell r="K12">
            <v>116702.72</v>
          </cell>
          <cell r="L12">
            <v>1580058</v>
          </cell>
          <cell r="M12">
            <v>493680</v>
          </cell>
        </row>
        <row r="13">
          <cell r="G13">
            <v>233577129.06799996</v>
          </cell>
          <cell r="H13">
            <v>150098109.56999999</v>
          </cell>
          <cell r="I13">
            <v>30548695.32</v>
          </cell>
          <cell r="J13">
            <v>49921685.450000003</v>
          </cell>
          <cell r="K13">
            <v>110240.82</v>
          </cell>
          <cell r="L13">
            <v>1457369.41</v>
          </cell>
          <cell r="M13">
            <v>489312</v>
          </cell>
        </row>
        <row r="14">
          <cell r="G14">
            <v>229785721.25834411</v>
          </cell>
          <cell r="H14">
            <v>144943095</v>
          </cell>
          <cell r="I14">
            <v>30723398</v>
          </cell>
          <cell r="J14">
            <v>51138110</v>
          </cell>
          <cell r="K14">
            <v>113359.85597714041</v>
          </cell>
          <cell r="L14">
            <v>1569708.8405002926</v>
          </cell>
          <cell r="M14">
            <v>478326.5</v>
          </cell>
          <cell r="N14">
            <v>819723.06186666701</v>
          </cell>
        </row>
        <row r="15">
          <cell r="G15">
            <v>232518309.85753286</v>
          </cell>
          <cell r="H15">
            <v>147964296</v>
          </cell>
          <cell r="I15">
            <v>30842995</v>
          </cell>
          <cell r="J15">
            <v>50921722</v>
          </cell>
          <cell r="K15">
            <v>101843.93410009757</v>
          </cell>
          <cell r="L15">
            <v>1472134.2629375483</v>
          </cell>
          <cell r="M15">
            <v>470796.6</v>
          </cell>
          <cell r="N15">
            <v>744522.06049523805</v>
          </cell>
        </row>
        <row r="16">
          <cell r="G16">
            <v>237858386.56148806</v>
          </cell>
          <cell r="H16">
            <v>152377958.31999999</v>
          </cell>
          <cell r="I16">
            <v>32022040.200000003</v>
          </cell>
          <cell r="J16">
            <v>50592266.850000001</v>
          </cell>
          <cell r="K16">
            <v>107980</v>
          </cell>
          <cell r="L16">
            <v>1625553.4323642934</v>
          </cell>
          <cell r="M16">
            <v>463266.7</v>
          </cell>
          <cell r="N16">
            <v>669321.05912381003</v>
          </cell>
        </row>
        <row r="17">
          <cell r="G17">
            <v>242165066.05775237</v>
          </cell>
          <cell r="H17">
            <v>151042923</v>
          </cell>
          <cell r="I17">
            <v>34218675</v>
          </cell>
          <cell r="J17">
            <v>54636276</v>
          </cell>
          <cell r="K17">
            <v>103536</v>
          </cell>
          <cell r="L17">
            <v>1106444</v>
          </cell>
          <cell r="M17">
            <v>463092</v>
          </cell>
          <cell r="N17">
            <v>594120.05775238096</v>
          </cell>
        </row>
        <row r="26">
          <cell r="F26">
            <v>1.0721296464596082</v>
          </cell>
        </row>
        <row r="31">
          <cell r="H31">
            <v>11588.089764513872</v>
          </cell>
          <cell r="I31">
            <v>34117.156838143033</v>
          </cell>
          <cell r="J31">
            <v>497886.4375</v>
          </cell>
          <cell r="K31">
            <v>697.71957671957671</v>
          </cell>
          <cell r="L31">
            <v>609.66596372838467</v>
          </cell>
          <cell r="M31">
            <v>3241.9666666666667</v>
          </cell>
          <cell r="N31">
            <v>1386067.1</v>
          </cell>
        </row>
        <row r="32">
          <cell r="H32">
            <v>11445.685628512047</v>
          </cell>
          <cell r="I32">
            <v>34753.873015873018</v>
          </cell>
          <cell r="J32">
            <v>553810.84507042251</v>
          </cell>
          <cell r="K32">
            <v>679.41397849462362</v>
          </cell>
          <cell r="L32">
            <v>601.02330253113701</v>
          </cell>
          <cell r="M32">
            <v>5839.2584269662921</v>
          </cell>
          <cell r="N32">
            <v>1135841.3999999999</v>
          </cell>
        </row>
        <row r="33">
          <cell r="H33">
            <v>11294.766965428937</v>
          </cell>
          <cell r="I33">
            <v>33970.910287081337</v>
          </cell>
          <cell r="J33">
            <v>620128.84342465759</v>
          </cell>
          <cell r="K33">
            <v>667.80440860215049</v>
          </cell>
          <cell r="L33">
            <v>592.69659969088104</v>
          </cell>
          <cell r="M33">
            <v>6050.1785714285716</v>
          </cell>
          <cell r="N33">
            <v>1040152.96</v>
          </cell>
        </row>
        <row r="34">
          <cell r="H34">
            <v>11111.63651814084</v>
          </cell>
          <cell r="I34">
            <v>32881.2081871345</v>
          </cell>
          <cell r="J34">
            <v>659350.80847222218</v>
          </cell>
          <cell r="K34">
            <v>632.23367875647671</v>
          </cell>
          <cell r="L34">
            <v>600.72822857142864</v>
          </cell>
          <cell r="M34">
            <v>5947.9518072289156</v>
          </cell>
          <cell r="N34">
            <v>981974.60200000007</v>
          </cell>
        </row>
        <row r="35">
          <cell r="H35">
            <v>10866.629274778401</v>
          </cell>
          <cell r="I35">
            <v>33744.363005780346</v>
          </cell>
          <cell r="J35">
            <v>751893.69294117636</v>
          </cell>
          <cell r="K35">
            <v>580.61054726368161</v>
          </cell>
          <cell r="L35">
            <v>588.47597765363128</v>
          </cell>
          <cell r="M35">
            <v>6020.4878048780483</v>
          </cell>
          <cell r="N35">
            <v>1001806.8400000001</v>
          </cell>
        </row>
        <row r="36">
          <cell r="H36">
            <v>10893.251293272371</v>
          </cell>
          <cell r="I36">
            <v>34094.526026785716</v>
          </cell>
          <cell r="J36">
            <v>745099.78283582092</v>
          </cell>
          <cell r="K36">
            <v>489.95920000000001</v>
          </cell>
          <cell r="L36">
            <v>534.22632331378293</v>
          </cell>
          <cell r="M36">
            <v>6040.8888888888887</v>
          </cell>
          <cell r="N36">
            <v>951716.49800000002</v>
          </cell>
        </row>
        <row r="37">
          <cell r="H37">
            <v>10395.464483160506</v>
          </cell>
          <cell r="I37">
            <v>33623.417783857731</v>
          </cell>
          <cell r="J37">
            <v>752953.7668711656</v>
          </cell>
          <cell r="K37">
            <v>658.7497683901621</v>
          </cell>
          <cell r="L37">
            <v>575.40646645905156</v>
          </cell>
          <cell r="M37">
            <v>6080.421610169491</v>
          </cell>
          <cell r="N37">
            <v>819723.06186666701</v>
          </cell>
        </row>
        <row r="38">
          <cell r="H38">
            <v>10433.981806642691</v>
          </cell>
          <cell r="I38">
            <v>32491.962075322623</v>
          </cell>
          <cell r="J38">
            <v>760025.70149253728</v>
          </cell>
          <cell r="K38">
            <v>606.21389345296177</v>
          </cell>
          <cell r="L38">
            <v>517.74944769198646</v>
          </cell>
          <cell r="M38">
            <v>6068.2698174006446</v>
          </cell>
          <cell r="N38">
            <v>744522.06049523805</v>
          </cell>
        </row>
        <row r="39">
          <cell r="H39">
            <v>10502.185399115502</v>
          </cell>
          <cell r="I39">
            <v>32304.706380832286</v>
          </cell>
          <cell r="J39">
            <v>753234.74218362279</v>
          </cell>
          <cell r="K39">
            <v>637.36350221347766</v>
          </cell>
          <cell r="L39">
            <v>556.06160742222119</v>
          </cell>
          <cell r="M39">
            <v>6129.2176405733189</v>
          </cell>
          <cell r="N39">
            <v>669321.05912381003</v>
          </cell>
        </row>
        <row r="40">
          <cell r="H40">
            <v>10163.312993792721</v>
          </cell>
          <cell r="I40">
            <v>34198.725743316398</v>
          </cell>
          <cell r="J40">
            <v>764143.72027972026</v>
          </cell>
          <cell r="K40">
            <v>624.65158371040729</v>
          </cell>
          <cell r="L40">
            <v>381.83964109053261</v>
          </cell>
          <cell r="M40">
            <v>6093.3157894736842</v>
          </cell>
          <cell r="N40">
            <v>594120.05775238096</v>
          </cell>
        </row>
        <row r="41">
          <cell r="N41">
            <v>542444.72954968503</v>
          </cell>
        </row>
        <row r="42">
          <cell r="N42">
            <v>495264.01402672008</v>
          </cell>
        </row>
        <row r="60">
          <cell r="H60">
            <v>0.98777602015576371</v>
          </cell>
          <cell r="I60">
            <v>0.99319979390360302</v>
          </cell>
          <cell r="J60">
            <v>1.0531130775716524</v>
          </cell>
          <cell r="K60">
            <v>0.9887540723787801</v>
          </cell>
          <cell r="L60">
            <v>0.98856190391696741</v>
          </cell>
          <cell r="M60">
            <v>1.0828656118489077</v>
          </cell>
        </row>
        <row r="71">
          <cell r="H71">
            <v>149232278.1525664</v>
          </cell>
          <cell r="I71">
            <v>33023311.952779528</v>
          </cell>
          <cell r="J71">
            <v>54889863.250576422</v>
          </cell>
          <cell r="K71">
            <v>100673.16794547772</v>
          </cell>
          <cell r="L71">
            <v>657418.89922655048</v>
          </cell>
          <cell r="M71">
            <v>494868.15979177738</v>
          </cell>
          <cell r="N71">
            <v>542444.72954968503</v>
          </cell>
          <cell r="O71">
            <v>238940858.31243581</v>
          </cell>
        </row>
        <row r="72">
          <cell r="H72">
            <v>149528641.13922614</v>
          </cell>
          <cell r="I72">
            <v>32278265.489225686</v>
          </cell>
          <cell r="J72">
            <v>55988819.024951793</v>
          </cell>
          <cell r="K72">
            <v>98319.642763457639</v>
          </cell>
          <cell r="L72">
            <v>669627.3173472397</v>
          </cell>
          <cell r="M72">
            <v>528730.70313563314</v>
          </cell>
          <cell r="N72">
            <v>495264.01402672008</v>
          </cell>
          <cell r="O72">
            <v>239587667.33067667</v>
          </cell>
        </row>
        <row r="79">
          <cell r="H79">
            <v>0.82499999999999996</v>
          </cell>
          <cell r="I79">
            <v>0.82499999999999996</v>
          </cell>
          <cell r="J79">
            <v>0.65</v>
          </cell>
        </row>
        <row r="88">
          <cell r="H88">
            <v>-5318031.0279905554</v>
          </cell>
          <cell r="I88">
            <v>-1197277.4009542523</v>
          </cell>
          <cell r="J88">
            <v>-1557458.1417650478</v>
          </cell>
          <cell r="K88">
            <v>0</v>
          </cell>
          <cell r="L88">
            <v>0</v>
          </cell>
          <cell r="M88">
            <v>0</v>
          </cell>
        </row>
        <row r="89">
          <cell r="H89">
            <v>-7958654.1396459481</v>
          </cell>
          <cell r="I89">
            <v>-1788012.3073211929</v>
          </cell>
          <cell r="J89">
            <v>-2405260.4388847477</v>
          </cell>
          <cell r="K89">
            <v>0</v>
          </cell>
          <cell r="L89">
            <v>0</v>
          </cell>
          <cell r="M89">
            <v>0</v>
          </cell>
        </row>
        <row r="97">
          <cell r="G97">
            <v>-2422801.66385331</v>
          </cell>
          <cell r="L97">
            <v>-461031</v>
          </cell>
          <cell r="O97">
            <v>-2422801.66385331</v>
          </cell>
        </row>
        <row r="98">
          <cell r="G98">
            <v>-4564610.2370293681</v>
          </cell>
          <cell r="L98">
            <v>-461031</v>
          </cell>
          <cell r="O98">
            <v>-4564610.2370293681</v>
          </cell>
        </row>
        <row r="108">
          <cell r="F108" t="str">
            <v>2015 Programs</v>
          </cell>
          <cell r="G108">
            <v>1701888.8382273095</v>
          </cell>
          <cell r="H108">
            <v>1701888.8382273095</v>
          </cell>
          <cell r="I108">
            <v>1701888.8382273095</v>
          </cell>
          <cell r="J108">
            <v>1701888.8382273095</v>
          </cell>
          <cell r="K108">
            <v>1701888.8382273095</v>
          </cell>
          <cell r="L108">
            <v>1701888.8382273095</v>
          </cell>
          <cell r="M108">
            <v>1701888.8382273095</v>
          </cell>
        </row>
        <row r="109">
          <cell r="F109" t="str">
            <v>2016 Programs</v>
          </cell>
          <cell r="H109">
            <v>3143714.4894793103</v>
          </cell>
          <cell r="I109">
            <v>3143714.4894793103</v>
          </cell>
          <cell r="J109">
            <v>3143714.4894793103</v>
          </cell>
          <cell r="K109">
            <v>3143714.4894793103</v>
          </cell>
          <cell r="L109">
            <v>3143714.4894793103</v>
          </cell>
          <cell r="M109">
            <v>3143714.4894793103</v>
          </cell>
        </row>
        <row r="110">
          <cell r="F110" t="str">
            <v>2017 Programs</v>
          </cell>
          <cell r="I110">
            <v>1139902.6568728054</v>
          </cell>
          <cell r="J110">
            <v>1139902.6568728054</v>
          </cell>
          <cell r="K110">
            <v>1139902.6568728054</v>
          </cell>
          <cell r="L110">
            <v>1139902.6568728054</v>
          </cell>
          <cell r="M110">
            <v>1139902.6568728054</v>
          </cell>
        </row>
        <row r="111">
          <cell r="F111" t="str">
            <v>2018 Programs</v>
          </cell>
          <cell r="J111">
            <v>2174128.8420581706</v>
          </cell>
          <cell r="K111">
            <v>2174128.8420581706</v>
          </cell>
          <cell r="L111">
            <v>2174128.8420581706</v>
          </cell>
          <cell r="M111">
            <v>2174128.8420581706</v>
          </cell>
        </row>
        <row r="112">
          <cell r="F112" t="str">
            <v>2019 Programs</v>
          </cell>
          <cell r="K112">
            <v>2321083.7814290971</v>
          </cell>
          <cell r="L112">
            <v>2321083.7814290971</v>
          </cell>
          <cell r="M112">
            <v>2321083.7814290971</v>
          </cell>
        </row>
        <row r="113">
          <cell r="F113" t="str">
            <v>2020 Programs</v>
          </cell>
          <cell r="L113">
            <v>2527405.6953737224</v>
          </cell>
          <cell r="M113">
            <v>2527405.6953737224</v>
          </cell>
        </row>
        <row r="114">
          <cell r="F114" t="str">
            <v>2021 Programs</v>
          </cell>
          <cell r="M114">
            <v>1701888.8382273095</v>
          </cell>
        </row>
        <row r="117">
          <cell r="G117">
            <v>0.29677625102910027</v>
          </cell>
          <cell r="H117">
            <v>0.22964187470247915</v>
          </cell>
          <cell r="I117">
            <v>0.19579380458424031</v>
          </cell>
          <cell r="J117">
            <v>0.2247391189562582</v>
          </cell>
          <cell r="K117">
            <v>0.20718698241674743</v>
          </cell>
          <cell r="L117">
            <v>0.24659637124385958</v>
          </cell>
          <cell r="M117">
            <v>0.29677625102910027</v>
          </cell>
        </row>
        <row r="142">
          <cell r="H142">
            <v>2042000</v>
          </cell>
        </row>
        <row r="151">
          <cell r="G151">
            <v>922062</v>
          </cell>
        </row>
      </sheetData>
      <sheetData sheetId="8">
        <row r="3">
          <cell r="B3">
            <v>12867</v>
          </cell>
          <cell r="C3">
            <v>797</v>
          </cell>
          <cell r="D3">
            <v>80</v>
          </cell>
          <cell r="E3">
            <v>189</v>
          </cell>
          <cell r="F3">
            <v>2371</v>
          </cell>
          <cell r="G3">
            <v>90</v>
          </cell>
          <cell r="H3">
            <v>16394</v>
          </cell>
        </row>
        <row r="4">
          <cell r="B4">
            <v>12991</v>
          </cell>
          <cell r="C4">
            <v>819</v>
          </cell>
          <cell r="D4">
            <v>71</v>
          </cell>
          <cell r="E4">
            <v>186</v>
          </cell>
          <cell r="F4">
            <v>2489</v>
          </cell>
          <cell r="G4">
            <v>89</v>
          </cell>
          <cell r="H4">
            <v>16645</v>
          </cell>
        </row>
        <row r="5">
          <cell r="B5">
            <v>13277</v>
          </cell>
          <cell r="C5">
            <v>836</v>
          </cell>
          <cell r="D5">
            <v>73</v>
          </cell>
          <cell r="E5">
            <v>186</v>
          </cell>
          <cell r="F5">
            <v>2588</v>
          </cell>
          <cell r="G5">
            <v>84</v>
          </cell>
          <cell r="H5">
            <v>17044</v>
          </cell>
        </row>
        <row r="6">
          <cell r="B6">
            <v>13533</v>
          </cell>
          <cell r="C6">
            <v>855</v>
          </cell>
          <cell r="D6">
            <v>72</v>
          </cell>
          <cell r="E6">
            <v>193</v>
          </cell>
          <cell r="F6">
            <v>2625</v>
          </cell>
          <cell r="G6">
            <v>83</v>
          </cell>
          <cell r="H6">
            <v>17361</v>
          </cell>
        </row>
        <row r="7">
          <cell r="B7">
            <v>13651</v>
          </cell>
          <cell r="C7">
            <v>865</v>
          </cell>
          <cell r="D7">
            <v>68</v>
          </cell>
          <cell r="E7">
            <v>201</v>
          </cell>
          <cell r="F7">
            <v>2685</v>
          </cell>
          <cell r="G7">
            <v>82</v>
          </cell>
          <cell r="H7">
            <v>17552</v>
          </cell>
        </row>
        <row r="8">
          <cell r="B8">
            <v>13779</v>
          </cell>
          <cell r="C8">
            <v>896</v>
          </cell>
          <cell r="D8">
            <v>67</v>
          </cell>
          <cell r="E8">
            <v>225</v>
          </cell>
          <cell r="F8">
            <v>2728</v>
          </cell>
          <cell r="G8">
            <v>81</v>
          </cell>
          <cell r="H8">
            <v>17776</v>
          </cell>
        </row>
        <row r="9">
          <cell r="B9">
            <v>13942.916666666666</v>
          </cell>
          <cell r="C9">
            <v>913.75</v>
          </cell>
          <cell r="D9">
            <v>67.916666666666671</v>
          </cell>
          <cell r="E9">
            <v>172.08333333333334</v>
          </cell>
          <cell r="F9">
            <v>2728</v>
          </cell>
          <cell r="G9">
            <v>78.666666666666671</v>
          </cell>
          <cell r="H9">
            <v>17903.333333333332</v>
          </cell>
        </row>
        <row r="10">
          <cell r="B10">
            <v>14181</v>
          </cell>
          <cell r="C10">
            <v>949.25</v>
          </cell>
          <cell r="D10">
            <v>67</v>
          </cell>
          <cell r="E10">
            <v>168</v>
          </cell>
          <cell r="F10">
            <v>2843.3333333333335</v>
          </cell>
          <cell r="G10">
            <v>77.583333333333329</v>
          </cell>
          <cell r="H10">
            <v>18286.166666666664</v>
          </cell>
        </row>
        <row r="11">
          <cell r="B11">
            <v>14509.166666666666</v>
          </cell>
          <cell r="C11">
            <v>991.25</v>
          </cell>
          <cell r="D11">
            <v>67.166666666666671</v>
          </cell>
          <cell r="E11">
            <v>169.41666666666666</v>
          </cell>
          <cell r="F11">
            <v>2923.3333333333335</v>
          </cell>
          <cell r="G11">
            <v>75.583333333333329</v>
          </cell>
          <cell r="H11">
            <v>18735.916666666664</v>
          </cell>
        </row>
        <row r="12">
          <cell r="B12">
            <v>14861.583333333334</v>
          </cell>
          <cell r="C12">
            <v>1000.5833333333334</v>
          </cell>
          <cell r="D12">
            <v>71.5</v>
          </cell>
          <cell r="E12">
            <v>165.75</v>
          </cell>
          <cell r="F12">
            <v>2897.6666666666665</v>
          </cell>
          <cell r="G12">
            <v>76</v>
          </cell>
          <cell r="H12">
            <v>19073.083333333336</v>
          </cell>
        </row>
        <row r="13">
          <cell r="B13">
            <v>15419</v>
          </cell>
          <cell r="C13">
            <v>1026</v>
          </cell>
          <cell r="D13">
            <v>71.5</v>
          </cell>
          <cell r="E13">
            <v>163</v>
          </cell>
          <cell r="F13">
            <v>2963</v>
          </cell>
          <cell r="G13">
            <v>75</v>
          </cell>
          <cell r="H13">
            <v>19717.5</v>
          </cell>
        </row>
        <row r="14">
          <cell r="B14">
            <v>15930</v>
          </cell>
          <cell r="C14">
            <v>1052</v>
          </cell>
          <cell r="D14">
            <v>71.5</v>
          </cell>
          <cell r="E14">
            <v>161</v>
          </cell>
          <cell r="F14">
            <v>3030</v>
          </cell>
          <cell r="G14">
            <v>74</v>
          </cell>
          <cell r="H14">
            <v>20318.5</v>
          </cell>
        </row>
        <row r="33">
          <cell r="B33">
            <v>1.0161415213865281</v>
          </cell>
          <cell r="C33">
            <v>1.0255981195976365</v>
          </cell>
          <cell r="D33">
            <v>0.98759654435261568</v>
          </cell>
          <cell r="E33">
            <v>0.98552069413068044</v>
          </cell>
          <cell r="F33">
            <v>1.0225384612578565</v>
          </cell>
          <cell r="G33">
            <v>0.98138910301941573</v>
          </cell>
        </row>
      </sheetData>
      <sheetData sheetId="9">
        <row r="2">
          <cell r="B2">
            <v>118310</v>
          </cell>
          <cell r="C2">
            <v>367</v>
          </cell>
          <cell r="D2">
            <v>4014</v>
          </cell>
          <cell r="E2">
            <v>122691</v>
          </cell>
        </row>
        <row r="3">
          <cell r="B3">
            <v>116956</v>
          </cell>
          <cell r="C3">
            <v>351</v>
          </cell>
          <cell r="D3">
            <v>4153</v>
          </cell>
          <cell r="E3">
            <v>121460</v>
          </cell>
        </row>
        <row r="4">
          <cell r="B4">
            <v>134692.85</v>
          </cell>
          <cell r="C4">
            <v>345.03227777777778</v>
          </cell>
          <cell r="D4">
            <v>4260.83</v>
          </cell>
          <cell r="E4">
            <v>139298.71227777778</v>
          </cell>
        </row>
        <row r="5">
          <cell r="B5">
            <v>136122.29</v>
          </cell>
          <cell r="C5">
            <v>338.94749999999999</v>
          </cell>
          <cell r="D5">
            <v>4370.32</v>
          </cell>
          <cell r="E5">
            <v>140831.55750000002</v>
          </cell>
        </row>
        <row r="6">
          <cell r="B6">
            <v>144502.21</v>
          </cell>
          <cell r="C6">
            <v>324.17422222222223</v>
          </cell>
          <cell r="D6">
            <v>4389.05</v>
          </cell>
          <cell r="E6">
            <v>149215.43422222219</v>
          </cell>
        </row>
        <row r="7">
          <cell r="B7">
            <v>139425.35999999999</v>
          </cell>
          <cell r="C7">
            <v>306.31894444444447</v>
          </cell>
          <cell r="D7">
            <v>4416</v>
          </cell>
          <cell r="E7">
            <v>144147.67894444443</v>
          </cell>
        </row>
        <row r="8">
          <cell r="B8">
            <v>144982</v>
          </cell>
          <cell r="C8">
            <v>315</v>
          </cell>
          <cell r="D8">
            <v>4424</v>
          </cell>
          <cell r="E8">
            <v>149721</v>
          </cell>
        </row>
        <row r="9">
          <cell r="B9">
            <v>130935</v>
          </cell>
          <cell r="C9">
            <v>283</v>
          </cell>
          <cell r="D9">
            <v>4149</v>
          </cell>
          <cell r="E9">
            <v>135367</v>
          </cell>
        </row>
        <row r="10">
          <cell r="B10">
            <v>135393.63999999998</v>
          </cell>
          <cell r="C10">
            <v>299.94344444444442</v>
          </cell>
          <cell r="D10">
            <v>4581.3899999999994</v>
          </cell>
          <cell r="E10">
            <v>140274.97344444442</v>
          </cell>
        </row>
        <row r="11">
          <cell r="B11">
            <v>141986.79999999999</v>
          </cell>
          <cell r="C11">
            <v>287.601</v>
          </cell>
          <cell r="D11">
            <v>3139.7699999999995</v>
          </cell>
          <cell r="E11">
            <v>145414.17099999997</v>
          </cell>
        </row>
        <row r="12">
          <cell r="B12">
            <v>154174.11191583652</v>
          </cell>
          <cell r="C12">
            <v>279.72691784487739</v>
          </cell>
          <cell r="D12">
            <v>1854.1136637654336</v>
          </cell>
          <cell r="E12">
            <v>156307.95249744682</v>
          </cell>
        </row>
        <row r="13">
          <cell r="B13">
            <v>157260.84816394193</v>
          </cell>
          <cell r="C13">
            <v>273.18749568630062</v>
          </cell>
          <cell r="D13">
            <v>1888.5449751821914</v>
          </cell>
          <cell r="E13">
            <v>159422.58063481041</v>
          </cell>
        </row>
        <row r="20">
          <cell r="B20">
            <v>2.9703058541336548E-3</v>
          </cell>
          <cell r="C20">
            <v>2.7830650114886745E-3</v>
          </cell>
          <cell r="D20">
            <v>2.7768592297017403E-3</v>
          </cell>
        </row>
        <row r="21">
          <cell r="B21">
            <v>2.9744228021109562E-3</v>
          </cell>
          <cell r="C21">
            <v>2.7775359853130861E-3</v>
          </cell>
          <cell r="D21">
            <v>2.7761678722575066E-3</v>
          </cell>
        </row>
        <row r="22">
          <cell r="B22">
            <v>2.9753615781794329E-3</v>
          </cell>
          <cell r="C22">
            <v>2.7777777777777779E-3</v>
          </cell>
          <cell r="D22">
            <v>2.7777777777777775E-3</v>
          </cell>
        </row>
        <row r="23">
          <cell r="B23">
            <v>2.8673466943822815E-3</v>
          </cell>
          <cell r="C23">
            <v>2.7777777777777775E-3</v>
          </cell>
          <cell r="D23">
            <v>2.7714426097188959E-3</v>
          </cell>
        </row>
        <row r="24">
          <cell r="B24">
            <v>2.8262406241067509E-3</v>
          </cell>
          <cell r="C24">
            <v>2.7777777777777779E-3</v>
          </cell>
          <cell r="D24">
            <v>2.7777777777777779E-3</v>
          </cell>
        </row>
        <row r="25">
          <cell r="B25">
            <v>2.7928816654166065E-3</v>
          </cell>
          <cell r="C25">
            <v>2.7786344880638991E-3</v>
          </cell>
          <cell r="D25">
            <v>3.0301171204080647E-3</v>
          </cell>
        </row>
        <row r="26">
          <cell r="B26">
            <v>2.8351067335104876E-3</v>
          </cell>
          <cell r="C26">
            <v>2.7787614696998322E-3</v>
          </cell>
          <cell r="D26">
            <v>2.8183570646069605E-3</v>
          </cell>
        </row>
        <row r="27">
          <cell r="B27">
            <v>2.5712995330362158E-3</v>
          </cell>
          <cell r="C27">
            <v>2.7787614696998322E-3</v>
          </cell>
          <cell r="D27">
            <v>2.8183570646069605E-3</v>
          </cell>
        </row>
        <row r="28">
          <cell r="B28">
            <v>2.6761726332885198E-3</v>
          </cell>
          <cell r="C28">
            <v>2.7777685168035231E-3</v>
          </cell>
          <cell r="D28">
            <v>2.8183570646069605E-3</v>
          </cell>
        </row>
        <row r="29">
          <cell r="B29">
            <v>2.598764234956277E-3</v>
          </cell>
          <cell r="C29">
            <v>2.7777874362540566E-3</v>
          </cell>
          <cell r="D29">
            <v>2.8377125277013562E-3</v>
          </cell>
        </row>
        <row r="31">
          <cell r="B31">
            <v>2.8087902353121181E-3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>
        <row r="54">
          <cell r="B54">
            <v>23275097</v>
          </cell>
          <cell r="E54">
            <v>16231852</v>
          </cell>
          <cell r="I54">
            <v>2472356</v>
          </cell>
          <cell r="M54">
            <v>3371212</v>
          </cell>
          <cell r="N54">
            <v>9727</v>
          </cell>
          <cell r="AG54">
            <v>13803</v>
          </cell>
        </row>
        <row r="55">
          <cell r="B55">
            <v>21949172.799999997</v>
          </cell>
          <cell r="E55">
            <v>15807296</v>
          </cell>
          <cell r="I55">
            <v>2490759</v>
          </cell>
          <cell r="M55">
            <v>3588431</v>
          </cell>
          <cell r="N55">
            <v>9590</v>
          </cell>
          <cell r="AG55">
            <v>13808</v>
          </cell>
        </row>
        <row r="56">
          <cell r="B56">
            <v>22008625.099999998</v>
          </cell>
          <cell r="E56">
            <v>15621439</v>
          </cell>
          <cell r="I56">
            <v>2298093</v>
          </cell>
          <cell r="M56">
            <v>3374672</v>
          </cell>
          <cell r="N56">
            <v>9463</v>
          </cell>
          <cell r="AG56">
            <v>13817</v>
          </cell>
        </row>
        <row r="57">
          <cell r="B57">
            <v>17506649</v>
          </cell>
          <cell r="E57">
            <v>13270734</v>
          </cell>
          <cell r="I57">
            <v>2108802</v>
          </cell>
          <cell r="M57">
            <v>3222013</v>
          </cell>
          <cell r="N57">
            <v>9467</v>
          </cell>
          <cell r="AG57">
            <v>13833</v>
          </cell>
        </row>
        <row r="58">
          <cell r="B58">
            <v>16720482.399999999</v>
          </cell>
          <cell r="E58">
            <v>11078514</v>
          </cell>
          <cell r="I58">
            <v>1972373</v>
          </cell>
          <cell r="M58">
            <v>3132248</v>
          </cell>
          <cell r="N58">
            <v>9531</v>
          </cell>
          <cell r="AG58">
            <v>13832</v>
          </cell>
        </row>
        <row r="59">
          <cell r="B59">
            <v>17643644.800000001</v>
          </cell>
          <cell r="E59">
            <v>9676642</v>
          </cell>
          <cell r="F59">
            <v>12867</v>
          </cell>
          <cell r="I59">
            <v>1991446</v>
          </cell>
          <cell r="J59">
            <v>797</v>
          </cell>
          <cell r="M59">
            <v>3329380</v>
          </cell>
          <cell r="N59">
            <v>10346</v>
          </cell>
          <cell r="O59">
            <v>80</v>
          </cell>
          <cell r="T59">
            <v>2371</v>
          </cell>
          <cell r="Y59">
            <v>189</v>
          </cell>
          <cell r="AC59">
            <v>90</v>
          </cell>
          <cell r="AG59">
            <v>13744</v>
          </cell>
        </row>
        <row r="60">
          <cell r="B60">
            <v>20377984.800000001</v>
          </cell>
          <cell r="E60">
            <v>10606252</v>
          </cell>
          <cell r="I60">
            <v>2270366</v>
          </cell>
          <cell r="M60">
            <v>3338801</v>
          </cell>
          <cell r="N60">
            <v>10343</v>
          </cell>
          <cell r="AG60">
            <v>13764</v>
          </cell>
        </row>
        <row r="61">
          <cell r="B61">
            <v>18444800.600000001</v>
          </cell>
          <cell r="E61">
            <v>12641414</v>
          </cell>
          <cell r="I61">
            <v>2549349</v>
          </cell>
          <cell r="M61">
            <v>3368844</v>
          </cell>
          <cell r="N61">
            <v>10388</v>
          </cell>
          <cell r="AG61">
            <v>13786</v>
          </cell>
        </row>
        <row r="62">
          <cell r="B62">
            <v>15835529.300000001</v>
          </cell>
          <cell r="E62">
            <v>11429514</v>
          </cell>
          <cell r="I62">
            <v>2310126</v>
          </cell>
          <cell r="M62">
            <v>3250765</v>
          </cell>
          <cell r="N62">
            <v>10139</v>
          </cell>
          <cell r="AG62">
            <v>13796</v>
          </cell>
        </row>
        <row r="63">
          <cell r="B63">
            <v>18304413.900000002</v>
          </cell>
          <cell r="E63">
            <v>9413297</v>
          </cell>
          <cell r="I63">
            <v>2087372</v>
          </cell>
          <cell r="M63">
            <v>3140200</v>
          </cell>
          <cell r="N63">
            <v>9949</v>
          </cell>
          <cell r="AG63">
            <v>13814</v>
          </cell>
        </row>
        <row r="64">
          <cell r="B64">
            <v>19538670.800000001</v>
          </cell>
          <cell r="E64">
            <v>10724140</v>
          </cell>
          <cell r="I64">
            <v>2268598</v>
          </cell>
          <cell r="M64">
            <v>3398279</v>
          </cell>
          <cell r="N64">
            <v>10006</v>
          </cell>
          <cell r="AG64">
            <v>13635</v>
          </cell>
        </row>
        <row r="65">
          <cell r="B65">
            <v>22793828.200000003</v>
          </cell>
          <cell r="E65">
            <v>12602857</v>
          </cell>
          <cell r="I65">
            <v>2371734</v>
          </cell>
          <cell r="M65">
            <v>3316070</v>
          </cell>
          <cell r="N65">
            <v>9361</v>
          </cell>
          <cell r="AG65">
            <v>13832</v>
          </cell>
        </row>
        <row r="66">
          <cell r="B66">
            <v>24279309.5</v>
          </cell>
          <cell r="E66">
            <v>13359135</v>
          </cell>
          <cell r="I66">
            <v>2484476</v>
          </cell>
          <cell r="M66">
            <v>3189271</v>
          </cell>
          <cell r="N66">
            <v>9637</v>
          </cell>
          <cell r="AG66">
            <v>13849</v>
          </cell>
        </row>
        <row r="67">
          <cell r="B67">
            <v>23881688.099999998</v>
          </cell>
          <cell r="E67">
            <v>16582997</v>
          </cell>
          <cell r="I67">
            <v>2474877</v>
          </cell>
          <cell r="M67">
            <v>3620413</v>
          </cell>
          <cell r="N67">
            <v>9026</v>
          </cell>
          <cell r="AG67">
            <v>13861</v>
          </cell>
        </row>
        <row r="68">
          <cell r="B68">
            <v>22297189.800000001</v>
          </cell>
          <cell r="E68">
            <v>17004779</v>
          </cell>
          <cell r="I68">
            <v>2630836</v>
          </cell>
          <cell r="M68">
            <v>3263106</v>
          </cell>
          <cell r="N68">
            <v>9028</v>
          </cell>
          <cell r="AG68">
            <v>13865</v>
          </cell>
        </row>
        <row r="69">
          <cell r="B69">
            <v>18569417.100000001</v>
          </cell>
          <cell r="E69">
            <v>13980983</v>
          </cell>
          <cell r="I69">
            <v>2367577</v>
          </cell>
          <cell r="M69">
            <v>3153434</v>
          </cell>
          <cell r="N69">
            <v>9239</v>
          </cell>
          <cell r="AG69">
            <v>13869</v>
          </cell>
        </row>
        <row r="70">
          <cell r="B70">
            <v>16382762.399999999</v>
          </cell>
          <cell r="E70">
            <v>11711631</v>
          </cell>
          <cell r="I70">
            <v>2113176</v>
          </cell>
          <cell r="M70">
            <v>2984786</v>
          </cell>
          <cell r="N70">
            <v>9447</v>
          </cell>
          <cell r="AG70">
            <v>13873</v>
          </cell>
        </row>
        <row r="71">
          <cell r="B71">
            <v>17880105.399999999</v>
          </cell>
          <cell r="E71">
            <v>9441969</v>
          </cell>
          <cell r="F71">
            <v>12991</v>
          </cell>
          <cell r="I71">
            <v>2110715</v>
          </cell>
          <cell r="J71">
            <v>819</v>
          </cell>
          <cell r="M71">
            <v>3078312</v>
          </cell>
          <cell r="N71">
            <v>8939</v>
          </cell>
          <cell r="O71">
            <v>71</v>
          </cell>
          <cell r="T71">
            <v>2489</v>
          </cell>
          <cell r="Y71">
            <v>186</v>
          </cell>
          <cell r="AC71">
            <v>89</v>
          </cell>
          <cell r="AG71">
            <v>13881</v>
          </cell>
        </row>
        <row r="72">
          <cell r="B72">
            <v>18476519.899999999</v>
          </cell>
          <cell r="E72">
            <v>10622283</v>
          </cell>
          <cell r="I72">
            <v>2387466</v>
          </cell>
          <cell r="M72">
            <v>3246083</v>
          </cell>
          <cell r="N72">
            <v>9860</v>
          </cell>
          <cell r="AG72">
            <v>13905</v>
          </cell>
        </row>
        <row r="73">
          <cell r="B73">
            <v>19239333.699999999</v>
          </cell>
          <cell r="E73">
            <v>11487951</v>
          </cell>
          <cell r="I73">
            <v>2457241</v>
          </cell>
          <cell r="M73">
            <v>2952356</v>
          </cell>
          <cell r="N73">
            <v>9614</v>
          </cell>
          <cell r="AG73">
            <v>13925</v>
          </cell>
        </row>
        <row r="74">
          <cell r="B74">
            <v>16489843.199999999</v>
          </cell>
          <cell r="E74">
            <v>11862099</v>
          </cell>
          <cell r="I74">
            <v>2436306</v>
          </cell>
          <cell r="M74">
            <v>3281849</v>
          </cell>
          <cell r="N74">
            <v>9864</v>
          </cell>
          <cell r="AG74">
            <v>13949</v>
          </cell>
        </row>
        <row r="75">
          <cell r="B75">
            <v>17241374.899999999</v>
          </cell>
          <cell r="E75">
            <v>9282522</v>
          </cell>
          <cell r="I75">
            <v>2061103</v>
          </cell>
          <cell r="M75">
            <v>3276736</v>
          </cell>
          <cell r="N75">
            <v>11088</v>
          </cell>
          <cell r="AG75">
            <v>13987</v>
          </cell>
        </row>
        <row r="76">
          <cell r="B76">
            <v>20822608.399999999</v>
          </cell>
          <cell r="E76">
            <v>9944313</v>
          </cell>
          <cell r="I76">
            <v>2297515</v>
          </cell>
          <cell r="M76">
            <v>3657905</v>
          </cell>
          <cell r="N76">
            <v>11005</v>
          </cell>
          <cell r="AG76">
            <v>14001</v>
          </cell>
        </row>
        <row r="77">
          <cell r="B77">
            <v>25594483.699999999</v>
          </cell>
          <cell r="E77">
            <v>13410240</v>
          </cell>
          <cell r="I77">
            <v>2642134</v>
          </cell>
          <cell r="M77">
            <v>3616319</v>
          </cell>
          <cell r="N77">
            <v>10209</v>
          </cell>
          <cell r="AG77">
            <v>14035</v>
          </cell>
        </row>
        <row r="78">
          <cell r="B78">
            <v>25337707.800000001</v>
          </cell>
          <cell r="E78">
            <v>16499561</v>
          </cell>
          <cell r="I78">
            <v>2762969</v>
          </cell>
          <cell r="M78">
            <v>4190903.79</v>
          </cell>
          <cell r="N78">
            <v>10883.6</v>
          </cell>
          <cell r="AG78">
            <v>14052</v>
          </cell>
        </row>
        <row r="79">
          <cell r="B79">
            <v>23919251.399999999</v>
          </cell>
          <cell r="E79">
            <v>15757929</v>
          </cell>
          <cell r="I79">
            <v>2627147</v>
          </cell>
          <cell r="M79">
            <v>3832043.63</v>
          </cell>
          <cell r="N79">
            <v>11124.2</v>
          </cell>
          <cell r="AG79">
            <v>14069</v>
          </cell>
        </row>
        <row r="80">
          <cell r="B80">
            <v>23324392.199999999</v>
          </cell>
          <cell r="E80">
            <v>16269591</v>
          </cell>
          <cell r="I80">
            <v>2746822</v>
          </cell>
          <cell r="M80">
            <v>3968354.96</v>
          </cell>
          <cell r="N80">
            <v>10817.97</v>
          </cell>
          <cell r="AG80">
            <v>14091</v>
          </cell>
        </row>
        <row r="81">
          <cell r="B81">
            <v>17845472.600000001</v>
          </cell>
          <cell r="E81">
            <v>13930954</v>
          </cell>
          <cell r="I81">
            <v>2317454</v>
          </cell>
          <cell r="M81">
            <v>3497459.29</v>
          </cell>
          <cell r="N81">
            <v>10786.43</v>
          </cell>
          <cell r="AG81">
            <v>14109</v>
          </cell>
        </row>
        <row r="82">
          <cell r="B82">
            <v>17203594.699999999</v>
          </cell>
          <cell r="E82">
            <v>10697659</v>
          </cell>
          <cell r="I82">
            <v>2096189</v>
          </cell>
          <cell r="M82">
            <v>3363337.73</v>
          </cell>
          <cell r="N82">
            <v>10931.11</v>
          </cell>
          <cell r="AG82">
            <v>14151</v>
          </cell>
        </row>
        <row r="83">
          <cell r="B83">
            <v>17657148.199999999</v>
          </cell>
          <cell r="E83">
            <v>10066555</v>
          </cell>
          <cell r="F83">
            <v>13277</v>
          </cell>
          <cell r="I83">
            <v>2120561</v>
          </cell>
          <cell r="J83">
            <v>836</v>
          </cell>
          <cell r="M83">
            <v>3568466.32</v>
          </cell>
          <cell r="N83">
            <v>10815.33</v>
          </cell>
          <cell r="O83">
            <v>73</v>
          </cell>
          <cell r="T83">
            <v>2588</v>
          </cell>
          <cell r="Y83">
            <v>186</v>
          </cell>
          <cell r="AC83">
            <v>84</v>
          </cell>
          <cell r="AG83">
            <v>14186</v>
          </cell>
        </row>
        <row r="84">
          <cell r="B84">
            <v>19399005.699999999</v>
          </cell>
          <cell r="E84">
            <v>10344780</v>
          </cell>
          <cell r="I84">
            <v>2281869</v>
          </cell>
          <cell r="M84">
            <v>3609092.71</v>
          </cell>
          <cell r="N84">
            <v>11417.45</v>
          </cell>
          <cell r="AG84">
            <v>14218</v>
          </cell>
        </row>
        <row r="85">
          <cell r="B85">
            <v>18496934.800000001</v>
          </cell>
          <cell r="E85">
            <v>11684966</v>
          </cell>
          <cell r="I85">
            <v>2342236</v>
          </cell>
          <cell r="M85">
            <v>3383729.22</v>
          </cell>
          <cell r="N85">
            <v>10696.82</v>
          </cell>
          <cell r="AG85">
            <v>14260</v>
          </cell>
        </row>
        <row r="86">
          <cell r="B86">
            <v>16944225</v>
          </cell>
          <cell r="E86">
            <v>10754551</v>
          </cell>
          <cell r="I86">
            <v>2220684</v>
          </cell>
          <cell r="M86">
            <v>3956230.63</v>
          </cell>
          <cell r="N86">
            <v>12504.78</v>
          </cell>
          <cell r="AG86">
            <v>14297</v>
          </cell>
        </row>
        <row r="87">
          <cell r="B87">
            <v>18736114.300000001</v>
          </cell>
          <cell r="E87">
            <v>10046767</v>
          </cell>
          <cell r="I87">
            <v>2231674</v>
          </cell>
          <cell r="M87">
            <v>3929232.58</v>
          </cell>
          <cell r="N87">
            <v>12072.95</v>
          </cell>
          <cell r="AG87">
            <v>14337</v>
          </cell>
        </row>
        <row r="88">
          <cell r="B88">
            <v>20914295.899999999</v>
          </cell>
          <cell r="E88">
            <v>11219021</v>
          </cell>
          <cell r="I88">
            <v>2295081</v>
          </cell>
          <cell r="M88">
            <v>4032275.19</v>
          </cell>
          <cell r="N88">
            <v>11417.41</v>
          </cell>
          <cell r="AG88">
            <v>14348</v>
          </cell>
        </row>
        <row r="89">
          <cell r="B89">
            <v>25844885.199999999</v>
          </cell>
          <cell r="E89">
            <v>12688287</v>
          </cell>
          <cell r="I89">
            <v>2356995</v>
          </cell>
          <cell r="M89">
            <v>3938279.52</v>
          </cell>
          <cell r="N89">
            <v>11224.8</v>
          </cell>
          <cell r="AG89">
            <v>14388</v>
          </cell>
        </row>
        <row r="90">
          <cell r="B90">
            <v>27698757.900000002</v>
          </cell>
          <cell r="E90">
            <v>16151342</v>
          </cell>
          <cell r="I90">
            <v>2608755</v>
          </cell>
          <cell r="M90">
            <v>4295167.7300000004</v>
          </cell>
          <cell r="N90">
            <v>11199.28</v>
          </cell>
          <cell r="AG90">
            <v>14411</v>
          </cell>
        </row>
        <row r="91">
          <cell r="B91">
            <v>22854686.900000002</v>
          </cell>
          <cell r="E91">
            <v>18563226</v>
          </cell>
          <cell r="I91">
            <v>2720833</v>
          </cell>
          <cell r="M91">
            <v>4131836.09</v>
          </cell>
          <cell r="N91">
            <v>11214.19</v>
          </cell>
          <cell r="AG91">
            <v>14426</v>
          </cell>
        </row>
        <row r="92">
          <cell r="B92">
            <v>22750703.800000001</v>
          </cell>
          <cell r="E92">
            <v>14708480</v>
          </cell>
          <cell r="I92">
            <v>2425730</v>
          </cell>
          <cell r="M92">
            <v>3821610.82</v>
          </cell>
          <cell r="N92">
            <v>11022.45</v>
          </cell>
          <cell r="AG92">
            <v>14438</v>
          </cell>
        </row>
        <row r="93">
          <cell r="B93">
            <v>18949041.899999999</v>
          </cell>
          <cell r="E93">
            <v>13943527</v>
          </cell>
          <cell r="I93">
            <v>2416833</v>
          </cell>
          <cell r="M93">
            <v>4035074.06</v>
          </cell>
          <cell r="N93">
            <v>10848.5</v>
          </cell>
          <cell r="AG93">
            <v>14448</v>
          </cell>
        </row>
        <row r="94">
          <cell r="B94">
            <v>17348781.300000001</v>
          </cell>
          <cell r="E94">
            <v>11914694</v>
          </cell>
          <cell r="I94">
            <v>2145717</v>
          </cell>
          <cell r="M94">
            <v>3809794.5</v>
          </cell>
          <cell r="N94">
            <v>10796.08</v>
          </cell>
          <cell r="AG94">
            <v>14455</v>
          </cell>
        </row>
        <row r="95">
          <cell r="B95">
            <v>17392957.300000001</v>
          </cell>
          <cell r="E95">
            <v>9778256</v>
          </cell>
          <cell r="F95">
            <v>13533</v>
          </cell>
          <cell r="I95">
            <v>2034794</v>
          </cell>
          <cell r="J95">
            <v>855</v>
          </cell>
          <cell r="M95">
            <v>3640384.95</v>
          </cell>
          <cell r="N95">
            <v>10794.83</v>
          </cell>
          <cell r="O95">
            <v>72</v>
          </cell>
          <cell r="T95">
            <v>2625</v>
          </cell>
          <cell r="Y95">
            <v>193</v>
          </cell>
          <cell r="AC95">
            <v>83</v>
          </cell>
          <cell r="AG95">
            <v>14460</v>
          </cell>
        </row>
        <row r="96">
          <cell r="B96">
            <v>18006297.300000001</v>
          </cell>
          <cell r="E96">
            <v>9961811</v>
          </cell>
          <cell r="I96">
            <v>2245725</v>
          </cell>
          <cell r="M96">
            <v>3699575.77</v>
          </cell>
          <cell r="N96">
            <v>11558.97</v>
          </cell>
          <cell r="AG96">
            <v>14710</v>
          </cell>
        </row>
        <row r="97">
          <cell r="B97">
            <v>20135392.300000001</v>
          </cell>
          <cell r="E97">
            <v>11035566</v>
          </cell>
          <cell r="I97">
            <v>2339287</v>
          </cell>
          <cell r="M97">
            <v>3727060.31</v>
          </cell>
          <cell r="N97">
            <v>10696.82</v>
          </cell>
          <cell r="AG97">
            <v>14976</v>
          </cell>
        </row>
        <row r="98">
          <cell r="B98">
            <v>17368091.399999999</v>
          </cell>
          <cell r="E98">
            <v>12007931</v>
          </cell>
          <cell r="I98">
            <v>2413718</v>
          </cell>
          <cell r="M98">
            <v>4051075.08</v>
          </cell>
          <cell r="N98">
            <v>12014.58</v>
          </cell>
          <cell r="AG98">
            <v>15073</v>
          </cell>
        </row>
        <row r="99">
          <cell r="B99">
            <v>19458169</v>
          </cell>
          <cell r="E99">
            <v>9771116</v>
          </cell>
          <cell r="I99">
            <v>2132756</v>
          </cell>
          <cell r="M99">
            <v>3978984.51</v>
          </cell>
          <cell r="N99">
            <v>12443.72</v>
          </cell>
          <cell r="AG99">
            <v>15110</v>
          </cell>
        </row>
        <row r="100">
          <cell r="B100">
            <v>19998429.5</v>
          </cell>
          <cell r="E100">
            <v>10868547</v>
          </cell>
          <cell r="I100">
            <v>2263113</v>
          </cell>
          <cell r="M100">
            <v>4067336.45</v>
          </cell>
          <cell r="N100">
            <v>11954.84</v>
          </cell>
          <cell r="AG100">
            <v>15107</v>
          </cell>
        </row>
        <row r="101">
          <cell r="B101">
            <v>25277880.599999998</v>
          </cell>
          <cell r="E101">
            <v>11669281</v>
          </cell>
          <cell r="I101">
            <v>2366172</v>
          </cell>
          <cell r="M101">
            <v>4215357.9400000004</v>
          </cell>
          <cell r="N101">
            <v>11578.03</v>
          </cell>
          <cell r="AG101">
            <v>14563</v>
          </cell>
        </row>
        <row r="102">
          <cell r="B102">
            <v>26451955.599999998</v>
          </cell>
          <cell r="E102">
            <v>16418169</v>
          </cell>
          <cell r="I102">
            <v>2782895</v>
          </cell>
          <cell r="M102">
            <v>4376478.6399999997</v>
          </cell>
          <cell r="N102">
            <v>11900.95</v>
          </cell>
          <cell r="AG102">
            <v>14554</v>
          </cell>
        </row>
        <row r="103">
          <cell r="B103">
            <v>22355017.900000002</v>
          </cell>
          <cell r="E103">
            <v>16282318</v>
          </cell>
          <cell r="I103">
            <v>2671776</v>
          </cell>
          <cell r="M103">
            <v>4396877.49</v>
          </cell>
          <cell r="N103">
            <v>11242.31</v>
          </cell>
          <cell r="AG103">
            <v>14553</v>
          </cell>
        </row>
        <row r="104">
          <cell r="B104">
            <v>21335193</v>
          </cell>
          <cell r="E104">
            <v>14549183</v>
          </cell>
          <cell r="I104">
            <v>2482111</v>
          </cell>
          <cell r="M104">
            <v>4123402.2400000002</v>
          </cell>
          <cell r="N104">
            <v>11564.8</v>
          </cell>
          <cell r="AG104">
            <v>14566</v>
          </cell>
        </row>
        <row r="105">
          <cell r="B105">
            <v>17366211</v>
          </cell>
          <cell r="E105">
            <v>12625592</v>
          </cell>
          <cell r="I105">
            <v>2263011</v>
          </cell>
          <cell r="M105">
            <v>4403625</v>
          </cell>
          <cell r="N105">
            <v>11943</v>
          </cell>
          <cell r="AG105">
            <v>14576</v>
          </cell>
        </row>
        <row r="106">
          <cell r="B106">
            <v>18594842.100000001</v>
          </cell>
          <cell r="E106">
            <v>10499094.57</v>
          </cell>
          <cell r="I106">
            <v>2195701</v>
          </cell>
          <cell r="M106">
            <v>3990018.51</v>
          </cell>
          <cell r="N106">
            <v>11602.16</v>
          </cell>
          <cell r="AG106">
            <v>14570</v>
          </cell>
        </row>
        <row r="107">
          <cell r="B107">
            <v>18232281.300000001</v>
          </cell>
          <cell r="E107">
            <v>9891283.3300000001</v>
          </cell>
          <cell r="F107">
            <v>13651</v>
          </cell>
          <cell r="I107">
            <v>2294812</v>
          </cell>
          <cell r="J107">
            <v>865</v>
          </cell>
          <cell r="M107">
            <v>4145529.95</v>
          </cell>
          <cell r="N107">
            <v>12118.61</v>
          </cell>
          <cell r="O107">
            <v>68</v>
          </cell>
          <cell r="T107">
            <v>2685</v>
          </cell>
          <cell r="Y107">
            <v>201</v>
          </cell>
          <cell r="AC107">
            <v>82</v>
          </cell>
          <cell r="AG107">
            <v>14584</v>
          </cell>
        </row>
        <row r="108">
          <cell r="B108">
            <v>22225961.800000001</v>
          </cell>
          <cell r="E108">
            <v>11027370.43</v>
          </cell>
          <cell r="I108">
            <v>2346508</v>
          </cell>
          <cell r="M108">
            <v>4359079.01</v>
          </cell>
          <cell r="N108">
            <v>12362.87</v>
          </cell>
          <cell r="AG108">
            <v>14599</v>
          </cell>
        </row>
        <row r="109">
          <cell r="B109">
            <v>21301864.899999999</v>
          </cell>
          <cell r="E109">
            <v>12676182.529999999</v>
          </cell>
          <cell r="I109">
            <v>2613536</v>
          </cell>
          <cell r="M109">
            <v>4223830.09</v>
          </cell>
          <cell r="N109">
            <v>12588.76</v>
          </cell>
          <cell r="AG109">
            <v>14633</v>
          </cell>
        </row>
        <row r="110">
          <cell r="B110">
            <v>17785837.5</v>
          </cell>
          <cell r="E110">
            <v>12354414.17</v>
          </cell>
          <cell r="I110">
            <v>2556719</v>
          </cell>
          <cell r="M110">
            <v>4455848.9400000004</v>
          </cell>
          <cell r="N110">
            <v>12170.46</v>
          </cell>
          <cell r="AG110">
            <v>14646</v>
          </cell>
        </row>
        <row r="111">
          <cell r="B111">
            <v>18734173.199999999</v>
          </cell>
          <cell r="E111">
            <v>10209815.460000001</v>
          </cell>
          <cell r="I111">
            <v>2252041</v>
          </cell>
          <cell r="M111">
            <v>4182550.26</v>
          </cell>
          <cell r="N111">
            <v>12621.87</v>
          </cell>
          <cell r="AG111">
            <v>14664</v>
          </cell>
        </row>
        <row r="112">
          <cell r="B112">
            <v>20451455.399999999</v>
          </cell>
          <cell r="E112">
            <v>10124892.130000001</v>
          </cell>
          <cell r="I112">
            <v>2317465</v>
          </cell>
          <cell r="M112">
            <v>4261751.5199999996</v>
          </cell>
          <cell r="N112">
            <v>12419.76</v>
          </cell>
          <cell r="AG112">
            <v>14688</v>
          </cell>
        </row>
        <row r="113">
          <cell r="B113">
            <v>25404585.100000001</v>
          </cell>
          <cell r="E113">
            <v>11682041.609999999</v>
          </cell>
          <cell r="I113">
            <v>2412299</v>
          </cell>
          <cell r="M113">
            <v>4209779.47</v>
          </cell>
          <cell r="N113">
            <v>11966.66</v>
          </cell>
          <cell r="AG113">
            <v>14707</v>
          </cell>
        </row>
        <row r="114">
          <cell r="B114">
            <v>26274474</v>
          </cell>
          <cell r="E114">
            <v>16242938.65</v>
          </cell>
          <cell r="I114">
            <v>2902176</v>
          </cell>
          <cell r="M114">
            <v>4370601.7699999996</v>
          </cell>
          <cell r="N114">
            <v>11373</v>
          </cell>
          <cell r="AG114">
            <v>14713</v>
          </cell>
        </row>
        <row r="115">
          <cell r="B115">
            <v>22971970.300000001</v>
          </cell>
          <cell r="E115">
            <v>10612488</v>
          </cell>
          <cell r="I115">
            <v>1622310</v>
          </cell>
          <cell r="M115">
            <v>3136145.82</v>
          </cell>
          <cell r="N115">
            <v>7571</v>
          </cell>
          <cell r="AG115">
            <v>14716</v>
          </cell>
        </row>
        <row r="116">
          <cell r="B116">
            <v>22951605.199999999</v>
          </cell>
          <cell r="E116">
            <v>19095639.57</v>
          </cell>
          <cell r="I116">
            <v>3362526</v>
          </cell>
          <cell r="M116">
            <v>4646931.3600000003</v>
          </cell>
          <cell r="N116">
            <v>11700</v>
          </cell>
          <cell r="AG116">
            <v>14728</v>
          </cell>
        </row>
        <row r="117">
          <cell r="B117">
            <v>18914566.699999999</v>
          </cell>
          <cell r="E117">
            <v>15522831</v>
          </cell>
          <cell r="I117">
            <v>2850578</v>
          </cell>
          <cell r="M117">
            <v>4346317.0199999996</v>
          </cell>
          <cell r="N117">
            <v>11197</v>
          </cell>
          <cell r="AG117">
            <v>14729</v>
          </cell>
        </row>
        <row r="118">
          <cell r="B118">
            <v>17615740</v>
          </cell>
          <cell r="E118">
            <v>12440512.48</v>
          </cell>
          <cell r="I118">
            <v>2521293.64</v>
          </cell>
          <cell r="M118">
            <v>4144014.07</v>
          </cell>
          <cell r="N118">
            <v>11307.42</v>
          </cell>
          <cell r="AG118">
            <v>14733</v>
          </cell>
        </row>
        <row r="119">
          <cell r="B119">
            <v>17571916.300000001</v>
          </cell>
          <cell r="E119">
            <v>10086982</v>
          </cell>
          <cell r="F119">
            <v>13779</v>
          </cell>
          <cell r="I119">
            <v>2378519</v>
          </cell>
          <cell r="J119">
            <v>896</v>
          </cell>
          <cell r="M119">
            <v>4071330.09</v>
          </cell>
          <cell r="N119">
            <v>12414.22</v>
          </cell>
          <cell r="O119">
            <v>67</v>
          </cell>
          <cell r="T119">
            <v>2728</v>
          </cell>
          <cell r="Y119">
            <v>225</v>
          </cell>
          <cell r="AC119">
            <v>81</v>
          </cell>
          <cell r="AG119">
            <v>14742</v>
          </cell>
        </row>
        <row r="120">
          <cell r="B120">
            <v>22292830.300000001</v>
          </cell>
          <cell r="E120">
            <v>9720248.5899999999</v>
          </cell>
          <cell r="I120">
            <v>2383991.4900000002</v>
          </cell>
          <cell r="M120">
            <v>4045431.19</v>
          </cell>
          <cell r="N120">
            <v>12303.65</v>
          </cell>
          <cell r="AG120">
            <v>14759</v>
          </cell>
        </row>
        <row r="121">
          <cell r="B121">
            <v>19354570.300000001</v>
          </cell>
          <cell r="E121">
            <v>13530610.02</v>
          </cell>
          <cell r="I121">
            <v>2832982.52</v>
          </cell>
          <cell r="M121">
            <v>4259906.5999999996</v>
          </cell>
          <cell r="N121">
            <v>12567.55</v>
          </cell>
          <cell r="AG121">
            <v>14772</v>
          </cell>
        </row>
        <row r="122">
          <cell r="B122">
            <v>17323768.100000001</v>
          </cell>
          <cell r="E122">
            <v>11681600.26</v>
          </cell>
          <cell r="I122">
            <v>2561934.67</v>
          </cell>
          <cell r="M122">
            <v>4217756.53</v>
          </cell>
          <cell r="N122">
            <v>12390.52</v>
          </cell>
          <cell r="AG122">
            <v>14772</v>
          </cell>
        </row>
        <row r="123">
          <cell r="B123">
            <v>18576164</v>
          </cell>
          <cell r="E123">
            <v>9548075</v>
          </cell>
          <cell r="I123">
            <v>2498390</v>
          </cell>
          <cell r="M123">
            <v>4235240</v>
          </cell>
          <cell r="N123">
            <v>12603</v>
          </cell>
          <cell r="AG123">
            <v>14794</v>
          </cell>
        </row>
        <row r="124">
          <cell r="B124">
            <v>19598868</v>
          </cell>
          <cell r="E124">
            <v>10406016</v>
          </cell>
          <cell r="I124">
            <v>2327792</v>
          </cell>
          <cell r="M124">
            <v>4132723</v>
          </cell>
          <cell r="N124">
            <v>12239</v>
          </cell>
          <cell r="AG124">
            <v>14809</v>
          </cell>
        </row>
        <row r="125">
          <cell r="B125">
            <v>23311694</v>
          </cell>
          <cell r="E125">
            <v>11210168</v>
          </cell>
          <cell r="I125">
            <v>2306202</v>
          </cell>
          <cell r="M125">
            <v>4315288</v>
          </cell>
          <cell r="N125">
            <v>11759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Purchased"/>
      <sheetName val="Residential"/>
      <sheetName val="GS LT 50"/>
      <sheetName val="GS GT 50"/>
      <sheetName val="KW"/>
      <sheetName val="Customer Numbers"/>
    </sheetNames>
    <sheetDataSet>
      <sheetData sheetId="0" refreshError="1">
        <row r="123">
          <cell r="B123">
            <v>24487281</v>
          </cell>
        </row>
        <row r="124">
          <cell r="B124">
            <v>21711326.899999999</v>
          </cell>
        </row>
        <row r="125">
          <cell r="B125">
            <v>20140443.699999999</v>
          </cell>
        </row>
        <row r="126">
          <cell r="B126">
            <v>18335838.899999999</v>
          </cell>
        </row>
        <row r="127">
          <cell r="B127">
            <v>17673429</v>
          </cell>
        </row>
        <row r="128">
          <cell r="B128">
            <v>19474755.100000001</v>
          </cell>
        </row>
        <row r="129">
          <cell r="B129">
            <v>22780193</v>
          </cell>
        </row>
        <row r="130">
          <cell r="B130">
            <v>20627757.200000003</v>
          </cell>
        </row>
        <row r="131">
          <cell r="B131">
            <v>17795945.799999997</v>
          </cell>
        </row>
        <row r="132">
          <cell r="B132">
            <v>17475406.5</v>
          </cell>
        </row>
        <row r="133">
          <cell r="B133">
            <v>20981769.300000001</v>
          </cell>
        </row>
        <row r="134">
          <cell r="B134">
            <v>23645692</v>
          </cell>
        </row>
        <row r="135">
          <cell r="B135">
            <v>24487280.699999999</v>
          </cell>
        </row>
        <row r="136">
          <cell r="B136">
            <v>21711326.899999999</v>
          </cell>
        </row>
        <row r="137">
          <cell r="B137">
            <v>20140443.699999999</v>
          </cell>
        </row>
        <row r="138">
          <cell r="B138">
            <v>18335838.899999999</v>
          </cell>
        </row>
        <row r="139">
          <cell r="B139">
            <v>17673429</v>
          </cell>
        </row>
        <row r="140">
          <cell r="B140">
            <v>19474755.100000001</v>
          </cell>
        </row>
        <row r="141">
          <cell r="B141">
            <v>22780193</v>
          </cell>
        </row>
        <row r="142">
          <cell r="B142">
            <v>20627757.200000003</v>
          </cell>
        </row>
        <row r="143">
          <cell r="B143">
            <v>17795945.799999997</v>
          </cell>
        </row>
        <row r="144">
          <cell r="B144">
            <v>17475406.5</v>
          </cell>
        </row>
        <row r="145">
          <cell r="B145">
            <v>20981769.300000001</v>
          </cell>
        </row>
        <row r="146">
          <cell r="B146">
            <v>23645692</v>
          </cell>
        </row>
        <row r="147">
          <cell r="B147">
            <v>27344318</v>
          </cell>
        </row>
        <row r="148">
          <cell r="B148">
            <v>23698938</v>
          </cell>
        </row>
        <row r="149">
          <cell r="B149">
            <v>24427815</v>
          </cell>
        </row>
        <row r="150">
          <cell r="B150">
            <v>19352181</v>
          </cell>
        </row>
        <row r="151">
          <cell r="B151">
            <v>17549445</v>
          </cell>
        </row>
        <row r="152">
          <cell r="B152">
            <v>18258424</v>
          </cell>
        </row>
        <row r="153">
          <cell r="B153">
            <v>19452973</v>
          </cell>
        </row>
        <row r="154">
          <cell r="B154">
            <v>19828414</v>
          </cell>
        </row>
        <row r="155">
          <cell r="B155">
            <v>17976813</v>
          </cell>
        </row>
        <row r="156">
          <cell r="B156">
            <v>19058731</v>
          </cell>
        </row>
        <row r="157">
          <cell r="B157">
            <v>22053999</v>
          </cell>
        </row>
        <row r="158">
          <cell r="B158">
            <v>24252934</v>
          </cell>
        </row>
        <row r="159">
          <cell r="B159">
            <v>26951654</v>
          </cell>
        </row>
        <row r="160">
          <cell r="B160">
            <v>25657093</v>
          </cell>
        </row>
        <row r="161">
          <cell r="B161">
            <v>23477412</v>
          </cell>
        </row>
        <row r="162">
          <cell r="B162">
            <v>18850232</v>
          </cell>
        </row>
        <row r="163">
          <cell r="B163">
            <v>18121126</v>
          </cell>
        </row>
        <row r="164">
          <cell r="B164">
            <v>18217550</v>
          </cell>
        </row>
        <row r="165">
          <cell r="B165">
            <v>21783994</v>
          </cell>
        </row>
      </sheetData>
      <sheetData sheetId="1" refreshError="1">
        <row r="75">
          <cell r="B75">
            <v>14419203</v>
          </cell>
        </row>
        <row r="76">
          <cell r="B76">
            <v>15186723</v>
          </cell>
        </row>
        <row r="77">
          <cell r="B77">
            <v>13290184</v>
          </cell>
        </row>
        <row r="78">
          <cell r="B78">
            <v>11753568</v>
          </cell>
        </row>
        <row r="79">
          <cell r="B79">
            <v>10732730</v>
          </cell>
        </row>
        <row r="80">
          <cell r="B80">
            <v>9647919</v>
          </cell>
        </row>
        <row r="81">
          <cell r="B81">
            <v>11182332</v>
          </cell>
        </row>
        <row r="82">
          <cell r="B82">
            <v>13798406</v>
          </cell>
        </row>
        <row r="83">
          <cell r="B83">
            <v>11993115</v>
          </cell>
        </row>
        <row r="84">
          <cell r="B84">
            <v>9968055</v>
          </cell>
        </row>
        <row r="85">
          <cell r="B85">
            <v>10745430</v>
          </cell>
        </row>
        <row r="86">
          <cell r="B86">
            <v>12225430</v>
          </cell>
        </row>
        <row r="87">
          <cell r="B87">
            <v>14692174</v>
          </cell>
        </row>
        <row r="88">
          <cell r="B88">
            <v>15269953</v>
          </cell>
        </row>
        <row r="89">
          <cell r="B89">
            <v>14126587</v>
          </cell>
        </row>
        <row r="90">
          <cell r="B90">
            <v>13656289</v>
          </cell>
        </row>
        <row r="91">
          <cell r="B91">
            <v>11414254</v>
          </cell>
        </row>
        <row r="92">
          <cell r="B92">
            <v>9912417</v>
          </cell>
        </row>
        <row r="93">
          <cell r="B93">
            <v>10710649</v>
          </cell>
        </row>
        <row r="94">
          <cell r="B94">
            <v>13234184</v>
          </cell>
        </row>
        <row r="95">
          <cell r="B95">
            <v>11544524</v>
          </cell>
        </row>
        <row r="96">
          <cell r="B96">
            <v>10038352</v>
          </cell>
        </row>
        <row r="97">
          <cell r="B97">
            <v>10529891</v>
          </cell>
        </row>
        <row r="98">
          <cell r="B98">
            <v>12835022</v>
          </cell>
        </row>
        <row r="99">
          <cell r="B99">
            <v>16379015</v>
          </cell>
        </row>
        <row r="100">
          <cell r="B100">
            <v>17466985</v>
          </cell>
        </row>
        <row r="101">
          <cell r="B101">
            <v>14955218</v>
          </cell>
        </row>
        <row r="102">
          <cell r="B102">
            <v>15294722.68</v>
          </cell>
        </row>
        <row r="103">
          <cell r="B103">
            <v>11587580.060000001</v>
          </cell>
        </row>
        <row r="104">
          <cell r="B104">
            <v>9833121.9600000009</v>
          </cell>
        </row>
        <row r="105">
          <cell r="B105">
            <v>10541056.630000001</v>
          </cell>
        </row>
        <row r="106">
          <cell r="B106">
            <v>11450189.99</v>
          </cell>
        </row>
        <row r="107">
          <cell r="B107">
            <v>11521627.57</v>
          </cell>
        </row>
        <row r="108">
          <cell r="B108">
            <v>9968060.1999999993</v>
          </cell>
        </row>
        <row r="109">
          <cell r="B109">
            <v>10531538.1</v>
          </cell>
        </row>
        <row r="110">
          <cell r="B110">
            <v>12848843.130000001</v>
          </cell>
        </row>
      </sheetData>
      <sheetData sheetId="2" refreshError="1">
        <row r="75">
          <cell r="B75">
            <v>2729350</v>
          </cell>
        </row>
        <row r="76">
          <cell r="B76">
            <v>2753257</v>
          </cell>
        </row>
        <row r="77">
          <cell r="B77">
            <v>2566239</v>
          </cell>
        </row>
        <row r="78">
          <cell r="B78">
            <v>2561628</v>
          </cell>
        </row>
        <row r="79">
          <cell r="B79">
            <v>2292791</v>
          </cell>
        </row>
        <row r="80">
          <cell r="B80">
            <v>2451988</v>
          </cell>
        </row>
        <row r="81">
          <cell r="B81">
            <v>2572287</v>
          </cell>
        </row>
        <row r="82">
          <cell r="B82">
            <v>2763653</v>
          </cell>
        </row>
        <row r="83">
          <cell r="B83">
            <v>2699405</v>
          </cell>
        </row>
        <row r="84">
          <cell r="B84">
            <v>2275245</v>
          </cell>
        </row>
        <row r="85">
          <cell r="B85">
            <v>2473946</v>
          </cell>
        </row>
        <row r="86">
          <cell r="B86">
            <v>2583609</v>
          </cell>
        </row>
        <row r="87">
          <cell r="B87">
            <v>2679143</v>
          </cell>
        </row>
        <row r="88">
          <cell r="B88">
            <v>2864870</v>
          </cell>
        </row>
        <row r="89">
          <cell r="B89">
            <v>2609208</v>
          </cell>
        </row>
        <row r="90">
          <cell r="B90">
            <v>2632742</v>
          </cell>
        </row>
        <row r="91">
          <cell r="B91">
            <v>2375993</v>
          </cell>
        </row>
        <row r="92">
          <cell r="B92">
            <v>2375528</v>
          </cell>
        </row>
        <row r="93">
          <cell r="B93">
            <v>2403641</v>
          </cell>
        </row>
        <row r="94">
          <cell r="B94">
            <v>2699207</v>
          </cell>
        </row>
        <row r="95">
          <cell r="B95">
            <v>2574379</v>
          </cell>
        </row>
        <row r="96">
          <cell r="B96">
            <v>2365919</v>
          </cell>
        </row>
        <row r="97">
          <cell r="B97">
            <v>2579534</v>
          </cell>
        </row>
        <row r="98">
          <cell r="B98">
            <v>2682831</v>
          </cell>
        </row>
        <row r="99">
          <cell r="B99">
            <v>2952055</v>
          </cell>
        </row>
        <row r="100">
          <cell r="B100">
            <v>3157353</v>
          </cell>
        </row>
        <row r="101">
          <cell r="B101">
            <v>2822324</v>
          </cell>
        </row>
        <row r="102">
          <cell r="B102">
            <v>2913100.27</v>
          </cell>
        </row>
        <row r="103">
          <cell r="B103">
            <v>2373330.2599999998</v>
          </cell>
        </row>
        <row r="104">
          <cell r="B104">
            <v>2336278.4300000002</v>
          </cell>
        </row>
        <row r="105">
          <cell r="B105">
            <v>2440130</v>
          </cell>
        </row>
        <row r="106">
          <cell r="B106">
            <v>2548929.15</v>
          </cell>
        </row>
        <row r="107">
          <cell r="B107">
            <v>2416998.44</v>
          </cell>
        </row>
        <row r="108">
          <cell r="B108">
            <v>2501280.6800000002</v>
          </cell>
        </row>
        <row r="109">
          <cell r="B109">
            <v>2737983.69</v>
          </cell>
        </row>
        <row r="110">
          <cell r="B110">
            <v>2822277.28</v>
          </cell>
        </row>
      </sheetData>
      <sheetData sheetId="3" refreshError="1">
        <row r="75">
          <cell r="B75">
            <v>4408677</v>
          </cell>
        </row>
        <row r="76">
          <cell r="B76">
            <v>4391689</v>
          </cell>
        </row>
        <row r="77">
          <cell r="B77">
            <v>4119900</v>
          </cell>
        </row>
        <row r="78">
          <cell r="B78">
            <v>4274757</v>
          </cell>
        </row>
        <row r="79">
          <cell r="B79">
            <v>3790260</v>
          </cell>
        </row>
        <row r="80">
          <cell r="B80">
            <v>4258545</v>
          </cell>
        </row>
        <row r="81">
          <cell r="B81">
            <v>4305966</v>
          </cell>
        </row>
        <row r="82">
          <cell r="B82">
            <v>4273773</v>
          </cell>
        </row>
        <row r="83">
          <cell r="B83">
            <v>4455584</v>
          </cell>
        </row>
        <row r="84">
          <cell r="B84">
            <v>3873871</v>
          </cell>
        </row>
        <row r="85">
          <cell r="B85">
            <v>4175824</v>
          </cell>
        </row>
        <row r="86">
          <cell r="B86">
            <v>4809264</v>
          </cell>
        </row>
        <row r="87">
          <cell r="B87">
            <v>4310080</v>
          </cell>
        </row>
        <row r="88">
          <cell r="B88">
            <v>4557931</v>
          </cell>
        </row>
        <row r="89">
          <cell r="B89">
            <v>4026120</v>
          </cell>
        </row>
        <row r="90">
          <cell r="B90">
            <v>4223484</v>
          </cell>
        </row>
        <row r="91">
          <cell r="B91">
            <v>4095207</v>
          </cell>
        </row>
        <row r="92">
          <cell r="B92">
            <v>4235433</v>
          </cell>
        </row>
        <row r="93">
          <cell r="B93">
            <v>4170619</v>
          </cell>
        </row>
        <row r="94">
          <cell r="B94">
            <v>4290304</v>
          </cell>
        </row>
        <row r="95">
          <cell r="B95">
            <v>4398606</v>
          </cell>
        </row>
        <row r="96">
          <cell r="B96">
            <v>4043829</v>
          </cell>
        </row>
        <row r="97">
          <cell r="B97">
            <v>4404977</v>
          </cell>
        </row>
        <row r="98">
          <cell r="B98">
            <v>4165132</v>
          </cell>
        </row>
        <row r="99">
          <cell r="B99">
            <v>4211268</v>
          </cell>
        </row>
        <row r="100">
          <cell r="B100">
            <v>4507639</v>
          </cell>
        </row>
        <row r="101">
          <cell r="B101">
            <v>4043999</v>
          </cell>
        </row>
        <row r="102">
          <cell r="B102">
            <v>4288137.88</v>
          </cell>
        </row>
        <row r="103">
          <cell r="B103">
            <v>4013116.72</v>
          </cell>
        </row>
        <row r="104">
          <cell r="B104">
            <v>4219052.79</v>
          </cell>
        </row>
        <row r="105">
          <cell r="B105">
            <v>4080609</v>
          </cell>
        </row>
        <row r="106">
          <cell r="B106">
            <v>4135125.53</v>
          </cell>
        </row>
        <row r="107">
          <cell r="B107">
            <v>4211479.6900000004</v>
          </cell>
        </row>
        <row r="108">
          <cell r="B108">
            <v>4339620.2300000004</v>
          </cell>
        </row>
        <row r="109">
          <cell r="B109">
            <v>4225073.07</v>
          </cell>
        </row>
        <row r="110">
          <cell r="B110">
            <v>4317145.9400000004</v>
          </cell>
        </row>
      </sheetData>
      <sheetData sheetId="4" refreshError="1">
        <row r="15">
          <cell r="B15">
            <v>141986.79999999999</v>
          </cell>
          <cell r="C15">
            <v>287.601</v>
          </cell>
          <cell r="D15">
            <v>3139.7699999999995</v>
          </cell>
        </row>
        <row r="32">
          <cell r="B32">
            <v>135393.63999999998</v>
          </cell>
          <cell r="C32">
            <v>299.94344444444442</v>
          </cell>
          <cell r="D32">
            <v>4581.3899999999994</v>
          </cell>
        </row>
        <row r="49">
          <cell r="B49">
            <v>130935</v>
          </cell>
          <cell r="C49">
            <v>283</v>
          </cell>
          <cell r="D49">
            <v>4149</v>
          </cell>
        </row>
        <row r="66">
          <cell r="B66">
            <v>144982</v>
          </cell>
          <cell r="C66">
            <v>315</v>
          </cell>
          <cell r="D66">
            <v>4424</v>
          </cell>
        </row>
      </sheetData>
      <sheetData sheetId="5" refreshError="1">
        <row r="6">
          <cell r="C6">
            <v>904</v>
          </cell>
          <cell r="E6">
            <v>68</v>
          </cell>
          <cell r="J6">
            <v>14826</v>
          </cell>
        </row>
        <row r="7">
          <cell r="B7">
            <v>13863</v>
          </cell>
          <cell r="C7">
            <v>904</v>
          </cell>
          <cell r="E7">
            <v>68</v>
          </cell>
          <cell r="J7">
            <v>14835</v>
          </cell>
        </row>
        <row r="8">
          <cell r="B8">
            <v>13884</v>
          </cell>
          <cell r="C8">
            <v>904</v>
          </cell>
          <cell r="E8">
            <v>68</v>
          </cell>
          <cell r="J8">
            <v>14856</v>
          </cell>
        </row>
        <row r="9">
          <cell r="B9">
            <v>13893</v>
          </cell>
          <cell r="C9">
            <v>905</v>
          </cell>
          <cell r="E9">
            <v>69</v>
          </cell>
          <cell r="J9">
            <v>14867</v>
          </cell>
        </row>
        <row r="10">
          <cell r="B10">
            <v>13898</v>
          </cell>
          <cell r="C10">
            <v>910</v>
          </cell>
          <cell r="E10">
            <v>69</v>
          </cell>
          <cell r="J10">
            <v>14877</v>
          </cell>
        </row>
        <row r="11">
          <cell r="B11">
            <v>13903</v>
          </cell>
          <cell r="C11">
            <v>910</v>
          </cell>
          <cell r="E11">
            <v>69</v>
          </cell>
          <cell r="J11">
            <v>14882</v>
          </cell>
        </row>
        <row r="12">
          <cell r="B12">
            <v>13944</v>
          </cell>
          <cell r="C12">
            <v>909</v>
          </cell>
          <cell r="E12">
            <v>68</v>
          </cell>
          <cell r="J12">
            <v>14921</v>
          </cell>
        </row>
        <row r="13">
          <cell r="B13">
            <v>13974</v>
          </cell>
          <cell r="C13">
            <v>911</v>
          </cell>
          <cell r="E13">
            <v>68</v>
          </cell>
          <cell r="J13">
            <v>14953</v>
          </cell>
        </row>
        <row r="14">
          <cell r="B14">
            <v>13980</v>
          </cell>
          <cell r="C14">
            <v>920</v>
          </cell>
          <cell r="E14">
            <v>68</v>
          </cell>
          <cell r="J14">
            <v>14968</v>
          </cell>
        </row>
        <row r="15">
          <cell r="B15">
            <v>14024</v>
          </cell>
          <cell r="C15">
            <v>926</v>
          </cell>
          <cell r="E15">
            <v>62</v>
          </cell>
          <cell r="J15">
            <v>15012</v>
          </cell>
        </row>
        <row r="16">
          <cell r="B16">
            <v>14037</v>
          </cell>
          <cell r="C16">
            <v>930</v>
          </cell>
          <cell r="E16">
            <v>69</v>
          </cell>
          <cell r="J16">
            <v>15036</v>
          </cell>
        </row>
        <row r="17">
          <cell r="B17">
            <v>14061</v>
          </cell>
          <cell r="C17">
            <v>932</v>
          </cell>
          <cell r="E17">
            <v>69</v>
          </cell>
          <cell r="J17">
            <v>15062</v>
          </cell>
        </row>
        <row r="18">
          <cell r="B18">
            <v>13942.916666666666</v>
          </cell>
          <cell r="C18">
            <v>913.75</v>
          </cell>
          <cell r="D18">
            <v>78.666666666666671</v>
          </cell>
          <cell r="E18">
            <v>67.916666666666671</v>
          </cell>
          <cell r="F18">
            <v>172.08333333333334</v>
          </cell>
          <cell r="G18">
            <v>2728</v>
          </cell>
        </row>
        <row r="23">
          <cell r="B23">
            <v>14074</v>
          </cell>
          <cell r="C23">
            <v>933</v>
          </cell>
          <cell r="E23">
            <v>69</v>
          </cell>
          <cell r="J23">
            <v>15076</v>
          </cell>
        </row>
        <row r="24">
          <cell r="B24">
            <v>14084</v>
          </cell>
          <cell r="C24">
            <v>935</v>
          </cell>
          <cell r="E24">
            <v>69</v>
          </cell>
          <cell r="J24">
            <v>15088</v>
          </cell>
        </row>
        <row r="25">
          <cell r="B25">
            <v>14097</v>
          </cell>
          <cell r="C25">
            <v>935</v>
          </cell>
          <cell r="E25">
            <v>68</v>
          </cell>
          <cell r="J25">
            <v>15100</v>
          </cell>
        </row>
        <row r="26">
          <cell r="B26">
            <v>14105</v>
          </cell>
          <cell r="C26">
            <v>934</v>
          </cell>
          <cell r="E26">
            <v>68</v>
          </cell>
          <cell r="J26">
            <v>15107</v>
          </cell>
        </row>
        <row r="27">
          <cell r="B27">
            <v>14135</v>
          </cell>
          <cell r="C27">
            <v>936</v>
          </cell>
          <cell r="E27">
            <v>68</v>
          </cell>
          <cell r="J27">
            <v>15139</v>
          </cell>
        </row>
        <row r="28">
          <cell r="B28">
            <v>14157</v>
          </cell>
          <cell r="C28">
            <v>946</v>
          </cell>
          <cell r="E28">
            <v>69</v>
          </cell>
          <cell r="J28">
            <v>15172</v>
          </cell>
        </row>
        <row r="29">
          <cell r="B29">
            <v>14183</v>
          </cell>
          <cell r="C29">
            <v>958</v>
          </cell>
          <cell r="E29">
            <v>66</v>
          </cell>
          <cell r="J29">
            <v>15207</v>
          </cell>
        </row>
        <row r="30">
          <cell r="B30">
            <v>14221</v>
          </cell>
          <cell r="C30">
            <v>957</v>
          </cell>
          <cell r="E30">
            <v>66</v>
          </cell>
          <cell r="J30">
            <v>15244</v>
          </cell>
        </row>
        <row r="31">
          <cell r="B31">
            <v>14235</v>
          </cell>
          <cell r="C31">
            <v>959</v>
          </cell>
          <cell r="E31">
            <v>66</v>
          </cell>
          <cell r="J31">
            <v>15260</v>
          </cell>
        </row>
        <row r="32">
          <cell r="B32">
            <v>14261</v>
          </cell>
          <cell r="C32">
            <v>962</v>
          </cell>
          <cell r="E32">
            <v>65</v>
          </cell>
          <cell r="J32">
            <v>15288</v>
          </cell>
        </row>
        <row r="33">
          <cell r="B33">
            <v>14303</v>
          </cell>
          <cell r="C33">
            <v>966</v>
          </cell>
          <cell r="E33">
            <v>65</v>
          </cell>
          <cell r="J33">
            <v>15334</v>
          </cell>
        </row>
        <row r="34">
          <cell r="B34">
            <v>14317</v>
          </cell>
          <cell r="C34">
            <v>970</v>
          </cell>
          <cell r="E34">
            <v>65</v>
          </cell>
          <cell r="J34">
            <v>15352</v>
          </cell>
        </row>
        <row r="36">
          <cell r="B36">
            <v>14181</v>
          </cell>
          <cell r="C36">
            <v>949.25</v>
          </cell>
          <cell r="D36">
            <v>77.583333333333329</v>
          </cell>
          <cell r="E36">
            <v>67</v>
          </cell>
          <cell r="F36">
            <v>168</v>
          </cell>
          <cell r="G36">
            <v>2843.3333333333335</v>
          </cell>
        </row>
        <row r="41">
          <cell r="B41">
            <v>14372</v>
          </cell>
          <cell r="C41">
            <v>968</v>
          </cell>
          <cell r="E41">
            <v>66</v>
          </cell>
          <cell r="J41">
            <v>15406</v>
          </cell>
        </row>
        <row r="42">
          <cell r="B42">
            <v>14388</v>
          </cell>
          <cell r="C42">
            <v>971</v>
          </cell>
          <cell r="E42">
            <v>66</v>
          </cell>
          <cell r="J42">
            <v>15425</v>
          </cell>
        </row>
        <row r="43">
          <cell r="B43">
            <v>14406</v>
          </cell>
          <cell r="C43">
            <v>972</v>
          </cell>
          <cell r="E43">
            <v>66</v>
          </cell>
          <cell r="J43">
            <v>15444</v>
          </cell>
        </row>
        <row r="44">
          <cell r="B44">
            <v>14439</v>
          </cell>
          <cell r="C44">
            <v>973</v>
          </cell>
          <cell r="E44">
            <v>66</v>
          </cell>
          <cell r="J44">
            <v>15478</v>
          </cell>
        </row>
        <row r="45">
          <cell r="B45">
            <v>14461</v>
          </cell>
          <cell r="C45">
            <v>970</v>
          </cell>
          <cell r="E45">
            <v>66</v>
          </cell>
          <cell r="J45">
            <v>15497</v>
          </cell>
        </row>
        <row r="46">
          <cell r="B46">
            <v>14474</v>
          </cell>
          <cell r="C46">
            <v>974</v>
          </cell>
          <cell r="E46">
            <v>67</v>
          </cell>
          <cell r="J46">
            <v>15515</v>
          </cell>
        </row>
        <row r="47">
          <cell r="B47">
            <v>14507</v>
          </cell>
          <cell r="C47">
            <v>1012</v>
          </cell>
          <cell r="E47">
            <v>68</v>
          </cell>
          <cell r="J47">
            <v>15587</v>
          </cell>
        </row>
        <row r="48">
          <cell r="B48">
            <v>14539</v>
          </cell>
          <cell r="C48">
            <v>1021</v>
          </cell>
          <cell r="E48">
            <v>68</v>
          </cell>
          <cell r="J48">
            <v>15628</v>
          </cell>
        </row>
        <row r="49">
          <cell r="B49">
            <v>14566</v>
          </cell>
          <cell r="C49">
            <v>1014</v>
          </cell>
          <cell r="E49">
            <v>68</v>
          </cell>
          <cell r="J49">
            <v>15648</v>
          </cell>
        </row>
        <row r="50">
          <cell r="B50">
            <v>14612</v>
          </cell>
          <cell r="C50">
            <v>1009</v>
          </cell>
          <cell r="E50">
            <v>67</v>
          </cell>
          <cell r="J50">
            <v>15688</v>
          </cell>
        </row>
        <row r="51">
          <cell r="B51">
            <v>14647</v>
          </cell>
          <cell r="C51">
            <v>1004</v>
          </cell>
          <cell r="E51">
            <v>69</v>
          </cell>
          <cell r="J51">
            <v>15720</v>
          </cell>
        </row>
        <row r="52">
          <cell r="B52">
            <v>14699</v>
          </cell>
          <cell r="C52">
            <v>1007</v>
          </cell>
          <cell r="E52">
            <v>69</v>
          </cell>
          <cell r="J52">
            <v>15775</v>
          </cell>
        </row>
        <row r="54">
          <cell r="B54">
            <v>14509.166666666666</v>
          </cell>
          <cell r="C54">
            <v>991.25</v>
          </cell>
          <cell r="D54">
            <v>75.583333333333329</v>
          </cell>
          <cell r="E54">
            <v>67.166666666666671</v>
          </cell>
          <cell r="F54">
            <v>169.41666666666666</v>
          </cell>
          <cell r="G54">
            <v>2923.3333333333335</v>
          </cell>
        </row>
        <row r="60">
          <cell r="B60">
            <v>14727</v>
          </cell>
          <cell r="C60">
            <v>997</v>
          </cell>
          <cell r="E60">
            <v>69</v>
          </cell>
          <cell r="J60">
            <v>15793</v>
          </cell>
        </row>
        <row r="61">
          <cell r="B61">
            <v>14735</v>
          </cell>
          <cell r="C61">
            <v>998</v>
          </cell>
          <cell r="E61">
            <v>69</v>
          </cell>
          <cell r="J61">
            <v>15802</v>
          </cell>
        </row>
        <row r="62">
          <cell r="B62">
            <v>14759</v>
          </cell>
          <cell r="C62">
            <v>998</v>
          </cell>
          <cell r="E62">
            <v>69</v>
          </cell>
          <cell r="J62">
            <v>15826</v>
          </cell>
        </row>
        <row r="63">
          <cell r="B63">
            <v>14776</v>
          </cell>
          <cell r="C63">
            <v>997</v>
          </cell>
          <cell r="E63">
            <v>70</v>
          </cell>
          <cell r="J63">
            <v>15843</v>
          </cell>
        </row>
        <row r="64">
          <cell r="B64">
            <v>14789</v>
          </cell>
          <cell r="C64">
            <v>997</v>
          </cell>
          <cell r="E64">
            <v>70</v>
          </cell>
          <cell r="J64">
            <v>15856</v>
          </cell>
        </row>
        <row r="65">
          <cell r="B65">
            <v>14816</v>
          </cell>
          <cell r="C65">
            <v>997</v>
          </cell>
          <cell r="E65">
            <v>70</v>
          </cell>
          <cell r="J65">
            <v>15883</v>
          </cell>
        </row>
        <row r="66">
          <cell r="B66">
            <v>14814</v>
          </cell>
          <cell r="C66">
            <v>996</v>
          </cell>
          <cell r="E66">
            <v>71</v>
          </cell>
          <cell r="J66">
            <v>15881</v>
          </cell>
        </row>
        <row r="67">
          <cell r="B67">
            <v>14895</v>
          </cell>
          <cell r="C67">
            <v>1003</v>
          </cell>
          <cell r="E67">
            <v>72</v>
          </cell>
          <cell r="J67">
            <v>15970</v>
          </cell>
        </row>
        <row r="68">
          <cell r="B68">
            <v>14926</v>
          </cell>
          <cell r="C68">
            <v>1004</v>
          </cell>
          <cell r="E68">
            <v>75</v>
          </cell>
          <cell r="J68">
            <v>16005</v>
          </cell>
        </row>
        <row r="69">
          <cell r="B69">
            <v>14975</v>
          </cell>
          <cell r="C69">
            <v>1000</v>
          </cell>
          <cell r="E69">
            <v>75</v>
          </cell>
          <cell r="J69">
            <v>16050</v>
          </cell>
        </row>
        <row r="70">
          <cell r="B70">
            <v>15045</v>
          </cell>
          <cell r="C70">
            <v>1008</v>
          </cell>
          <cell r="E70">
            <v>74</v>
          </cell>
          <cell r="J70">
            <v>16127</v>
          </cell>
        </row>
        <row r="71">
          <cell r="B71">
            <v>15082</v>
          </cell>
          <cell r="C71">
            <v>1012</v>
          </cell>
          <cell r="E71">
            <v>74</v>
          </cell>
          <cell r="J71">
            <v>16168</v>
          </cell>
        </row>
        <row r="72">
          <cell r="B72">
            <v>14861.583333333334</v>
          </cell>
          <cell r="C72">
            <v>1000.5833333333334</v>
          </cell>
          <cell r="D72">
            <v>76</v>
          </cell>
          <cell r="E72">
            <v>71.5</v>
          </cell>
          <cell r="F72">
            <v>165.75</v>
          </cell>
          <cell r="G72">
            <v>2897.6666666666665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ption Data "/>
    </sheetNames>
    <sheetDataSet>
      <sheetData sheetId="0" refreshError="1">
        <row r="6">
          <cell r="B6">
            <v>22119629</v>
          </cell>
        </row>
        <row r="54">
          <cell r="D54">
            <v>15656721</v>
          </cell>
          <cell r="H54">
            <v>2405185</v>
          </cell>
          <cell r="L54">
            <v>3504488</v>
          </cell>
        </row>
        <row r="55">
          <cell r="D55">
            <v>14305197</v>
          </cell>
          <cell r="H55">
            <v>2220986</v>
          </cell>
          <cell r="L55">
            <v>3222615</v>
          </cell>
        </row>
        <row r="56">
          <cell r="D56">
            <v>14164560</v>
          </cell>
          <cell r="H56">
            <v>2311304</v>
          </cell>
          <cell r="L56">
            <v>3449527</v>
          </cell>
        </row>
        <row r="57">
          <cell r="D57">
            <v>10773864</v>
          </cell>
          <cell r="H57">
            <v>1970759</v>
          </cell>
          <cell r="L57">
            <v>3144707</v>
          </cell>
        </row>
        <row r="58">
          <cell r="D58">
            <v>9989674</v>
          </cell>
          <cell r="H58">
            <v>1991763</v>
          </cell>
          <cell r="L58">
            <v>3320523</v>
          </cell>
        </row>
        <row r="59">
          <cell r="D59">
            <v>10480487</v>
          </cell>
          <cell r="H59">
            <v>2203302</v>
          </cell>
          <cell r="L59">
            <v>3217349</v>
          </cell>
        </row>
        <row r="60">
          <cell r="D60">
            <v>12380113</v>
          </cell>
          <cell r="H60">
            <v>2484696</v>
          </cell>
          <cell r="L60">
            <v>3320788</v>
          </cell>
        </row>
        <row r="61">
          <cell r="D61">
            <v>11213160</v>
          </cell>
          <cell r="H61">
            <v>2359413</v>
          </cell>
          <cell r="L61">
            <v>3261074</v>
          </cell>
        </row>
        <row r="62">
          <cell r="D62">
            <v>9420147</v>
          </cell>
          <cell r="H62">
            <v>2127231</v>
          </cell>
          <cell r="L62">
            <v>3173965</v>
          </cell>
        </row>
        <row r="63">
          <cell r="D63">
            <v>11103931</v>
          </cell>
          <cell r="H63">
            <v>2278439</v>
          </cell>
          <cell r="L63">
            <v>3391458</v>
          </cell>
        </row>
        <row r="64">
          <cell r="D64">
            <v>12426249</v>
          </cell>
          <cell r="H64">
            <v>2340246</v>
          </cell>
          <cell r="L64">
            <v>3386870</v>
          </cell>
        </row>
        <row r="65">
          <cell r="D65">
            <v>14468915</v>
          </cell>
          <cell r="H65">
            <v>2439858</v>
          </cell>
          <cell r="L65">
            <v>3333891</v>
          </cell>
        </row>
        <row r="66">
          <cell r="D66">
            <v>16249963</v>
          </cell>
          <cell r="H66">
            <v>2566158</v>
          </cell>
          <cell r="L66">
            <v>3416075</v>
          </cell>
        </row>
        <row r="67">
          <cell r="D67">
            <v>15687569</v>
          </cell>
          <cell r="H67">
            <v>2449930</v>
          </cell>
          <cell r="L67">
            <v>3153475</v>
          </cell>
        </row>
        <row r="68">
          <cell r="D68">
            <v>14688141</v>
          </cell>
          <cell r="H68">
            <v>2503057</v>
          </cell>
          <cell r="L68">
            <v>3314545</v>
          </cell>
        </row>
        <row r="69">
          <cell r="D69">
            <v>11526759</v>
          </cell>
          <cell r="H69">
            <v>2150206</v>
          </cell>
          <cell r="L69">
            <v>3030956</v>
          </cell>
        </row>
        <row r="70">
          <cell r="D70">
            <v>9949931</v>
          </cell>
          <cell r="H70">
            <v>2173559</v>
          </cell>
          <cell r="L70">
            <v>3141479</v>
          </cell>
        </row>
        <row r="71">
          <cell r="D71">
            <v>10346267</v>
          </cell>
          <cell r="H71">
            <v>2286735</v>
          </cell>
          <cell r="L71">
            <v>3194900</v>
          </cell>
        </row>
        <row r="72">
          <cell r="D72">
            <v>11498005</v>
          </cell>
          <cell r="H72">
            <v>2434031</v>
          </cell>
          <cell r="L72">
            <v>3204487</v>
          </cell>
        </row>
        <row r="73">
          <cell r="D73">
            <v>11423707</v>
          </cell>
          <cell r="H73">
            <v>2419591</v>
          </cell>
          <cell r="L73">
            <v>3218318</v>
          </cell>
        </row>
        <row r="74">
          <cell r="D74">
            <v>9689281</v>
          </cell>
          <cell r="H74">
            <v>2195496</v>
          </cell>
          <cell r="L74">
            <v>3271925</v>
          </cell>
        </row>
        <row r="75">
          <cell r="D75">
            <v>10253643</v>
          </cell>
          <cell r="H75">
            <v>2297711</v>
          </cell>
          <cell r="L75">
            <v>3588707</v>
          </cell>
        </row>
        <row r="76">
          <cell r="D76">
            <v>12917037</v>
          </cell>
          <cell r="H76">
            <v>2455130</v>
          </cell>
          <cell r="L76">
            <v>3761009</v>
          </cell>
        </row>
        <row r="77">
          <cell r="D77">
            <v>16029153</v>
          </cell>
          <cell r="H77">
            <v>2654818</v>
          </cell>
          <cell r="L77">
            <v>3870949</v>
          </cell>
        </row>
        <row r="78">
          <cell r="D78">
            <v>16108836</v>
          </cell>
          <cell r="H78">
            <v>2708152</v>
          </cell>
          <cell r="L78">
            <v>3952667</v>
          </cell>
        </row>
        <row r="79">
          <cell r="D79">
            <v>15111865</v>
          </cell>
          <cell r="H79">
            <v>2543856</v>
          </cell>
          <cell r="L79">
            <v>3721999</v>
          </cell>
        </row>
        <row r="80">
          <cell r="D80">
            <v>14824395</v>
          </cell>
          <cell r="H80">
            <v>2579260</v>
          </cell>
          <cell r="L80">
            <v>3767626</v>
          </cell>
        </row>
        <row r="81">
          <cell r="D81">
            <v>10995224</v>
          </cell>
          <cell r="H81">
            <v>2176154</v>
          </cell>
          <cell r="L81">
            <v>3502956</v>
          </cell>
        </row>
        <row r="82">
          <cell r="D82">
            <v>10238538</v>
          </cell>
          <cell r="H82">
            <v>2168104</v>
          </cell>
          <cell r="L82">
            <v>3563732</v>
          </cell>
        </row>
        <row r="83">
          <cell r="D83">
            <v>10371805</v>
          </cell>
          <cell r="H83">
            <v>2214082</v>
          </cell>
          <cell r="L83">
            <v>3531127</v>
          </cell>
        </row>
        <row r="84">
          <cell r="D84">
            <v>11432740</v>
          </cell>
          <cell r="H84">
            <v>2343602</v>
          </cell>
          <cell r="L84">
            <v>3652158</v>
          </cell>
        </row>
        <row r="85">
          <cell r="D85">
            <v>10970422</v>
          </cell>
          <cell r="H85">
            <v>2300528</v>
          </cell>
          <cell r="L85">
            <v>3705140</v>
          </cell>
        </row>
        <row r="86">
          <cell r="D86">
            <v>9784362</v>
          </cell>
          <cell r="H86">
            <v>2111286</v>
          </cell>
          <cell r="L86">
            <v>3825164</v>
          </cell>
        </row>
        <row r="87">
          <cell r="D87">
            <v>10926030</v>
          </cell>
          <cell r="H87">
            <v>2222937</v>
          </cell>
          <cell r="L87">
            <v>4010251</v>
          </cell>
        </row>
        <row r="88">
          <cell r="D88">
            <v>13094794</v>
          </cell>
          <cell r="H88">
            <v>2396744</v>
          </cell>
          <cell r="L88">
            <v>4029874</v>
          </cell>
        </row>
        <row r="89">
          <cell r="D89">
            <v>16764512</v>
          </cell>
          <cell r="H89">
            <v>2623822</v>
          </cell>
          <cell r="L89">
            <v>4253129</v>
          </cell>
        </row>
        <row r="90">
          <cell r="D90">
            <v>17810584</v>
          </cell>
          <cell r="H90">
            <v>2722823</v>
          </cell>
          <cell r="L90">
            <v>4093327</v>
          </cell>
        </row>
        <row r="91">
          <cell r="D91">
            <v>14875943</v>
          </cell>
          <cell r="H91">
            <v>2424700</v>
          </cell>
          <cell r="L91">
            <v>3845597</v>
          </cell>
        </row>
        <row r="92">
          <cell r="D92">
            <v>14168411</v>
          </cell>
          <cell r="H92">
            <v>2427300</v>
          </cell>
          <cell r="L92">
            <v>4098357</v>
          </cell>
        </row>
        <row r="93">
          <cell r="D93">
            <v>11457915</v>
          </cell>
          <cell r="H93">
            <v>2234311</v>
          </cell>
          <cell r="L93">
            <v>3726593</v>
          </cell>
        </row>
        <row r="94">
          <cell r="D94">
            <v>10081810</v>
          </cell>
          <cell r="H94">
            <v>2126121</v>
          </cell>
          <cell r="L94">
            <v>3697247</v>
          </cell>
        </row>
        <row r="95">
          <cell r="D95">
            <v>9854813</v>
          </cell>
          <cell r="H95">
            <v>2169041</v>
          </cell>
          <cell r="L95">
            <v>3539269</v>
          </cell>
        </row>
        <row r="96">
          <cell r="D96">
            <v>10889246</v>
          </cell>
          <cell r="H96">
            <v>2310652</v>
          </cell>
          <cell r="L96">
            <v>3698838</v>
          </cell>
        </row>
        <row r="97">
          <cell r="D97">
            <v>11628804</v>
          </cell>
          <cell r="H97">
            <v>2378057</v>
          </cell>
          <cell r="L97">
            <v>4067503</v>
          </cell>
        </row>
        <row r="98">
          <cell r="D98">
            <v>9993074</v>
          </cell>
          <cell r="H98">
            <v>2164587</v>
          </cell>
          <cell r="L98">
            <v>4020681</v>
          </cell>
        </row>
        <row r="99">
          <cell r="D99">
            <v>11313182</v>
          </cell>
          <cell r="H99">
            <v>2341208</v>
          </cell>
          <cell r="L99">
            <v>4114121</v>
          </cell>
        </row>
        <row r="100">
          <cell r="D100">
            <v>12003176</v>
          </cell>
          <cell r="H100">
            <v>2351792</v>
          </cell>
          <cell r="L100">
            <v>4196370</v>
          </cell>
        </row>
        <row r="101">
          <cell r="D101">
            <v>15992024</v>
          </cell>
          <cell r="H101">
            <v>2667735</v>
          </cell>
          <cell r="L101">
            <v>4346550</v>
          </cell>
        </row>
        <row r="102">
          <cell r="D102">
            <v>16758847</v>
          </cell>
          <cell r="H102">
            <v>2750890</v>
          </cell>
          <cell r="L102">
            <v>4467755</v>
          </cell>
        </row>
        <row r="103">
          <cell r="D103">
            <v>14108588</v>
          </cell>
          <cell r="H103">
            <v>2436943</v>
          </cell>
          <cell r="L103">
            <v>4091689</v>
          </cell>
        </row>
        <row r="104">
          <cell r="D104">
            <v>12565986</v>
          </cell>
          <cell r="H104">
            <v>2344061</v>
          </cell>
          <cell r="L104">
            <v>4408918</v>
          </cell>
        </row>
        <row r="105">
          <cell r="D105">
            <v>10254608</v>
          </cell>
          <cell r="H105">
            <v>2116368</v>
          </cell>
          <cell r="L105">
            <v>3956850</v>
          </cell>
        </row>
        <row r="106">
          <cell r="D106">
            <v>10319214</v>
          </cell>
          <cell r="H106">
            <v>2317663</v>
          </cell>
          <cell r="L106">
            <v>4178542</v>
          </cell>
        </row>
        <row r="107">
          <cell r="D107">
            <v>10886710</v>
          </cell>
          <cell r="H107">
            <v>2346316</v>
          </cell>
          <cell r="L107">
            <v>4295870</v>
          </cell>
        </row>
        <row r="108">
          <cell r="D108">
            <v>12945230</v>
          </cell>
          <cell r="H108">
            <v>2633804</v>
          </cell>
          <cell r="L108">
            <v>4296963</v>
          </cell>
        </row>
        <row r="109">
          <cell r="D109">
            <v>12216023</v>
          </cell>
          <cell r="H109">
            <v>2573532</v>
          </cell>
          <cell r="L109">
            <v>4422302</v>
          </cell>
        </row>
        <row r="110">
          <cell r="D110">
            <v>10068692</v>
          </cell>
          <cell r="H110">
            <v>2297240</v>
          </cell>
          <cell r="L110">
            <v>4190730</v>
          </cell>
        </row>
        <row r="111">
          <cell r="D111">
            <v>10537708</v>
          </cell>
          <cell r="H111">
            <v>2376983</v>
          </cell>
          <cell r="L111">
            <v>4346909</v>
          </cell>
        </row>
        <row r="112">
          <cell r="D112">
            <v>12377930</v>
          </cell>
          <cell r="H112">
            <v>2420856</v>
          </cell>
          <cell r="L112">
            <v>4206995</v>
          </cell>
        </row>
        <row r="113">
          <cell r="D113">
            <v>15852526</v>
          </cell>
          <cell r="H113">
            <v>2808483</v>
          </cell>
          <cell r="L113">
            <v>4242518</v>
          </cell>
        </row>
        <row r="114">
          <cell r="D114">
            <v>16696145</v>
          </cell>
          <cell r="H114">
            <v>2916087</v>
          </cell>
          <cell r="L114">
            <v>4294433</v>
          </cell>
        </row>
        <row r="115">
          <cell r="D115">
            <v>14407275</v>
          </cell>
          <cell r="H115">
            <v>2595862</v>
          </cell>
          <cell r="L115">
            <v>3932436</v>
          </cell>
        </row>
        <row r="116">
          <cell r="D116">
            <v>14015514</v>
          </cell>
          <cell r="H116">
            <v>2660869</v>
          </cell>
          <cell r="L116">
            <v>4256728</v>
          </cell>
        </row>
        <row r="117">
          <cell r="D117">
            <v>11306265</v>
          </cell>
          <cell r="H117">
            <v>2340953</v>
          </cell>
          <cell r="L117">
            <v>3978925</v>
          </cell>
        </row>
        <row r="118">
          <cell r="D118">
            <v>9737594</v>
          </cell>
          <cell r="H118">
            <v>2315445</v>
          </cell>
          <cell r="L118">
            <v>4091845</v>
          </cell>
        </row>
        <row r="119">
          <cell r="D119">
            <v>9716476</v>
          </cell>
          <cell r="H119">
            <v>2399956</v>
          </cell>
          <cell r="L119">
            <v>4026185</v>
          </cell>
        </row>
        <row r="120">
          <cell r="D120">
            <v>13535935</v>
          </cell>
          <cell r="H120">
            <v>2786776</v>
          </cell>
          <cell r="L120">
            <v>4195592</v>
          </cell>
        </row>
        <row r="121">
          <cell r="D121">
            <v>11675437</v>
          </cell>
          <cell r="H121">
            <v>2615109</v>
          </cell>
          <cell r="L121">
            <v>4267059</v>
          </cell>
        </row>
        <row r="122">
          <cell r="D122">
            <v>9553832</v>
          </cell>
          <cell r="H122">
            <v>2322637</v>
          </cell>
          <cell r="L122">
            <v>4093999</v>
          </cell>
        </row>
        <row r="123">
          <cell r="D123">
            <v>10426163</v>
          </cell>
          <cell r="H123">
            <v>2383183</v>
          </cell>
          <cell r="L123">
            <v>4238340</v>
          </cell>
        </row>
        <row r="124">
          <cell r="D124">
            <v>11200470</v>
          </cell>
          <cell r="H124">
            <v>2441092</v>
          </cell>
          <cell r="L124">
            <v>4324842</v>
          </cell>
        </row>
        <row r="125">
          <cell r="D125">
            <v>14406250</v>
          </cell>
          <cell r="H125">
            <v>2685737</v>
          </cell>
          <cell r="L125">
            <v>4305174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3 Tables"/>
      <sheetName val="Summary"/>
      <sheetName val="Sheet1"/>
      <sheetName val="Purchased Power Model "/>
      <sheetName val="Residential"/>
      <sheetName val="GS &lt; 50 kW"/>
      <sheetName val="GS &gt; 50 kW"/>
      <sheetName val="Rate Class Energy Model"/>
      <sheetName val="Rate Class Customer Model"/>
      <sheetName val="Rate Class Load Model"/>
      <sheetName val="Weather Analysis"/>
      <sheetName val="2016 COP Forecast"/>
      <sheetName val="2017 COP Forecast"/>
      <sheetName val="2018 COP Forecast"/>
      <sheetName val="2019 COP Forecast"/>
      <sheetName val="2020 COP Forecast"/>
      <sheetName val="2021 COP Forecast"/>
    </sheetNames>
    <sheetDataSet>
      <sheetData sheetId="0">
        <row r="178">
          <cell r="B178">
            <v>2005</v>
          </cell>
        </row>
      </sheetData>
      <sheetData sheetId="1"/>
      <sheetData sheetId="2"/>
      <sheetData sheetId="3">
        <row r="3">
          <cell r="C3">
            <v>551.79999999999995</v>
          </cell>
          <cell r="D3">
            <v>0</v>
          </cell>
        </row>
        <row r="4">
          <cell r="C4">
            <v>604.29999999999995</v>
          </cell>
          <cell r="D4">
            <v>0</v>
          </cell>
        </row>
        <row r="5">
          <cell r="C5">
            <v>516.6</v>
          </cell>
          <cell r="D5">
            <v>0</v>
          </cell>
        </row>
        <row r="6">
          <cell r="C6">
            <v>293.3</v>
          </cell>
          <cell r="D6">
            <v>0</v>
          </cell>
        </row>
        <row r="7">
          <cell r="C7">
            <v>136.9</v>
          </cell>
          <cell r="D7">
            <v>26</v>
          </cell>
        </row>
        <row r="8">
          <cell r="C8">
            <v>19.5</v>
          </cell>
          <cell r="D8">
            <v>73.599999999999994</v>
          </cell>
        </row>
        <row r="9">
          <cell r="C9">
            <v>0</v>
          </cell>
          <cell r="D9">
            <v>167.3</v>
          </cell>
        </row>
        <row r="10">
          <cell r="C10">
            <v>4.2</v>
          </cell>
          <cell r="D10">
            <v>101.6</v>
          </cell>
        </row>
        <row r="11">
          <cell r="C11">
            <v>80.900000000000006</v>
          </cell>
          <cell r="D11">
            <v>12.9</v>
          </cell>
        </row>
        <row r="12">
          <cell r="C12">
            <v>288.3</v>
          </cell>
          <cell r="D12">
            <v>1.1000000000000001</v>
          </cell>
        </row>
        <row r="13">
          <cell r="C13">
            <v>382.2</v>
          </cell>
          <cell r="D13">
            <v>0</v>
          </cell>
        </row>
        <row r="14">
          <cell r="C14">
            <v>500.5</v>
          </cell>
          <cell r="D14">
            <v>0</v>
          </cell>
        </row>
        <row r="15">
          <cell r="C15">
            <v>647.1</v>
          </cell>
          <cell r="D15">
            <v>0</v>
          </cell>
        </row>
        <row r="16">
          <cell r="C16">
            <v>740.1</v>
          </cell>
          <cell r="D16">
            <v>0</v>
          </cell>
        </row>
        <row r="17">
          <cell r="C17">
            <v>546.70000000000005</v>
          </cell>
          <cell r="D17">
            <v>0</v>
          </cell>
        </row>
        <row r="18">
          <cell r="C18">
            <v>356.4</v>
          </cell>
          <cell r="D18">
            <v>0</v>
          </cell>
        </row>
        <row r="19">
          <cell r="C19">
            <v>136.4</v>
          </cell>
          <cell r="D19">
            <v>22.4</v>
          </cell>
        </row>
        <row r="20">
          <cell r="C20">
            <v>16.5</v>
          </cell>
          <cell r="D20">
            <v>99.2</v>
          </cell>
        </row>
        <row r="21">
          <cell r="C21">
            <v>3.2</v>
          </cell>
          <cell r="D21">
            <v>106.1</v>
          </cell>
        </row>
        <row r="22">
          <cell r="C22">
            <v>5.2</v>
          </cell>
          <cell r="D22">
            <v>141</v>
          </cell>
        </row>
        <row r="23">
          <cell r="C23">
            <v>36.9</v>
          </cell>
          <cell r="D23">
            <v>47.5</v>
          </cell>
        </row>
        <row r="24">
          <cell r="C24">
            <v>137.69999999999999</v>
          </cell>
          <cell r="D24">
            <v>19.8</v>
          </cell>
        </row>
        <row r="25">
          <cell r="C25">
            <v>462.5</v>
          </cell>
          <cell r="D25">
            <v>0</v>
          </cell>
        </row>
        <row r="26">
          <cell r="C26">
            <v>630.70000000000005</v>
          </cell>
          <cell r="D26">
            <v>0</v>
          </cell>
        </row>
        <row r="27">
          <cell r="C27">
            <v>623.5</v>
          </cell>
          <cell r="D27">
            <v>0</v>
          </cell>
        </row>
        <row r="28">
          <cell r="C28">
            <v>674.7</v>
          </cell>
          <cell r="D28">
            <v>0</v>
          </cell>
        </row>
        <row r="29">
          <cell r="C29">
            <v>610.20000000000005</v>
          </cell>
          <cell r="D29">
            <v>0</v>
          </cell>
        </row>
        <row r="30">
          <cell r="C30">
            <v>253.9</v>
          </cell>
          <cell r="D30">
            <v>0</v>
          </cell>
        </row>
        <row r="31">
          <cell r="C31">
            <v>193.5</v>
          </cell>
          <cell r="D31">
            <v>2.5</v>
          </cell>
        </row>
        <row r="32">
          <cell r="C32">
            <v>22.7</v>
          </cell>
          <cell r="D32">
            <v>71.5</v>
          </cell>
        </row>
        <row r="33">
          <cell r="C33">
            <v>1</v>
          </cell>
          <cell r="D33">
            <v>111</v>
          </cell>
        </row>
        <row r="34">
          <cell r="C34">
            <v>12.7</v>
          </cell>
          <cell r="D34">
            <v>64</v>
          </cell>
        </row>
        <row r="35">
          <cell r="C35">
            <v>59</v>
          </cell>
          <cell r="D35">
            <v>26.7</v>
          </cell>
        </row>
        <row r="36">
          <cell r="C36">
            <v>278.60000000000002</v>
          </cell>
          <cell r="D36">
            <v>0</v>
          </cell>
        </row>
        <row r="37">
          <cell r="C37">
            <v>451.6</v>
          </cell>
          <cell r="D37">
            <v>0</v>
          </cell>
        </row>
        <row r="38">
          <cell r="C38">
            <v>654.6</v>
          </cell>
          <cell r="D38">
            <v>0</v>
          </cell>
        </row>
        <row r="39">
          <cell r="C39">
            <v>830.2</v>
          </cell>
          <cell r="D39">
            <v>0</v>
          </cell>
        </row>
        <row r="40">
          <cell r="C40">
            <v>606.4</v>
          </cell>
          <cell r="D40">
            <v>0</v>
          </cell>
        </row>
        <row r="41">
          <cell r="C41">
            <v>533.79999999999995</v>
          </cell>
          <cell r="D41">
            <v>0</v>
          </cell>
        </row>
        <row r="42">
          <cell r="C42">
            <v>305.8</v>
          </cell>
          <cell r="D42">
            <v>1.2</v>
          </cell>
        </row>
        <row r="43">
          <cell r="C43">
            <v>158.80000000000001</v>
          </cell>
          <cell r="D43">
            <v>6.9</v>
          </cell>
        </row>
        <row r="44">
          <cell r="C44">
            <v>49.3</v>
          </cell>
          <cell r="D44">
            <v>34.200000000000003</v>
          </cell>
        </row>
        <row r="45">
          <cell r="C45">
            <v>6.2</v>
          </cell>
          <cell r="D45">
            <v>43.7</v>
          </cell>
        </row>
        <row r="46">
          <cell r="C46">
            <v>9.8000000000000007</v>
          </cell>
          <cell r="D46">
            <v>91</v>
          </cell>
        </row>
        <row r="47">
          <cell r="C47">
            <v>55.2</v>
          </cell>
          <cell r="D47">
            <v>20.9</v>
          </cell>
        </row>
        <row r="48">
          <cell r="C48">
            <v>287.8</v>
          </cell>
          <cell r="D48">
            <v>0</v>
          </cell>
        </row>
        <row r="49">
          <cell r="C49">
            <v>361.2</v>
          </cell>
          <cell r="D49">
            <v>0</v>
          </cell>
        </row>
        <row r="50">
          <cell r="C50">
            <v>631.29999999999995</v>
          </cell>
          <cell r="D50">
            <v>0</v>
          </cell>
        </row>
        <row r="51">
          <cell r="C51">
            <v>720</v>
          </cell>
          <cell r="D51">
            <v>0</v>
          </cell>
        </row>
        <row r="52">
          <cell r="C52">
            <v>598.29999999999995</v>
          </cell>
          <cell r="D52">
            <v>0</v>
          </cell>
        </row>
        <row r="53">
          <cell r="C53">
            <v>422.8</v>
          </cell>
          <cell r="D53">
            <v>0</v>
          </cell>
        </row>
        <row r="54">
          <cell r="C54">
            <v>225.1</v>
          </cell>
          <cell r="D54">
            <v>0</v>
          </cell>
        </row>
        <row r="55">
          <cell r="C55">
            <v>107.9</v>
          </cell>
          <cell r="D55">
            <v>45.7</v>
          </cell>
        </row>
        <row r="56">
          <cell r="C56">
            <v>21.7</v>
          </cell>
          <cell r="D56">
            <v>58.7</v>
          </cell>
        </row>
        <row r="57">
          <cell r="C57">
            <v>1.8</v>
          </cell>
          <cell r="D57">
            <v>164.9</v>
          </cell>
        </row>
        <row r="58">
          <cell r="C58">
            <v>2.1</v>
          </cell>
          <cell r="D58">
            <v>138.80000000000001</v>
          </cell>
        </row>
        <row r="59">
          <cell r="C59">
            <v>78.099999999999994</v>
          </cell>
          <cell r="D59">
            <v>31.5</v>
          </cell>
        </row>
        <row r="60">
          <cell r="C60">
            <v>241.6</v>
          </cell>
          <cell r="D60">
            <v>0</v>
          </cell>
        </row>
        <row r="61">
          <cell r="C61">
            <v>405.3</v>
          </cell>
          <cell r="D61">
            <v>0</v>
          </cell>
        </row>
        <row r="62">
          <cell r="C62">
            <v>676.2</v>
          </cell>
          <cell r="D62">
            <v>0</v>
          </cell>
        </row>
        <row r="63">
          <cell r="C63">
            <v>775.3</v>
          </cell>
          <cell r="D63">
            <v>0</v>
          </cell>
        </row>
        <row r="64">
          <cell r="C64">
            <v>654.20000000000005</v>
          </cell>
          <cell r="D64">
            <v>0</v>
          </cell>
        </row>
        <row r="65">
          <cell r="C65">
            <v>572.79999999999995</v>
          </cell>
          <cell r="D65">
            <v>0</v>
          </cell>
        </row>
        <row r="66">
          <cell r="C66">
            <v>332.3</v>
          </cell>
          <cell r="D66">
            <v>0</v>
          </cell>
        </row>
        <row r="67">
          <cell r="C67">
            <v>134.1</v>
          </cell>
          <cell r="D67">
            <v>13</v>
          </cell>
        </row>
        <row r="68">
          <cell r="C68">
            <v>19</v>
          </cell>
          <cell r="D68">
            <v>52.2</v>
          </cell>
        </row>
        <row r="69">
          <cell r="C69">
            <v>0</v>
          </cell>
          <cell r="D69">
            <v>198.5</v>
          </cell>
        </row>
        <row r="70">
          <cell r="C70">
            <v>0</v>
          </cell>
          <cell r="D70">
            <v>122.2</v>
          </cell>
        </row>
        <row r="71">
          <cell r="C71">
            <v>48.2</v>
          </cell>
          <cell r="D71">
            <v>39.700000000000003</v>
          </cell>
        </row>
        <row r="72">
          <cell r="C72">
            <v>235.5</v>
          </cell>
          <cell r="D72">
            <v>2.4</v>
          </cell>
        </row>
        <row r="73">
          <cell r="C73">
            <v>342.1</v>
          </cell>
          <cell r="D73">
            <v>0</v>
          </cell>
        </row>
        <row r="74">
          <cell r="C74">
            <v>534</v>
          </cell>
          <cell r="D74">
            <v>0</v>
          </cell>
        </row>
        <row r="75">
          <cell r="C75">
            <v>611.1</v>
          </cell>
          <cell r="D75">
            <v>0</v>
          </cell>
        </row>
        <row r="76">
          <cell r="C76">
            <v>531.70000000000005</v>
          </cell>
          <cell r="D76">
            <v>0</v>
          </cell>
        </row>
        <row r="77">
          <cell r="C77">
            <v>349.40000000000009</v>
          </cell>
          <cell r="D77">
            <v>0.2</v>
          </cell>
        </row>
        <row r="78">
          <cell r="C78">
            <v>321.70000000000005</v>
          </cell>
          <cell r="D78">
            <v>0</v>
          </cell>
        </row>
        <row r="79">
          <cell r="C79">
            <v>80.7</v>
          </cell>
          <cell r="D79">
            <v>36.700000000000003</v>
          </cell>
        </row>
        <row r="80">
          <cell r="C80">
            <v>23.2</v>
          </cell>
          <cell r="D80">
            <v>101.60000000000001</v>
          </cell>
        </row>
        <row r="81">
          <cell r="C81">
            <v>0</v>
          </cell>
          <cell r="D81">
            <v>195.39999999999998</v>
          </cell>
        </row>
        <row r="82">
          <cell r="C82">
            <v>2</v>
          </cell>
          <cell r="D82">
            <v>112.10000000000001</v>
          </cell>
        </row>
        <row r="83">
          <cell r="C83">
            <v>85</v>
          </cell>
          <cell r="D83">
            <v>35.6</v>
          </cell>
        </row>
        <row r="84">
          <cell r="C84">
            <v>242.50000000000003</v>
          </cell>
          <cell r="D84">
            <v>1.1000000000000001</v>
          </cell>
        </row>
        <row r="85">
          <cell r="C85">
            <v>433.99999999999994</v>
          </cell>
          <cell r="D85">
            <v>0</v>
          </cell>
        </row>
        <row r="86">
          <cell r="C86">
            <v>533.50000000000011</v>
          </cell>
          <cell r="D86">
            <v>0</v>
          </cell>
        </row>
        <row r="87">
          <cell r="C87">
            <v>624.40000000000009</v>
          </cell>
          <cell r="D87">
            <v>0</v>
          </cell>
        </row>
        <row r="88">
          <cell r="C88">
            <v>631.49999999999989</v>
          </cell>
          <cell r="D88">
            <v>0</v>
          </cell>
        </row>
        <row r="89">
          <cell r="C89">
            <v>554.79999999999995</v>
          </cell>
          <cell r="D89">
            <v>0</v>
          </cell>
        </row>
        <row r="90">
          <cell r="C90">
            <v>358.6</v>
          </cell>
          <cell r="D90">
            <v>0</v>
          </cell>
        </row>
        <row r="91">
          <cell r="C91">
            <v>109.10000000000001</v>
          </cell>
          <cell r="D91">
            <v>23.1</v>
          </cell>
        </row>
        <row r="92">
          <cell r="C92">
            <v>32.999999999999993</v>
          </cell>
          <cell r="D92">
            <v>59.6</v>
          </cell>
        </row>
        <row r="93">
          <cell r="C93">
            <v>1.2999999999999998</v>
          </cell>
          <cell r="D93">
            <v>120.80000000000003</v>
          </cell>
        </row>
        <row r="94">
          <cell r="C94">
            <v>4.4000000000000004</v>
          </cell>
          <cell r="D94">
            <v>93.799999999999983</v>
          </cell>
        </row>
        <row r="95">
          <cell r="C95">
            <v>82.999999999999986</v>
          </cell>
          <cell r="D95">
            <v>28.099999999999998</v>
          </cell>
        </row>
        <row r="96">
          <cell r="C96">
            <v>208.5</v>
          </cell>
          <cell r="D96">
            <v>0.4</v>
          </cell>
        </row>
        <row r="97">
          <cell r="C97">
            <v>478.20000000000005</v>
          </cell>
          <cell r="D97">
            <v>0</v>
          </cell>
        </row>
        <row r="98">
          <cell r="C98">
            <v>687.9</v>
          </cell>
          <cell r="D98">
            <v>0</v>
          </cell>
        </row>
        <row r="99">
          <cell r="C99">
            <v>825.90000000000009</v>
          </cell>
          <cell r="D99">
            <v>0</v>
          </cell>
        </row>
        <row r="100">
          <cell r="C100">
            <v>737.09999999999991</v>
          </cell>
          <cell r="D100">
            <v>0</v>
          </cell>
        </row>
        <row r="101">
          <cell r="C101">
            <v>690.6</v>
          </cell>
          <cell r="D101">
            <v>0</v>
          </cell>
        </row>
        <row r="102">
          <cell r="C102">
            <v>356.90000000000003</v>
          </cell>
          <cell r="D102">
            <v>0</v>
          </cell>
        </row>
        <row r="103">
          <cell r="C103">
            <v>132.10000000000005</v>
          </cell>
          <cell r="D103">
            <v>11.9</v>
          </cell>
        </row>
        <row r="104">
          <cell r="C104">
            <v>14.1</v>
          </cell>
          <cell r="D104">
            <v>68.099999999999994</v>
          </cell>
        </row>
        <row r="105">
          <cell r="C105">
            <v>4</v>
          </cell>
          <cell r="D105">
            <v>71</v>
          </cell>
        </row>
        <row r="106">
          <cell r="C106">
            <v>8.7999999999999989</v>
          </cell>
          <cell r="D106">
            <v>81.799999999999983</v>
          </cell>
        </row>
        <row r="107">
          <cell r="C107">
            <v>69.700000000000017</v>
          </cell>
          <cell r="D107">
            <v>30.099999999999998</v>
          </cell>
        </row>
        <row r="108">
          <cell r="C108">
            <v>224.30000000000004</v>
          </cell>
          <cell r="D108">
            <v>1.3</v>
          </cell>
        </row>
        <row r="109">
          <cell r="C109">
            <v>482.1</v>
          </cell>
          <cell r="D109">
            <v>0</v>
          </cell>
        </row>
        <row r="110">
          <cell r="C110">
            <v>557.29999999999995</v>
          </cell>
          <cell r="D110">
            <v>0</v>
          </cell>
        </row>
        <row r="111">
          <cell r="C111">
            <v>792.39999999999975</v>
          </cell>
          <cell r="D111">
            <v>0</v>
          </cell>
        </row>
        <row r="112">
          <cell r="C112">
            <v>856.8</v>
          </cell>
          <cell r="D112">
            <v>0</v>
          </cell>
        </row>
        <row r="113">
          <cell r="C113">
            <v>615.49999999999989</v>
          </cell>
          <cell r="D113">
            <v>0</v>
          </cell>
        </row>
        <row r="114">
          <cell r="C114">
            <v>313.7</v>
          </cell>
          <cell r="D114">
            <v>0</v>
          </cell>
        </row>
        <row r="115">
          <cell r="C115">
            <v>89.3</v>
          </cell>
          <cell r="D115">
            <v>34.1</v>
          </cell>
        </row>
        <row r="116">
          <cell r="C116">
            <v>33.800000000000004</v>
          </cell>
          <cell r="D116">
            <v>32.299999999999997</v>
          </cell>
        </row>
        <row r="117">
          <cell r="C117">
            <v>4</v>
          </cell>
          <cell r="D117">
            <v>114.29999999999998</v>
          </cell>
        </row>
        <row r="118">
          <cell r="C118">
            <v>4.4000000000000004</v>
          </cell>
          <cell r="D118">
            <v>88.6</v>
          </cell>
        </row>
        <row r="119">
          <cell r="C119">
            <v>31.099999999999994</v>
          </cell>
          <cell r="D119">
            <v>81.900000000000006</v>
          </cell>
        </row>
        <row r="120">
          <cell r="C120">
            <v>249.8</v>
          </cell>
          <cell r="D120">
            <v>0</v>
          </cell>
        </row>
        <row r="121">
          <cell r="C121">
            <v>345</v>
          </cell>
          <cell r="D121">
            <v>0</v>
          </cell>
        </row>
        <row r="122">
          <cell r="C122">
            <v>429.70000000000005</v>
          </cell>
          <cell r="D12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ARCHITECTURE"/>
      <sheetName val="CDM Plan Summary"/>
      <sheetName val="OPA ADMIN ONLY"/>
      <sheetName val="Detailed CDM Plan Summary"/>
      <sheetName val="PROGRAM DESIGN &gt;&gt;"/>
      <sheetName val="Custom Measure Input"/>
      <sheetName val="Measure Selection &amp; CE Results"/>
      <sheetName val="Program Budget Input"/>
      <sheetName val="External Inputs"/>
      <sheetName val="RESULTS &gt;&gt;"/>
      <sheetName val="Program Portfolio CE Results"/>
      <sheetName val="Measure Savings Results"/>
      <sheetName val="Summary CE Results"/>
      <sheetName val="ADMIN INPUT &gt;&gt;"/>
      <sheetName val="ADMIN OPTIONS"/>
      <sheetName val="CE Parameters"/>
      <sheetName val="Rates Table"/>
      <sheetName val="Avoided Cost Table"/>
      <sheetName val="DEFINED INPUTS &gt;&gt;"/>
      <sheetName val="Custom Load Profile Input"/>
      <sheetName val="Formatted Load Profiles"/>
      <sheetName val="Formatted Measure List"/>
      <sheetName val="CALCULATION &gt;&gt;"/>
      <sheetName val="Levelized Rates Table"/>
      <sheetName val="Levelized Avoided Cost Table"/>
      <sheetName val="Measure CE Results"/>
      <sheetName val="VBA References"/>
      <sheetName val="Revision History"/>
    </sheetNames>
    <sheetDataSet>
      <sheetData sheetId="0" refreshError="1"/>
      <sheetData sheetId="1" refreshError="1"/>
      <sheetData sheetId="2" refreshError="1">
        <row r="19">
          <cell r="D19">
            <v>1701.8888382273094</v>
          </cell>
        </row>
        <row r="20">
          <cell r="D20">
            <v>3143.7144894793105</v>
          </cell>
        </row>
        <row r="21">
          <cell r="D21">
            <v>1139.9026568728054</v>
          </cell>
        </row>
        <row r="22">
          <cell r="D22">
            <v>2174.1288420581704</v>
          </cell>
        </row>
        <row r="23">
          <cell r="D23">
            <v>2321.0837814290971</v>
          </cell>
        </row>
        <row r="24">
          <cell r="D24">
            <v>2527.4056953737222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82"/>
  <sheetViews>
    <sheetView showGridLines="0" topLeftCell="B208" zoomScaleNormal="100" workbookViewId="0">
      <selection activeCell="M219" sqref="M219"/>
    </sheetView>
  </sheetViews>
  <sheetFormatPr defaultColWidth="12.6640625" defaultRowHeight="10.199999999999999" x14ac:dyDescent="0.25"/>
  <cols>
    <col min="1" max="1" width="1.109375" style="212" customWidth="1"/>
    <col min="2" max="3" width="12.6640625" style="213" customWidth="1"/>
    <col min="4" max="4" width="2.6640625" style="213" customWidth="1"/>
    <col min="5" max="5" width="11" style="212" customWidth="1"/>
    <col min="6" max="6" width="11.109375" style="212" customWidth="1"/>
    <col min="7" max="7" width="11" style="212" customWidth="1"/>
    <col min="8" max="8" width="11.109375" style="212" customWidth="1"/>
    <col min="9" max="12" width="10.6640625" style="212" customWidth="1"/>
    <col min="13" max="13" width="11" style="212" customWidth="1"/>
    <col min="14" max="14" width="10.5546875" style="212" customWidth="1"/>
    <col min="15" max="15" width="21.44140625" style="212" bestFit="1" customWidth="1"/>
    <col min="16" max="23" width="12.6640625" style="212"/>
    <col min="24" max="24" width="13.109375" style="212" bestFit="1" customWidth="1"/>
    <col min="25" max="16384" width="12.6640625" style="212"/>
  </cols>
  <sheetData>
    <row r="2" spans="1:11" ht="15" customHeight="1" x14ac:dyDescent="0.25">
      <c r="B2" s="210" t="s">
        <v>251</v>
      </c>
      <c r="C2" s="210"/>
      <c r="D2" s="210"/>
      <c r="E2" s="211"/>
      <c r="F2" s="211"/>
    </row>
    <row r="3" spans="1:11" s="301" customFormat="1" ht="20.399999999999999" x14ac:dyDescent="0.25">
      <c r="A3" s="384" t="s">
        <v>252</v>
      </c>
      <c r="B3" s="385"/>
      <c r="C3" s="385"/>
      <c r="D3" s="385"/>
      <c r="E3" s="386"/>
      <c r="F3" s="336" t="s">
        <v>21</v>
      </c>
      <c r="G3" s="336" t="s">
        <v>22</v>
      </c>
      <c r="H3"/>
    </row>
    <row r="4" spans="1:11" s="301" customFormat="1" ht="14.25" customHeight="1" x14ac:dyDescent="0.25">
      <c r="A4" s="387" t="str">
        <f>E69</f>
        <v>Residential</v>
      </c>
      <c r="B4" s="387"/>
      <c r="C4" s="387"/>
      <c r="D4" s="387"/>
      <c r="E4" s="387"/>
      <c r="F4" s="302">
        <f>[4]Residential!L6</f>
        <v>0.77653338145393225</v>
      </c>
      <c r="G4" s="303">
        <f>[4]Residential!L7</f>
        <v>0.77075407235360294</v>
      </c>
      <c r="H4"/>
    </row>
    <row r="5" spans="1:11" s="301" customFormat="1" ht="13.8" x14ac:dyDescent="0.25">
      <c r="A5" s="387" t="str">
        <f>F31</f>
        <v>General Service &lt; 50 kW</v>
      </c>
      <c r="B5" s="387"/>
      <c r="C5" s="387"/>
      <c r="D5" s="387"/>
      <c r="E5" s="387"/>
      <c r="F5" s="302">
        <f>'[4]GS &lt; 50 kW'!L6</f>
        <v>0.72154306847647276</v>
      </c>
      <c r="G5" s="303">
        <f>'[4]GS &lt; 50 kW'!L7</f>
        <v>0.714341596109485</v>
      </c>
      <c r="H5"/>
    </row>
    <row r="6" spans="1:11" s="301" customFormat="1" ht="14.25" customHeight="1" x14ac:dyDescent="0.25">
      <c r="A6" s="387" t="str">
        <f>G69</f>
        <v>General Service 50 to 4,999 kW</v>
      </c>
      <c r="B6" s="387"/>
      <c r="C6" s="387"/>
      <c r="D6" s="387"/>
      <c r="E6" s="387"/>
      <c r="F6" s="302">
        <f>'[4]GS &gt; 50 kW'!L6</f>
        <v>2.9628671787656102E-2</v>
      </c>
      <c r="G6" s="303">
        <f>'[4]GS &gt; 50 kW'!L7</f>
        <v>4.5328615752678993E-3</v>
      </c>
      <c r="H6"/>
    </row>
    <row r="7" spans="1:11" ht="15" customHeight="1" x14ac:dyDescent="0.25">
      <c r="A7" s="387" t="s">
        <v>253</v>
      </c>
      <c r="B7" s="387"/>
      <c r="C7" s="387"/>
      <c r="D7" s="387"/>
      <c r="E7" s="387"/>
      <c r="F7" s="302">
        <f>'[4]Purchased Power Model '!L6</f>
        <v>0.94276401329347359</v>
      </c>
      <c r="G7" s="303">
        <f>'[4]Purchased Power Model '!L7</f>
        <v>0.94025366299932778</v>
      </c>
      <c r="H7"/>
    </row>
    <row r="8" spans="1:11" ht="15" customHeight="1" x14ac:dyDescent="0.25"/>
    <row r="9" spans="1:11" x14ac:dyDescent="0.25">
      <c r="B9" s="210" t="s">
        <v>189</v>
      </c>
      <c r="C9" s="210"/>
      <c r="D9" s="210"/>
      <c r="E9" s="211"/>
      <c r="F9" s="211"/>
      <c r="G9" s="211"/>
      <c r="H9" s="211"/>
      <c r="I9" s="211"/>
      <c r="J9" s="211"/>
    </row>
    <row r="10" spans="1:11" ht="5.25" customHeight="1" x14ac:dyDescent="0.25"/>
    <row r="11" spans="1:11" ht="30.6" x14ac:dyDescent="0.25">
      <c r="B11" s="337" t="s">
        <v>190</v>
      </c>
      <c r="C11" s="338"/>
      <c r="D11" s="338"/>
      <c r="E11" s="336" t="s">
        <v>191</v>
      </c>
      <c r="F11" s="336" t="s">
        <v>192</v>
      </c>
      <c r="G11" s="336" t="s">
        <v>193</v>
      </c>
      <c r="H11" s="336" t="s">
        <v>194</v>
      </c>
      <c r="I11" s="336" t="s">
        <v>195</v>
      </c>
      <c r="J11" s="336" t="s">
        <v>196</v>
      </c>
      <c r="K11"/>
    </row>
    <row r="12" spans="1:11" ht="15" customHeight="1" x14ac:dyDescent="0.25">
      <c r="B12" s="214" t="s">
        <v>197</v>
      </c>
      <c r="C12" s="215"/>
      <c r="D12" s="215"/>
      <c r="E12" s="215"/>
      <c r="F12" s="215"/>
      <c r="G12" s="215"/>
      <c r="H12" s="215"/>
      <c r="I12" s="215"/>
      <c r="J12" s="216"/>
    </row>
    <row r="13" spans="1:11" ht="15" customHeight="1" x14ac:dyDescent="0.25">
      <c r="B13" s="226"/>
      <c r="C13" s="227"/>
      <c r="D13" s="227"/>
      <c r="E13" s="217"/>
      <c r="F13" s="218"/>
      <c r="G13" s="219"/>
      <c r="H13" s="220"/>
      <c r="I13" s="218"/>
      <c r="J13" s="219"/>
    </row>
    <row r="14" spans="1:11" ht="15" customHeight="1" x14ac:dyDescent="0.25">
      <c r="B14" s="226" t="s">
        <v>254</v>
      </c>
      <c r="C14" s="227"/>
      <c r="D14" s="227"/>
      <c r="E14" s="221">
        <f>K34</f>
        <v>233.35565499999998</v>
      </c>
      <c r="F14" s="222"/>
      <c r="G14" s="223"/>
      <c r="H14" s="220">
        <f>K53</f>
        <v>18369</v>
      </c>
      <c r="I14" s="224"/>
      <c r="J14" s="223"/>
    </row>
    <row r="15" spans="1:11" ht="15" customHeight="1" x14ac:dyDescent="0.25">
      <c r="B15" s="226"/>
      <c r="C15" s="227"/>
      <c r="D15" s="227"/>
      <c r="E15" s="221"/>
      <c r="F15" s="222"/>
      <c r="G15" s="223"/>
      <c r="H15" s="220"/>
      <c r="I15" s="218"/>
      <c r="J15" s="223"/>
    </row>
    <row r="16" spans="1:11" ht="15" customHeight="1" x14ac:dyDescent="0.25">
      <c r="B16" s="226" t="s">
        <v>49</v>
      </c>
      <c r="C16" s="227"/>
      <c r="D16" s="227"/>
      <c r="E16" s="221">
        <f>[4]Summary!B10/1000000</f>
        <v>219.3814711</v>
      </c>
      <c r="G16" s="223"/>
      <c r="H16" s="224">
        <f>[4]Summary!B46</f>
        <v>16394</v>
      </c>
      <c r="I16" s="224"/>
      <c r="J16" s="223"/>
    </row>
    <row r="17" spans="2:18" ht="15" customHeight="1" x14ac:dyDescent="0.25">
      <c r="B17" s="226" t="s">
        <v>50</v>
      </c>
      <c r="C17" s="227"/>
      <c r="D17" s="227"/>
      <c r="E17" s="221">
        <f>[4]Summary!C10/1000000</f>
        <v>219.7527474</v>
      </c>
      <c r="F17" s="225">
        <f t="shared" ref="F17:F27" si="0">E17-E16</f>
        <v>0.37127630000000522</v>
      </c>
      <c r="G17" s="223">
        <f t="shared" ref="G17:G27" si="1">F17/E16</f>
        <v>1.6923776567747031E-3</v>
      </c>
      <c r="H17" s="224">
        <f>[4]Summary!C46</f>
        <v>16645</v>
      </c>
      <c r="I17" s="224">
        <f t="shared" ref="I17:I27" si="2">H17-H16</f>
        <v>251</v>
      </c>
      <c r="J17" s="223">
        <f t="shared" ref="J17:J27" si="3">I17/H16</f>
        <v>1.5310479443698915E-2</v>
      </c>
    </row>
    <row r="18" spans="2:18" ht="15" customHeight="1" x14ac:dyDescent="0.25">
      <c r="B18" s="380" t="s">
        <v>198</v>
      </c>
      <c r="C18" s="381"/>
      <c r="D18" s="382"/>
      <c r="E18" s="221">
        <f>[4]Summary!D10/1000000</f>
        <v>226.83618595000002</v>
      </c>
      <c r="F18" s="225">
        <f t="shared" si="0"/>
        <v>7.083438550000011</v>
      </c>
      <c r="G18" s="223">
        <f t="shared" si="1"/>
        <v>3.2233674590227267E-2</v>
      </c>
      <c r="H18" s="224">
        <f>[4]Summary!D46</f>
        <v>17044</v>
      </c>
      <c r="I18" s="224">
        <f t="shared" si="2"/>
        <v>399</v>
      </c>
      <c r="J18" s="223">
        <f t="shared" si="3"/>
        <v>2.3971162511264642E-2</v>
      </c>
      <c r="M18"/>
      <c r="N18"/>
    </row>
    <row r="19" spans="2:18" ht="15" customHeight="1" x14ac:dyDescent="0.25">
      <c r="B19" s="380" t="s">
        <v>64</v>
      </c>
      <c r="C19" s="381"/>
      <c r="D19" s="382"/>
      <c r="E19" s="221">
        <f>[4]Summary!E10/1000000</f>
        <v>229.13505551200001</v>
      </c>
      <c r="F19" s="225">
        <f t="shared" si="0"/>
        <v>2.298869561999993</v>
      </c>
      <c r="G19" s="223">
        <f t="shared" si="1"/>
        <v>1.0134492221213407E-2</v>
      </c>
      <c r="H19" s="224">
        <f>[4]Summary!E46</f>
        <v>17361</v>
      </c>
      <c r="I19" s="224">
        <f t="shared" si="2"/>
        <v>317</v>
      </c>
      <c r="J19" s="223">
        <f t="shared" si="3"/>
        <v>1.8598920441210982E-2</v>
      </c>
      <c r="M19"/>
      <c r="N19"/>
    </row>
    <row r="20" spans="2:18" ht="15" customHeight="1" x14ac:dyDescent="0.25">
      <c r="B20" s="380" t="s">
        <v>70</v>
      </c>
      <c r="C20" s="381"/>
      <c r="D20" s="382"/>
      <c r="E20" s="221">
        <f>[4]Summary!F10/1000000</f>
        <v>231.85024890999998</v>
      </c>
      <c r="F20" s="225">
        <f t="shared" si="0"/>
        <v>2.7151933979999683</v>
      </c>
      <c r="G20" s="223">
        <f t="shared" si="1"/>
        <v>1.1849751195568463E-2</v>
      </c>
      <c r="H20" s="224">
        <f>[4]Summary!F46</f>
        <v>17552</v>
      </c>
      <c r="I20" s="224">
        <f t="shared" si="2"/>
        <v>191</v>
      </c>
      <c r="J20" s="223">
        <f t="shared" si="3"/>
        <v>1.1001670410690629E-2</v>
      </c>
      <c r="M20"/>
      <c r="N20"/>
    </row>
    <row r="21" spans="2:18" ht="15" customHeight="1" x14ac:dyDescent="0.25">
      <c r="B21" s="380" t="s">
        <v>71</v>
      </c>
      <c r="C21" s="381"/>
      <c r="D21" s="382"/>
      <c r="E21" s="221">
        <f>[4]Summary!G10/1000000</f>
        <v>233.57712906799995</v>
      </c>
      <c r="F21" s="225">
        <f t="shared" si="0"/>
        <v>1.7268801579999717</v>
      </c>
      <c r="G21" s="223">
        <f t="shared" si="1"/>
        <v>7.4482566489299526E-3</v>
      </c>
      <c r="H21" s="224">
        <f>[4]Summary!G46</f>
        <v>17776</v>
      </c>
      <c r="I21" s="224">
        <f t="shared" si="2"/>
        <v>224</v>
      </c>
      <c r="J21" s="223">
        <f t="shared" si="3"/>
        <v>1.276207839562443E-2</v>
      </c>
      <c r="M21"/>
      <c r="N21"/>
    </row>
    <row r="22" spans="2:18" ht="15" customHeight="1" x14ac:dyDescent="0.25">
      <c r="B22" s="380" t="s">
        <v>199</v>
      </c>
      <c r="C22" s="381"/>
      <c r="D22" s="382"/>
      <c r="E22" s="221">
        <f>[4]Summary!H10/1000000</f>
        <v>229.78572125834413</v>
      </c>
      <c r="F22" s="225">
        <f t="shared" si="0"/>
        <v>-3.7914078096558228</v>
      </c>
      <c r="G22" s="223">
        <f t="shared" si="1"/>
        <v>-1.6231930860628279E-2</v>
      </c>
      <c r="H22" s="224">
        <f>[4]Summary!H46</f>
        <v>17903.333333333332</v>
      </c>
      <c r="I22" s="224">
        <f t="shared" si="2"/>
        <v>127.33333333333212</v>
      </c>
      <c r="J22" s="223">
        <f t="shared" si="3"/>
        <v>7.1632163216320951E-3</v>
      </c>
      <c r="M22"/>
      <c r="N22"/>
    </row>
    <row r="23" spans="2:18" ht="15" customHeight="1" x14ac:dyDescent="0.25">
      <c r="B23" s="380" t="s">
        <v>200</v>
      </c>
      <c r="C23" s="381"/>
      <c r="D23" s="382"/>
      <c r="E23" s="221">
        <f>[4]Summary!I10/1000000</f>
        <v>232.51830985753287</v>
      </c>
      <c r="F23" s="225">
        <f t="shared" si="0"/>
        <v>2.7325885991887446</v>
      </c>
      <c r="G23" s="223">
        <f t="shared" si="1"/>
        <v>1.189189904500873E-2</v>
      </c>
      <c r="H23" s="224">
        <f>[4]Summary!I46</f>
        <v>18286.166666666664</v>
      </c>
      <c r="I23" s="224">
        <f t="shared" si="2"/>
        <v>382.83333333333212</v>
      </c>
      <c r="J23" s="223">
        <f t="shared" si="3"/>
        <v>2.138335505492453E-2</v>
      </c>
      <c r="K23"/>
      <c r="L23"/>
      <c r="M23"/>
      <c r="N23"/>
    </row>
    <row r="24" spans="2:18" ht="15" customHeight="1" x14ac:dyDescent="0.25">
      <c r="B24" s="380" t="s">
        <v>201</v>
      </c>
      <c r="C24" s="381"/>
      <c r="D24" s="382"/>
      <c r="E24" s="221">
        <f>[4]Summary!J10/1000000</f>
        <v>237.85838656148806</v>
      </c>
      <c r="F24" s="225">
        <f t="shared" si="0"/>
        <v>5.3400767039551909</v>
      </c>
      <c r="G24" s="223">
        <f t="shared" si="1"/>
        <v>2.2966263204076826E-2</v>
      </c>
      <c r="H24" s="224">
        <f>[4]Summary!J46</f>
        <v>18735.916666666664</v>
      </c>
      <c r="I24" s="224">
        <f t="shared" si="2"/>
        <v>449.75</v>
      </c>
      <c r="J24" s="223">
        <f t="shared" si="3"/>
        <v>2.4595094652606255E-2</v>
      </c>
      <c r="K24"/>
      <c r="L24"/>
      <c r="M24"/>
      <c r="N24"/>
    </row>
    <row r="25" spans="2:18" ht="15" customHeight="1" x14ac:dyDescent="0.25">
      <c r="B25" s="380" t="s">
        <v>255</v>
      </c>
      <c r="C25" s="381"/>
      <c r="D25" s="382"/>
      <c r="E25" s="221">
        <f>[4]Summary!K10/1000000</f>
        <v>242.16506605775237</v>
      </c>
      <c r="F25" s="225">
        <f t="shared" si="0"/>
        <v>4.3066794962643087</v>
      </c>
      <c r="G25" s="223">
        <f t="shared" si="1"/>
        <v>1.8106065371594548E-2</v>
      </c>
      <c r="H25" s="224">
        <f>[4]Summary!K46</f>
        <v>19073.083333333336</v>
      </c>
      <c r="I25" s="224">
        <f t="shared" si="2"/>
        <v>337.16666666667152</v>
      </c>
      <c r="J25" s="223">
        <f t="shared" si="3"/>
        <v>1.799573902175438E-2</v>
      </c>
      <c r="O25"/>
      <c r="P25"/>
      <c r="Q25"/>
      <c r="R25"/>
    </row>
    <row r="26" spans="2:18" ht="13.2" x14ac:dyDescent="0.25">
      <c r="B26" s="380" t="s">
        <v>256</v>
      </c>
      <c r="C26" s="381"/>
      <c r="D26" s="382"/>
      <c r="E26" s="221">
        <f>[4]Summary!L10/1000000</f>
        <v>238.94085831243581</v>
      </c>
      <c r="F26" s="225">
        <f t="shared" si="0"/>
        <v>-3.2242077453165621</v>
      </c>
      <c r="G26" s="223">
        <f t="shared" si="1"/>
        <v>-1.3314091077643881E-2</v>
      </c>
      <c r="H26" s="224">
        <f>[4]Summary!L46</f>
        <v>19717.5</v>
      </c>
      <c r="I26" s="224">
        <f t="shared" si="2"/>
        <v>644.41666666666424</v>
      </c>
      <c r="J26" s="223">
        <f t="shared" si="3"/>
        <v>3.3786706396885531E-2</v>
      </c>
      <c r="K26"/>
      <c r="M26"/>
      <c r="N26"/>
    </row>
    <row r="27" spans="2:18" ht="13.2" x14ac:dyDescent="0.25">
      <c r="B27" s="380" t="s">
        <v>257</v>
      </c>
      <c r="C27" s="381"/>
      <c r="D27" s="382"/>
      <c r="E27" s="221">
        <f>[4]Summary!M10/1000000</f>
        <v>239.58766733067668</v>
      </c>
      <c r="F27" s="225">
        <f t="shared" si="0"/>
        <v>0.646809018240873</v>
      </c>
      <c r="G27" s="223">
        <f t="shared" si="1"/>
        <v>2.7069837398638382E-3</v>
      </c>
      <c r="H27" s="224">
        <f>[4]Summary!M46</f>
        <v>20318.5</v>
      </c>
      <c r="I27" s="224">
        <f t="shared" si="2"/>
        <v>601</v>
      </c>
      <c r="J27" s="223">
        <f t="shared" si="3"/>
        <v>3.0480537593508304E-2</v>
      </c>
      <c r="M27"/>
      <c r="N27"/>
    </row>
    <row r="28" spans="2:18" ht="13.2" x14ac:dyDescent="0.25">
      <c r="B28" s="229"/>
      <c r="C28" s="229"/>
      <c r="D28" s="229"/>
      <c r="E28" s="304"/>
      <c r="F28" s="305"/>
      <c r="G28" s="306"/>
      <c r="H28" s="270"/>
      <c r="I28" s="305"/>
      <c r="J28" s="306"/>
      <c r="M28"/>
      <c r="N28"/>
    </row>
    <row r="29" spans="2:18" ht="15" customHeight="1" x14ac:dyDescent="0.25">
      <c r="B29" s="229"/>
      <c r="C29" s="229"/>
      <c r="D29" s="229"/>
      <c r="E29" s="230"/>
      <c r="F29" s="230"/>
      <c r="G29" s="230"/>
      <c r="H29" s="230"/>
      <c r="I29" s="230"/>
      <c r="J29" s="230"/>
      <c r="M29"/>
      <c r="N29"/>
    </row>
    <row r="30" spans="2:18" ht="15" customHeight="1" x14ac:dyDescent="0.25">
      <c r="B30" s="210" t="s">
        <v>258</v>
      </c>
      <c r="C30" s="210"/>
      <c r="D30" s="210"/>
      <c r="E30" s="211"/>
      <c r="F30" s="211"/>
      <c r="G30" s="211"/>
      <c r="H30" s="211"/>
      <c r="I30" s="211"/>
      <c r="J30" s="211"/>
      <c r="K30" s="211"/>
      <c r="M30"/>
      <c r="N30"/>
    </row>
    <row r="31" spans="2:18" ht="30.6" x14ac:dyDescent="0.25">
      <c r="B31" s="337" t="s">
        <v>190</v>
      </c>
      <c r="C31" s="338"/>
      <c r="D31" s="338"/>
      <c r="E31" s="339" t="s">
        <v>58</v>
      </c>
      <c r="F31" s="339" t="s">
        <v>94</v>
      </c>
      <c r="G31" s="339" t="s">
        <v>202</v>
      </c>
      <c r="H31" s="339" t="s">
        <v>259</v>
      </c>
      <c r="I31" s="339" t="s">
        <v>96</v>
      </c>
      <c r="J31" s="339" t="s">
        <v>98</v>
      </c>
      <c r="K31" s="339" t="s">
        <v>9</v>
      </c>
    </row>
    <row r="32" spans="2:18" ht="15" customHeight="1" x14ac:dyDescent="0.25">
      <c r="B32" s="231" t="s">
        <v>203</v>
      </c>
      <c r="C32" s="232"/>
      <c r="D32" s="232"/>
      <c r="E32" s="232"/>
      <c r="F32" s="232"/>
      <c r="G32" s="232"/>
      <c r="I32" s="232"/>
      <c r="J32" s="232"/>
      <c r="K32" s="233"/>
    </row>
    <row r="33" spans="2:26" ht="15" customHeight="1" x14ac:dyDescent="0.25">
      <c r="B33" s="226"/>
      <c r="C33" s="227"/>
      <c r="D33" s="227"/>
      <c r="E33" s="217"/>
      <c r="F33" s="234"/>
      <c r="G33" s="234"/>
      <c r="H33" s="234"/>
      <c r="I33" s="234"/>
      <c r="J33" s="234"/>
      <c r="K33" s="234"/>
    </row>
    <row r="34" spans="2:26" ht="15" customHeight="1" x14ac:dyDescent="0.25">
      <c r="B34" s="226" t="str">
        <f>B14</f>
        <v>2013 Board Approved</v>
      </c>
      <c r="C34" s="227"/>
      <c r="D34" s="227"/>
      <c r="E34" s="217">
        <f>148.148873</f>
        <v>148.14887300000001</v>
      </c>
      <c r="F34" s="217">
        <f>31.781016</f>
        <v>31.781016000000001</v>
      </c>
      <c r="G34" s="217">
        <v>51.329340999999999</v>
      </c>
      <c r="H34" s="217">
        <v>0.10494199999999999</v>
      </c>
      <c r="I34" s="217">
        <v>1.516831</v>
      </c>
      <c r="J34" s="217">
        <v>0.47465200000000002</v>
      </c>
      <c r="K34" s="235">
        <f>SUM(E34:J34)</f>
        <v>233.35565499999998</v>
      </c>
      <c r="L34" s="298"/>
      <c r="M34" s="307"/>
      <c r="N34" s="307"/>
    </row>
    <row r="35" spans="2:26" ht="15" customHeight="1" x14ac:dyDescent="0.25">
      <c r="B35" s="226"/>
      <c r="C35" s="227"/>
      <c r="D35" s="227"/>
      <c r="E35" s="217"/>
      <c r="F35" s="217"/>
      <c r="G35" s="217"/>
      <c r="H35" s="217"/>
      <c r="I35" s="217"/>
      <c r="J35" s="217"/>
      <c r="K35" s="235"/>
      <c r="L35" s="298"/>
    </row>
    <row r="36" spans="2:26" ht="15" customHeight="1" x14ac:dyDescent="0.25">
      <c r="B36" s="226" t="str">
        <f t="shared" ref="B36:B47" si="4">B16</f>
        <v xml:space="preserve">2006 Actual </v>
      </c>
      <c r="C36" s="227"/>
      <c r="D36" s="227"/>
      <c r="E36" s="217">
        <f>[4]Summary!B15/1000000</f>
        <v>150.23309231592037</v>
      </c>
      <c r="F36" s="217">
        <f>[4]Summary!B19/1000000</f>
        <v>27.443720573351509</v>
      </c>
      <c r="G36" s="217">
        <f>[4]Summary!B23/1000000</f>
        <v>39.830914999999997</v>
      </c>
      <c r="H36" s="217">
        <f>[4]Summary!B28/1000000</f>
        <v>0.13186899999999999</v>
      </c>
      <c r="I36" s="217">
        <f>[4]Summary!B33/1000000</f>
        <v>1.4455180000000001</v>
      </c>
      <c r="J36" s="217">
        <f>[4]Summary!B38/1000000</f>
        <v>0.29635621072812018</v>
      </c>
      <c r="K36" s="235">
        <f>SUM(E36:J36)</f>
        <v>219.38147109999997</v>
      </c>
      <c r="L36" s="298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2:26" ht="15" customHeight="1" x14ac:dyDescent="0.25">
      <c r="B37" s="226" t="str">
        <f t="shared" si="4"/>
        <v xml:space="preserve">2007 Actual </v>
      </c>
      <c r="C37" s="227"/>
      <c r="D37" s="227"/>
      <c r="E37" s="217">
        <f>[4]Summary!C15/1000000</f>
        <v>149.61620024355028</v>
      </c>
      <c r="F37" s="217">
        <f>[4]Summary!C19/1000000</f>
        <v>28.670212627351866</v>
      </c>
      <c r="G37" s="217">
        <f>[4]Summary!C23/1000000</f>
        <v>39.320569999999996</v>
      </c>
      <c r="H37" s="217">
        <f>[4]Summary!C28/1000000</f>
        <v>0.12637100000000001</v>
      </c>
      <c r="I37" s="217">
        <f>[4]Summary!C33/1000000</f>
        <v>1.4959469999999999</v>
      </c>
      <c r="J37" s="217">
        <f>[4]Summary!C38/1000000</f>
        <v>0.52344652909785028</v>
      </c>
      <c r="K37" s="235">
        <f t="shared" ref="K37:K47" si="5">SUM(E37:J37)</f>
        <v>219.7527474</v>
      </c>
      <c r="L37" s="298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2:26" ht="15" customHeight="1" x14ac:dyDescent="0.25">
      <c r="B38" s="226" t="str">
        <f t="shared" si="4"/>
        <v xml:space="preserve">2008 Actual </v>
      </c>
      <c r="C38" s="227"/>
      <c r="D38" s="227"/>
      <c r="E38" s="217">
        <f>[4]Summary!D15/1000000</f>
        <v>150.80796791560954</v>
      </c>
      <c r="F38" s="217">
        <f>[4]Summary!D19/1000000</f>
        <v>28.589050645392657</v>
      </c>
      <c r="G38" s="217">
        <f>[4]Summary!D23/1000000</f>
        <v>45.269405570000004</v>
      </c>
      <c r="H38" s="217">
        <f>[4]Summary!D28/1000000</f>
        <v>0.12421161999999999</v>
      </c>
      <c r="I38" s="217">
        <f>[4]Summary!D33/1000000</f>
        <v>1.5338988</v>
      </c>
      <c r="J38" s="217">
        <f>[4]Summary!D38/1000000</f>
        <v>0.51165139899779599</v>
      </c>
      <c r="K38" s="235">
        <f t="shared" si="5"/>
        <v>226.83618595000002</v>
      </c>
      <c r="L38" s="298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2:26" ht="15" customHeight="1" x14ac:dyDescent="0.25">
      <c r="B39" s="226" t="str">
        <f t="shared" si="4"/>
        <v xml:space="preserve">2009 Actual </v>
      </c>
      <c r="C39" s="227"/>
      <c r="D39" s="227"/>
      <c r="E39" s="217">
        <f>[4]Summary!E15/1000000</f>
        <v>151.17372968216281</v>
      </c>
      <c r="F39" s="217">
        <f>[4]Summary!E19/1000000</f>
        <v>28.292210727234789</v>
      </c>
      <c r="G39" s="217">
        <f>[4]Summary!E23/1000000</f>
        <v>47.473258209999997</v>
      </c>
      <c r="H39" s="217">
        <f>[4]Summary!E28/1000000</f>
        <v>0.12202110000000001</v>
      </c>
      <c r="I39" s="217">
        <f>[4]Summary!E33/1000000</f>
        <v>1.5769116000000001</v>
      </c>
      <c r="J39" s="217">
        <f>[4]Summary!E38/1000000</f>
        <v>0.49692419260237825</v>
      </c>
      <c r="K39" s="235">
        <f t="shared" si="5"/>
        <v>229.13505551199995</v>
      </c>
      <c r="L39" s="298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2:26" ht="15" customHeight="1" x14ac:dyDescent="0.25">
      <c r="B40" s="226" t="str">
        <f t="shared" si="4"/>
        <v xml:space="preserve">2010 Actual </v>
      </c>
      <c r="C40" s="227"/>
      <c r="D40" s="227"/>
      <c r="E40" s="217">
        <f>[4]Summary!F15/1000000</f>
        <v>149.15646498376492</v>
      </c>
      <c r="F40" s="217">
        <f>[4]Summary!F19/1000000</f>
        <v>29.371262372997315</v>
      </c>
      <c r="G40" s="217">
        <f>[4]Summary!F23/1000000</f>
        <v>51.128771119999989</v>
      </c>
      <c r="H40" s="217">
        <f>[4]Summary!F28/1000000</f>
        <v>0.11670272</v>
      </c>
      <c r="I40" s="217">
        <f>[4]Summary!F33/1000000</f>
        <v>1.580058</v>
      </c>
      <c r="J40" s="217">
        <f>[4]Summary!F38/1000000</f>
        <v>0.49698971323771562</v>
      </c>
      <c r="K40" s="235">
        <f t="shared" si="5"/>
        <v>231.85024890999995</v>
      </c>
      <c r="L40" s="298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2:26" ht="15" customHeight="1" x14ac:dyDescent="0.25">
      <c r="B41" s="226" t="str">
        <f t="shared" si="4"/>
        <v xml:space="preserve">2011 Actual </v>
      </c>
      <c r="C41" s="227"/>
      <c r="D41" s="227"/>
      <c r="E41" s="217">
        <f>[4]Summary!G15/1000000</f>
        <v>150.87341288607672</v>
      </c>
      <c r="F41" s="217">
        <f>[4]Summary!G19/1000000</f>
        <v>30.721964274347446</v>
      </c>
      <c r="G41" s="217">
        <f>[4]Summary!G23/1000000</f>
        <v>49.921685450000005</v>
      </c>
      <c r="H41" s="217">
        <f>[4]Summary!G28/1000000</f>
        <v>0.11024082</v>
      </c>
      <c r="I41" s="217">
        <f>[4]Summary!G33/1000000</f>
        <v>1.4573694099999999</v>
      </c>
      <c r="J41" s="217">
        <f>[4]Summary!G38/1000000</f>
        <v>0.49245622757582991</v>
      </c>
      <c r="K41" s="235">
        <f t="shared" si="5"/>
        <v>233.57712906800003</v>
      </c>
      <c r="L41" s="298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2:26" ht="13.2" x14ac:dyDescent="0.25">
      <c r="B42" s="226" t="str">
        <f t="shared" si="4"/>
        <v xml:space="preserve">2012 Actual </v>
      </c>
      <c r="C42" s="227"/>
      <c r="D42" s="227"/>
      <c r="E42" s="217">
        <f>[4]Summary!H15/1000000</f>
        <v>145.6108716009787</v>
      </c>
      <c r="F42" s="217">
        <f>[4]Summary!H19/1000000</f>
        <v>30.872636305821747</v>
      </c>
      <c r="G42" s="217">
        <f>[4]Summary!H23/1000000</f>
        <v>51.138109999999998</v>
      </c>
      <c r="H42" s="217">
        <f>[4]Summary!H28/1000000</f>
        <v>0.11335985597714041</v>
      </c>
      <c r="I42" s="217">
        <f>[4]Summary!H33/1000000</f>
        <v>1.5697088405002926</v>
      </c>
      <c r="J42" s="217">
        <f>[4]Summary!H38/1000000</f>
        <v>0.48103465506622106</v>
      </c>
      <c r="K42" s="235">
        <f t="shared" si="5"/>
        <v>229.7857212583441</v>
      </c>
      <c r="L42" s="298"/>
      <c r="S42" s="51"/>
      <c r="T42" s="51"/>
      <c r="U42" s="51"/>
      <c r="V42" s="51"/>
      <c r="W42" s="51"/>
      <c r="X42" s="51"/>
      <c r="Y42" s="51"/>
      <c r="Z42" s="51"/>
    </row>
    <row r="43" spans="2:26" ht="13.2" x14ac:dyDescent="0.25">
      <c r="B43" s="226" t="str">
        <f t="shared" si="4"/>
        <v xml:space="preserve">2013 Actual </v>
      </c>
      <c r="C43" s="227"/>
      <c r="D43" s="227"/>
      <c r="E43" s="217">
        <f>[4]Summary!I15/1000000</f>
        <v>148.57081109520666</v>
      </c>
      <c r="F43" s="217">
        <f>[4]Summary!I19/1000000</f>
        <v>30.978542255071979</v>
      </c>
      <c r="G43" s="217">
        <f>[4]Summary!I23/1000000</f>
        <v>50.921722000000003</v>
      </c>
      <c r="H43" s="217">
        <f>[4]Summary!I28/1000000</f>
        <v>0.10184393410009757</v>
      </c>
      <c r="I43" s="217">
        <f>[4]Summary!I33/1000000</f>
        <v>1.4721342629375482</v>
      </c>
      <c r="J43" s="217">
        <f>[4]Summary!I38/1000000</f>
        <v>0.47325631021658465</v>
      </c>
      <c r="K43" s="235">
        <f t="shared" si="5"/>
        <v>232.51830985753284</v>
      </c>
      <c r="L43" s="298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ht="13.2" x14ac:dyDescent="0.25">
      <c r="B44" s="226" t="str">
        <f t="shared" si="4"/>
        <v xml:space="preserve">2014 Actual </v>
      </c>
      <c r="C44" s="227"/>
      <c r="D44" s="227"/>
      <c r="E44" s="217">
        <f>[4]Summary!J15/1000000</f>
        <v>152.92321190943466</v>
      </c>
      <c r="F44" s="217">
        <f>[4]Summary!J19/1000000</f>
        <v>32.143896404322213</v>
      </c>
      <c r="G44" s="217">
        <f>[4]Summary!J23/1000000</f>
        <v>50.592266850000001</v>
      </c>
      <c r="H44" s="217">
        <f>[4]Summary!J28/1000000</f>
        <v>0.10798000000000001</v>
      </c>
      <c r="I44" s="217">
        <f>[4]Summary!J33/1000000</f>
        <v>1.6255534323642933</v>
      </c>
      <c r="J44" s="217">
        <f>[4]Summary!J38/1000000</f>
        <v>0.46547796536694835</v>
      </c>
      <c r="K44" s="235">
        <f t="shared" si="5"/>
        <v>237.85838656148809</v>
      </c>
      <c r="L44" s="298"/>
      <c r="N44"/>
      <c r="O44"/>
      <c r="P44"/>
      <c r="Q44"/>
      <c r="R44" s="51"/>
      <c r="S44" s="51"/>
      <c r="T44" s="51"/>
      <c r="U44" s="51"/>
      <c r="V44" s="51"/>
      <c r="W44" s="51"/>
      <c r="X44" s="51"/>
      <c r="Y44" s="51"/>
      <c r="Z44" s="51"/>
    </row>
    <row r="45" spans="2:26" ht="13.2" x14ac:dyDescent="0.25">
      <c r="B45" s="380" t="str">
        <f t="shared" si="4"/>
        <v xml:space="preserve">2015 Actual </v>
      </c>
      <c r="C45" s="381"/>
      <c r="D45" s="382"/>
      <c r="E45" s="217">
        <f>[4]Summary!K15/1000000</f>
        <v>151.52691508366263</v>
      </c>
      <c r="F45" s="217">
        <f>[4]Summary!K19/1000000</f>
        <v>34.326840153572448</v>
      </c>
      <c r="G45" s="217">
        <f>[4]Summary!K23/1000000</f>
        <v>54.636276000000002</v>
      </c>
      <c r="H45" s="217">
        <f>[4]Summary!K28/1000000</f>
        <v>0.103536</v>
      </c>
      <c r="I45" s="217">
        <f>[4]Summary!K33/1000000</f>
        <v>1.106444</v>
      </c>
      <c r="J45" s="217">
        <f>[4]Summary!K38/1000000</f>
        <v>0.4650548205173119</v>
      </c>
      <c r="K45" s="235">
        <f t="shared" si="5"/>
        <v>242.1650660577524</v>
      </c>
      <c r="L45" s="298"/>
      <c r="N45"/>
      <c r="O45"/>
      <c r="P45"/>
      <c r="Q45"/>
      <c r="R45" s="51"/>
      <c r="S45" s="51"/>
      <c r="T45" s="51"/>
      <c r="U45" s="51"/>
      <c r="V45" s="51"/>
      <c r="W45" s="51"/>
      <c r="X45" s="51"/>
      <c r="Y45" s="51"/>
      <c r="Z45" s="51"/>
    </row>
    <row r="46" spans="2:26" ht="13.2" x14ac:dyDescent="0.25">
      <c r="B46" s="380" t="str">
        <f t="shared" si="4"/>
        <v>2016 Bridge - Normalized</v>
      </c>
      <c r="C46" s="381"/>
      <c r="D46" s="382"/>
      <c r="E46" s="217">
        <f>[4]Summary!L15/1000000</f>
        <v>149.67417361039654</v>
      </c>
      <c r="F46" s="217">
        <f>[4]Summary!L19/1000000</f>
        <v>33.122069126032144</v>
      </c>
      <c r="G46" s="217">
        <f>[4]Summary!L23/1000000</f>
        <v>54.889863250576418</v>
      </c>
      <c r="H46" s="217">
        <f>[4]Summary!L28/1000000</f>
        <v>0.10067316794547772</v>
      </c>
      <c r="I46" s="217">
        <f>[4]Summary!L33/1000000</f>
        <v>0.6574188992265505</v>
      </c>
      <c r="J46" s="217">
        <f>[4]Summary!L38/1000000</f>
        <v>0.49666025825870308</v>
      </c>
      <c r="K46" s="235">
        <f t="shared" si="5"/>
        <v>238.94085831243581</v>
      </c>
      <c r="L46" s="298"/>
      <c r="N46"/>
      <c r="O46"/>
      <c r="P46"/>
      <c r="Q46"/>
      <c r="R46" s="51"/>
      <c r="S46" s="51"/>
      <c r="T46" s="51"/>
      <c r="U46" s="51"/>
      <c r="V46" s="51"/>
      <c r="W46" s="51"/>
      <c r="X46" s="51"/>
      <c r="Y46" s="51"/>
      <c r="Z46" s="51"/>
    </row>
    <row r="47" spans="2:26" ht="13.2" x14ac:dyDescent="0.25">
      <c r="B47" s="380" t="str">
        <f t="shared" si="4"/>
        <v>2017 Test - Normalized</v>
      </c>
      <c r="C47" s="381"/>
      <c r="D47" s="382"/>
      <c r="E47" s="217">
        <f>[4]Summary!M15/1000000</f>
        <v>149.93210144827333</v>
      </c>
      <c r="F47" s="217">
        <f>[4]Summary!M19/1000000</f>
        <v>32.368432968739455</v>
      </c>
      <c r="G47" s="217">
        <f>[4]Summary!M23/1000000</f>
        <v>55.988819024951795</v>
      </c>
      <c r="H47" s="217">
        <f>[4]Summary!M28/1000000</f>
        <v>9.8319642763457643E-2</v>
      </c>
      <c r="I47" s="217">
        <f>[4]Summary!M33/1000000</f>
        <v>0.66962731734723968</v>
      </c>
      <c r="J47" s="217">
        <f>[4]Summary!M38/1000000</f>
        <v>0.530366928601401</v>
      </c>
      <c r="K47" s="235">
        <f t="shared" si="5"/>
        <v>239.58766733067671</v>
      </c>
      <c r="L47" s="298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2:26" ht="13.2" x14ac:dyDescent="0.25">
      <c r="B48" s="229"/>
      <c r="C48" s="229"/>
      <c r="D48" s="229"/>
      <c r="E48" s="308"/>
      <c r="F48" s="308"/>
      <c r="G48" s="308"/>
      <c r="H48" s="308"/>
      <c r="I48" s="308"/>
      <c r="J48" s="308"/>
      <c r="K48" s="304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1:26" ht="13.2" x14ac:dyDescent="0.25">
      <c r="B49" s="210" t="s">
        <v>260</v>
      </c>
      <c r="C49" s="229"/>
      <c r="D49" s="229"/>
      <c r="E49" s="308"/>
      <c r="F49" s="308"/>
      <c r="G49" s="308"/>
      <c r="H49" s="308"/>
      <c r="I49" s="308"/>
      <c r="J49" s="308"/>
      <c r="K49" s="304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1:26" ht="30.6" x14ac:dyDescent="0.25">
      <c r="A50" s="237"/>
      <c r="B50" s="337" t="s">
        <v>190</v>
      </c>
      <c r="C50" s="338"/>
      <c r="D50" s="338"/>
      <c r="E50" s="339" t="s">
        <v>58</v>
      </c>
      <c r="F50" s="339" t="s">
        <v>94</v>
      </c>
      <c r="G50" s="339" t="s">
        <v>202</v>
      </c>
      <c r="H50" s="339" t="s">
        <v>259</v>
      </c>
      <c r="I50" s="339" t="s">
        <v>96</v>
      </c>
      <c r="J50" s="339" t="s">
        <v>98</v>
      </c>
      <c r="K50" s="339" t="s">
        <v>9</v>
      </c>
      <c r="L50" s="237"/>
    </row>
    <row r="51" spans="1:26" ht="15" customHeight="1" x14ac:dyDescent="0.25">
      <c r="B51" s="375" t="s">
        <v>204</v>
      </c>
      <c r="C51" s="375"/>
      <c r="D51" s="375"/>
      <c r="E51" s="375"/>
      <c r="F51" s="375"/>
      <c r="G51" s="375"/>
      <c r="H51" s="375"/>
      <c r="I51" s="375"/>
      <c r="J51" s="375"/>
      <c r="K51" s="375"/>
    </row>
    <row r="52" spans="1:26" ht="15" customHeight="1" x14ac:dyDescent="0.25">
      <c r="B52" s="226"/>
      <c r="C52" s="227"/>
      <c r="D52" s="227"/>
      <c r="E52" s="238"/>
      <c r="F52" s="220"/>
      <c r="G52" s="220"/>
      <c r="H52" s="220"/>
      <c r="I52" s="220"/>
      <c r="J52" s="220"/>
      <c r="K52" s="220"/>
    </row>
    <row r="53" spans="1:26" ht="15" customHeight="1" x14ac:dyDescent="0.25">
      <c r="B53" s="226" t="str">
        <f>B34</f>
        <v>2013 Board Approved</v>
      </c>
      <c r="C53" s="227"/>
      <c r="D53" s="227"/>
      <c r="E53" s="238">
        <v>14189</v>
      </c>
      <c r="F53" s="220">
        <v>910</v>
      </c>
      <c r="G53" s="220">
        <v>66</v>
      </c>
      <c r="H53" s="220">
        <v>237</v>
      </c>
      <c r="I53" s="220">
        <v>2889</v>
      </c>
      <c r="J53" s="220">
        <v>78</v>
      </c>
      <c r="K53" s="220">
        <f>SUM(E53:J53)</f>
        <v>18369</v>
      </c>
      <c r="L53"/>
      <c r="M53" s="236"/>
    </row>
    <row r="54" spans="1:26" ht="15" customHeight="1" x14ac:dyDescent="0.25">
      <c r="A54" s="240"/>
      <c r="B54" s="226"/>
      <c r="C54" s="227"/>
      <c r="D54" s="227"/>
      <c r="E54" s="238"/>
      <c r="F54" s="220"/>
      <c r="G54" s="220"/>
      <c r="H54" s="220"/>
      <c r="I54" s="220"/>
      <c r="J54" s="220"/>
      <c r="K54" s="220"/>
      <c r="L54"/>
      <c r="M54" s="236"/>
    </row>
    <row r="55" spans="1:26" ht="15" customHeight="1" x14ac:dyDescent="0.25">
      <c r="A55" s="241"/>
      <c r="B55" s="226" t="str">
        <f t="shared" ref="B55:B66" si="6">B36</f>
        <v xml:space="preserve">2006 Actual </v>
      </c>
      <c r="C55" s="227"/>
      <c r="D55" s="227"/>
      <c r="E55" s="238">
        <f>[4]Summary!B14</f>
        <v>12867</v>
      </c>
      <c r="F55" s="238">
        <f>[4]Summary!B18</f>
        <v>797</v>
      </c>
      <c r="G55" s="238">
        <f>[4]Summary!B22</f>
        <v>80</v>
      </c>
      <c r="H55" s="220">
        <f>[4]Summary!B27</f>
        <v>189</v>
      </c>
      <c r="I55" s="220">
        <f>[4]Summary!B32</f>
        <v>2371</v>
      </c>
      <c r="J55" s="220">
        <f>[4]Summary!B37</f>
        <v>90</v>
      </c>
      <c r="K55" s="220">
        <f>SUM(E55:J55)</f>
        <v>16394</v>
      </c>
      <c r="L55"/>
    </row>
    <row r="56" spans="1:26" ht="15" customHeight="1" x14ac:dyDescent="0.25">
      <c r="A56" s="241"/>
      <c r="B56" s="226" t="str">
        <f t="shared" si="6"/>
        <v xml:space="preserve">2007 Actual </v>
      </c>
      <c r="C56" s="227"/>
      <c r="D56" s="227"/>
      <c r="E56" s="238">
        <f>[4]Summary!C14</f>
        <v>12991</v>
      </c>
      <c r="F56" s="238">
        <f>[4]Summary!C18</f>
        <v>819</v>
      </c>
      <c r="G56" s="238">
        <f>[4]Summary!C22</f>
        <v>71</v>
      </c>
      <c r="H56" s="220">
        <f>[4]Summary!C27</f>
        <v>186</v>
      </c>
      <c r="I56" s="220">
        <f>[4]Summary!C32</f>
        <v>2489</v>
      </c>
      <c r="J56" s="220">
        <f>[4]Summary!C37</f>
        <v>89</v>
      </c>
      <c r="K56" s="220">
        <f t="shared" ref="K56:K66" si="7">SUM(E56:J56)</f>
        <v>16645</v>
      </c>
      <c r="L56"/>
      <c r="M56" s="236"/>
    </row>
    <row r="57" spans="1:26" ht="15" customHeight="1" x14ac:dyDescent="0.25">
      <c r="A57" s="241"/>
      <c r="B57" s="226" t="str">
        <f t="shared" si="6"/>
        <v xml:space="preserve">2008 Actual </v>
      </c>
      <c r="C57" s="227"/>
      <c r="D57" s="227"/>
      <c r="E57" s="238">
        <f>[4]Summary!D14</f>
        <v>13277</v>
      </c>
      <c r="F57" s="238">
        <f>[4]Summary!D18</f>
        <v>836</v>
      </c>
      <c r="G57" s="238">
        <f>[4]Summary!D22</f>
        <v>73</v>
      </c>
      <c r="H57" s="220">
        <f>[4]Summary!D27</f>
        <v>186</v>
      </c>
      <c r="I57" s="220">
        <f>[4]Summary!D32</f>
        <v>2588</v>
      </c>
      <c r="J57" s="220">
        <f>[4]Summary!D37</f>
        <v>84</v>
      </c>
      <c r="K57" s="220">
        <f t="shared" si="7"/>
        <v>17044</v>
      </c>
      <c r="L57"/>
      <c r="M57" s="236"/>
    </row>
    <row r="58" spans="1:26" ht="15" customHeight="1" x14ac:dyDescent="0.25">
      <c r="A58" s="241"/>
      <c r="B58" s="226" t="str">
        <f t="shared" si="6"/>
        <v xml:space="preserve">2009 Actual </v>
      </c>
      <c r="C58" s="227"/>
      <c r="D58" s="227"/>
      <c r="E58" s="238">
        <f>[4]Summary!E14</f>
        <v>13533</v>
      </c>
      <c r="F58" s="238">
        <f>[4]Summary!E18</f>
        <v>855</v>
      </c>
      <c r="G58" s="238">
        <f>[4]Summary!E22</f>
        <v>72</v>
      </c>
      <c r="H58" s="220">
        <f>[4]Summary!E27</f>
        <v>193</v>
      </c>
      <c r="I58" s="220">
        <f>[4]Summary!E32</f>
        <v>2625</v>
      </c>
      <c r="J58" s="220">
        <f>[4]Summary!E37</f>
        <v>83</v>
      </c>
      <c r="K58" s="220">
        <f t="shared" si="7"/>
        <v>17361</v>
      </c>
      <c r="L58"/>
      <c r="M58" s="236"/>
    </row>
    <row r="59" spans="1:26" ht="15" customHeight="1" x14ac:dyDescent="0.25">
      <c r="A59" s="241"/>
      <c r="B59" s="226" t="str">
        <f t="shared" si="6"/>
        <v xml:space="preserve">2010 Actual </v>
      </c>
      <c r="C59" s="227"/>
      <c r="D59" s="227"/>
      <c r="E59" s="238">
        <f>[4]Summary!F14</f>
        <v>13651</v>
      </c>
      <c r="F59" s="238">
        <f>[4]Summary!F18</f>
        <v>865</v>
      </c>
      <c r="G59" s="238">
        <f>[4]Summary!F22</f>
        <v>68</v>
      </c>
      <c r="H59" s="220">
        <f>[4]Summary!F27</f>
        <v>201</v>
      </c>
      <c r="I59" s="220">
        <f>[4]Summary!F32</f>
        <v>2685</v>
      </c>
      <c r="J59" s="220">
        <f>[4]Summary!F37</f>
        <v>82</v>
      </c>
      <c r="K59" s="220">
        <f t="shared" si="7"/>
        <v>17552</v>
      </c>
      <c r="L59"/>
      <c r="M59" s="236"/>
    </row>
    <row r="60" spans="1:26" ht="15" customHeight="1" x14ac:dyDescent="0.25">
      <c r="A60" s="241"/>
      <c r="B60" s="226" t="str">
        <f t="shared" si="6"/>
        <v xml:space="preserve">2011 Actual </v>
      </c>
      <c r="C60" s="227"/>
      <c r="D60" s="227"/>
      <c r="E60" s="238">
        <f>[4]Summary!G14</f>
        <v>13779</v>
      </c>
      <c r="F60" s="238">
        <f>[4]Summary!G18</f>
        <v>896</v>
      </c>
      <c r="G60" s="238">
        <f>[4]Summary!G22</f>
        <v>67</v>
      </c>
      <c r="H60" s="220">
        <f>[4]Summary!G27</f>
        <v>225</v>
      </c>
      <c r="I60" s="220">
        <f>[4]Summary!G32</f>
        <v>2728</v>
      </c>
      <c r="J60" s="220">
        <f>[4]Summary!G37</f>
        <v>81</v>
      </c>
      <c r="K60" s="220">
        <f t="shared" si="7"/>
        <v>17776</v>
      </c>
      <c r="L60"/>
      <c r="M60" s="236"/>
    </row>
    <row r="61" spans="1:26" ht="15" customHeight="1" x14ac:dyDescent="0.25">
      <c r="A61" s="241"/>
      <c r="B61" s="226" t="str">
        <f t="shared" si="6"/>
        <v xml:space="preserve">2012 Actual </v>
      </c>
      <c r="C61" s="227"/>
      <c r="D61" s="227"/>
      <c r="E61" s="238">
        <f>[4]Summary!H14</f>
        <v>13942.916666666666</v>
      </c>
      <c r="F61" s="238">
        <f>[4]Summary!H18</f>
        <v>913.75</v>
      </c>
      <c r="G61" s="238">
        <f>[4]Summary!H22</f>
        <v>67.916666666666671</v>
      </c>
      <c r="H61" s="220">
        <f>[4]Summary!H27</f>
        <v>172.08333333333334</v>
      </c>
      <c r="I61" s="220">
        <f>[4]Summary!H32</f>
        <v>2728</v>
      </c>
      <c r="J61" s="220">
        <f>[4]Summary!H37</f>
        <v>78.666666666666671</v>
      </c>
      <c r="K61" s="220">
        <f t="shared" si="7"/>
        <v>17903.333333333332</v>
      </c>
      <c r="L61"/>
      <c r="M61" s="236"/>
    </row>
    <row r="62" spans="1:26" ht="15" customHeight="1" x14ac:dyDescent="0.25">
      <c r="A62" s="241"/>
      <c r="B62" s="226" t="str">
        <f t="shared" si="6"/>
        <v xml:space="preserve">2013 Actual </v>
      </c>
      <c r="C62" s="227"/>
      <c r="D62" s="227"/>
      <c r="E62" s="238">
        <f>[4]Summary!I14</f>
        <v>14181</v>
      </c>
      <c r="F62" s="238">
        <f>[4]Summary!I18</f>
        <v>949.25</v>
      </c>
      <c r="G62" s="238">
        <f>[4]Summary!I22</f>
        <v>67</v>
      </c>
      <c r="H62" s="220">
        <f>[4]Summary!I27</f>
        <v>168</v>
      </c>
      <c r="I62" s="220">
        <f>[4]Summary!I32</f>
        <v>2843.3333333333335</v>
      </c>
      <c r="J62" s="220">
        <f>[4]Summary!I37</f>
        <v>77.583333333333329</v>
      </c>
      <c r="K62" s="220">
        <f t="shared" si="7"/>
        <v>18286.166666666664</v>
      </c>
      <c r="L62"/>
      <c r="M62" s="236"/>
    </row>
    <row r="63" spans="1:26" ht="15" customHeight="1" x14ac:dyDescent="0.25">
      <c r="A63" s="241"/>
      <c r="B63" s="226" t="str">
        <f t="shared" si="6"/>
        <v xml:space="preserve">2014 Actual </v>
      </c>
      <c r="C63" s="227"/>
      <c r="D63" s="227"/>
      <c r="E63" s="238">
        <f>[4]Summary!J14</f>
        <v>14509.166666666666</v>
      </c>
      <c r="F63" s="238">
        <f>[4]Summary!J18</f>
        <v>991.25</v>
      </c>
      <c r="G63" s="238">
        <f>[4]Summary!J22</f>
        <v>67.166666666666671</v>
      </c>
      <c r="H63" s="220">
        <f>[4]Summary!J27</f>
        <v>169.41666666666666</v>
      </c>
      <c r="I63" s="220">
        <f>[4]Summary!J32</f>
        <v>2923.3333333333335</v>
      </c>
      <c r="J63" s="220">
        <f>[4]Summary!J37</f>
        <v>75.583333333333329</v>
      </c>
      <c r="K63" s="220">
        <f t="shared" si="7"/>
        <v>18735.916666666664</v>
      </c>
      <c r="L63"/>
      <c r="M63" s="236"/>
    </row>
    <row r="64" spans="1:26" ht="15" customHeight="1" x14ac:dyDescent="0.25">
      <c r="A64" s="241"/>
      <c r="B64" s="226" t="str">
        <f t="shared" si="6"/>
        <v xml:space="preserve">2015 Actual </v>
      </c>
      <c r="C64" s="227"/>
      <c r="D64" s="227"/>
      <c r="E64" s="238">
        <f>[4]Summary!K14</f>
        <v>14861.583333333334</v>
      </c>
      <c r="F64" s="238">
        <f>[4]Summary!K18</f>
        <v>1000.5833333333334</v>
      </c>
      <c r="G64" s="238">
        <f>[4]Summary!K22</f>
        <v>71.5</v>
      </c>
      <c r="H64" s="220">
        <f>[4]Summary!K27</f>
        <v>165.75</v>
      </c>
      <c r="I64" s="220">
        <f>[4]Summary!K32</f>
        <v>2897.6666666666665</v>
      </c>
      <c r="J64" s="220">
        <f>[4]Summary!K37</f>
        <v>76</v>
      </c>
      <c r="K64" s="220">
        <f t="shared" si="7"/>
        <v>19073.083333333336</v>
      </c>
      <c r="L64"/>
      <c r="M64"/>
      <c r="N64"/>
      <c r="O64"/>
    </row>
    <row r="65" spans="1:16" ht="15" customHeight="1" x14ac:dyDescent="0.25">
      <c r="A65" s="241"/>
      <c r="B65" s="226" t="str">
        <f t="shared" si="6"/>
        <v>2016 Bridge - Normalized</v>
      </c>
      <c r="C65" s="227"/>
      <c r="D65" s="227"/>
      <c r="E65" s="238">
        <f>[4]Summary!L14</f>
        <v>15419</v>
      </c>
      <c r="F65" s="238">
        <f>[4]Summary!L18</f>
        <v>1026</v>
      </c>
      <c r="G65" s="238">
        <f>[4]Summary!L22</f>
        <v>71.5</v>
      </c>
      <c r="H65" s="220">
        <f>[4]Summary!L27</f>
        <v>163</v>
      </c>
      <c r="I65" s="220">
        <f>[4]Summary!L32</f>
        <v>2963</v>
      </c>
      <c r="J65" s="220">
        <f>[4]Summary!L37</f>
        <v>75</v>
      </c>
      <c r="K65" s="220">
        <f t="shared" si="7"/>
        <v>19717.5</v>
      </c>
      <c r="L65"/>
      <c r="M65"/>
      <c r="N65"/>
      <c r="O65"/>
      <c r="P65" s="309">
        <f>[4]Summary!V22</f>
        <v>0</v>
      </c>
    </row>
    <row r="66" spans="1:16" ht="15" customHeight="1" x14ac:dyDescent="0.25">
      <c r="A66" s="241"/>
      <c r="B66" s="226" t="str">
        <f t="shared" si="6"/>
        <v>2017 Test - Normalized</v>
      </c>
      <c r="C66" s="227"/>
      <c r="D66" s="227"/>
      <c r="E66" s="238">
        <f>[4]Summary!M14</f>
        <v>15930</v>
      </c>
      <c r="F66" s="238">
        <f>[4]Summary!M18</f>
        <v>1052</v>
      </c>
      <c r="G66" s="238">
        <f>[4]Summary!M22</f>
        <v>71.5</v>
      </c>
      <c r="H66" s="220">
        <f>[4]Summary!M27</f>
        <v>161</v>
      </c>
      <c r="I66" s="220">
        <f>[4]Summary!M32</f>
        <v>3030</v>
      </c>
      <c r="J66" s="220">
        <f>[4]Summary!M37</f>
        <v>74</v>
      </c>
      <c r="K66" s="220">
        <f t="shared" si="7"/>
        <v>20318.5</v>
      </c>
      <c r="L66"/>
      <c r="M66"/>
      <c r="N66"/>
      <c r="O66"/>
    </row>
    <row r="67" spans="1:16" ht="15" customHeight="1" x14ac:dyDescent="0.25">
      <c r="B67" s="212"/>
      <c r="C67" s="212"/>
      <c r="D67" s="212"/>
    </row>
    <row r="68" spans="1:16" ht="15" customHeight="1" x14ac:dyDescent="0.25">
      <c r="B68" s="210" t="s">
        <v>261</v>
      </c>
      <c r="C68" s="210"/>
      <c r="D68" s="210"/>
      <c r="E68" s="211"/>
      <c r="F68" s="211"/>
      <c r="G68" s="211"/>
      <c r="H68" s="211"/>
      <c r="I68" s="211"/>
      <c r="J68" s="211"/>
      <c r="K68" s="211"/>
    </row>
    <row r="69" spans="1:16" ht="30.6" x14ac:dyDescent="0.25">
      <c r="B69" s="337" t="s">
        <v>190</v>
      </c>
      <c r="C69" s="338"/>
      <c r="D69" s="340"/>
      <c r="E69" s="341" t="str">
        <f t="shared" ref="E69:J69" si="8">E31</f>
        <v>Residential</v>
      </c>
      <c r="F69" s="336" t="str">
        <f t="shared" si="8"/>
        <v>General Service &lt; 50 kW</v>
      </c>
      <c r="G69" s="336" t="str">
        <f t="shared" si="8"/>
        <v>General Service 50 to 4,999 kW</v>
      </c>
      <c r="H69" s="336" t="str">
        <f t="shared" si="8"/>
        <v xml:space="preserve">Sentinel Lighting </v>
      </c>
      <c r="I69" s="336" t="str">
        <f t="shared" si="8"/>
        <v>Street Lighting</v>
      </c>
      <c r="J69" s="336" t="str">
        <f t="shared" si="8"/>
        <v>Unmetered Scattered Load</v>
      </c>
    </row>
    <row r="70" spans="1:16" ht="15" customHeight="1" x14ac:dyDescent="0.25">
      <c r="B70" s="394" t="s">
        <v>205</v>
      </c>
      <c r="C70" s="394"/>
      <c r="D70" s="394"/>
      <c r="E70" s="375"/>
      <c r="F70" s="375"/>
      <c r="G70" s="375"/>
      <c r="H70" s="375"/>
      <c r="I70" s="375"/>
      <c r="J70" s="375"/>
    </row>
    <row r="71" spans="1:16" ht="15" customHeight="1" x14ac:dyDescent="0.25">
      <c r="B71" s="250"/>
      <c r="C71" s="252"/>
      <c r="D71" s="252"/>
      <c r="E71" s="247"/>
      <c r="F71" s="247"/>
      <c r="G71" s="247"/>
      <c r="H71" s="247"/>
      <c r="I71" s="247"/>
      <c r="J71" s="310"/>
    </row>
    <row r="72" spans="1:16" ht="15" customHeight="1" x14ac:dyDescent="0.25">
      <c r="B72" s="226" t="str">
        <f>B34</f>
        <v>2013 Board Approved</v>
      </c>
      <c r="C72" s="227"/>
      <c r="D72" s="227"/>
      <c r="E72" s="218">
        <f t="shared" ref="E72:J72" si="9">E34*1000000/E53</f>
        <v>10441.107407146381</v>
      </c>
      <c r="F72" s="218">
        <f t="shared" si="9"/>
        <v>34924.193406593404</v>
      </c>
      <c r="G72" s="218">
        <f t="shared" si="9"/>
        <v>777717.28787878784</v>
      </c>
      <c r="H72" s="218">
        <f t="shared" si="9"/>
        <v>442.7932489451477</v>
      </c>
      <c r="I72" s="218">
        <f t="shared" si="9"/>
        <v>525.03669089650396</v>
      </c>
      <c r="J72" s="218">
        <f t="shared" si="9"/>
        <v>6085.2820512820517</v>
      </c>
      <c r="K72"/>
    </row>
    <row r="73" spans="1:16" ht="15" customHeight="1" x14ac:dyDescent="0.25">
      <c r="B73" s="226"/>
      <c r="C73" s="227"/>
      <c r="D73" s="227"/>
      <c r="E73" s="218"/>
      <c r="F73" s="218"/>
      <c r="G73" s="218"/>
      <c r="H73" s="218"/>
      <c r="I73" s="218"/>
      <c r="J73" s="310"/>
    </row>
    <row r="74" spans="1:16" ht="15" customHeight="1" x14ac:dyDescent="0.25">
      <c r="B74" s="226" t="str">
        <f t="shared" ref="B74:B85" si="10">B36</f>
        <v xml:space="preserve">2006 Actual </v>
      </c>
      <c r="C74" s="227"/>
      <c r="D74" s="227"/>
      <c r="E74" s="218">
        <f t="shared" ref="E74:J85" si="11">E36*1000000/E55</f>
        <v>11675.844588165102</v>
      </c>
      <c r="F74" s="218">
        <f t="shared" si="11"/>
        <v>34433.777381871405</v>
      </c>
      <c r="G74" s="218">
        <f t="shared" si="11"/>
        <v>497886.4375</v>
      </c>
      <c r="H74" s="218">
        <f t="shared" si="11"/>
        <v>697.71957671957671</v>
      </c>
      <c r="I74" s="218">
        <f t="shared" si="11"/>
        <v>609.66596372838467</v>
      </c>
      <c r="J74" s="218">
        <f t="shared" si="11"/>
        <v>3292.8467858680019</v>
      </c>
      <c r="L74" s="239"/>
      <c r="M74" s="239"/>
      <c r="N74" s="239"/>
    </row>
    <row r="75" spans="1:16" ht="15" customHeight="1" x14ac:dyDescent="0.25">
      <c r="B75" s="226" t="str">
        <f t="shared" si="10"/>
        <v xml:space="preserve">2007 Actual </v>
      </c>
      <c r="C75" s="227"/>
      <c r="D75" s="227"/>
      <c r="E75" s="218">
        <f t="shared" si="11"/>
        <v>11516.911726853226</v>
      </c>
      <c r="F75" s="218">
        <f t="shared" si="11"/>
        <v>35006.364624361253</v>
      </c>
      <c r="G75" s="218">
        <f t="shared" si="11"/>
        <v>553810.84507042251</v>
      </c>
      <c r="H75" s="218">
        <f t="shared" si="11"/>
        <v>679.41397849462373</v>
      </c>
      <c r="I75" s="218">
        <f t="shared" si="11"/>
        <v>601.02330253113701</v>
      </c>
      <c r="J75" s="218">
        <f t="shared" si="11"/>
        <v>5881.4216752567445</v>
      </c>
      <c r="L75" s="239"/>
      <c r="M75" s="239"/>
      <c r="N75" s="239"/>
    </row>
    <row r="76" spans="1:16" ht="15" customHeight="1" x14ac:dyDescent="0.25">
      <c r="B76" s="226" t="str">
        <f t="shared" si="10"/>
        <v xml:space="preserve">2008 Actual </v>
      </c>
      <c r="C76" s="227"/>
      <c r="D76" s="227"/>
      <c r="E76" s="218">
        <f t="shared" si="11"/>
        <v>11358.587626392222</v>
      </c>
      <c r="F76" s="218">
        <f t="shared" si="11"/>
        <v>34197.429001665856</v>
      </c>
      <c r="G76" s="218">
        <f t="shared" si="11"/>
        <v>620128.84342465759</v>
      </c>
      <c r="H76" s="218">
        <f t="shared" si="11"/>
        <v>667.80440860215049</v>
      </c>
      <c r="I76" s="218">
        <f t="shared" si="11"/>
        <v>592.69659969088104</v>
      </c>
      <c r="J76" s="218">
        <f t="shared" si="11"/>
        <v>6091.0880833070951</v>
      </c>
      <c r="L76" s="239"/>
      <c r="M76" s="239"/>
      <c r="N76" s="239"/>
    </row>
    <row r="77" spans="1:16" ht="15" customHeight="1" x14ac:dyDescent="0.25">
      <c r="B77" s="226" t="str">
        <f t="shared" si="10"/>
        <v xml:space="preserve">2009 Actual </v>
      </c>
      <c r="C77" s="227"/>
      <c r="D77" s="227"/>
      <c r="E77" s="218">
        <f t="shared" si="11"/>
        <v>11170.747778183908</v>
      </c>
      <c r="F77" s="218">
        <f t="shared" si="11"/>
        <v>33090.304944134252</v>
      </c>
      <c r="G77" s="218">
        <f t="shared" si="11"/>
        <v>659350.80847222218</v>
      </c>
      <c r="H77" s="218">
        <f t="shared" si="11"/>
        <v>632.23367875647671</v>
      </c>
      <c r="I77" s="218">
        <f t="shared" si="11"/>
        <v>600.72822857142864</v>
      </c>
      <c r="J77" s="218">
        <f t="shared" si="11"/>
        <v>5987.0384650888946</v>
      </c>
      <c r="L77" s="239"/>
      <c r="M77" s="239"/>
      <c r="N77" s="239"/>
    </row>
    <row r="78" spans="1:16" ht="15" customHeight="1" x14ac:dyDescent="0.25">
      <c r="B78" s="226" t="str">
        <f t="shared" si="10"/>
        <v xml:space="preserve">2010 Actual </v>
      </c>
      <c r="C78" s="227"/>
      <c r="D78" s="227"/>
      <c r="E78" s="218">
        <f t="shared" si="11"/>
        <v>10926.413082101306</v>
      </c>
      <c r="F78" s="218">
        <f t="shared" si="11"/>
        <v>33955.216616181868</v>
      </c>
      <c r="G78" s="218">
        <f t="shared" si="11"/>
        <v>751893.69294117636</v>
      </c>
      <c r="H78" s="218">
        <f t="shared" si="11"/>
        <v>580.61054726368161</v>
      </c>
      <c r="I78" s="218">
        <f t="shared" si="11"/>
        <v>588.47597765363128</v>
      </c>
      <c r="J78" s="218">
        <f t="shared" si="11"/>
        <v>6060.8501614355564</v>
      </c>
      <c r="L78" s="239"/>
      <c r="M78" s="239"/>
      <c r="N78" s="239"/>
    </row>
    <row r="79" spans="1:16" ht="15" customHeight="1" x14ac:dyDescent="0.25">
      <c r="B79" s="226" t="str">
        <f t="shared" si="10"/>
        <v xml:space="preserve">2011 Actual </v>
      </c>
      <c r="C79" s="227"/>
      <c r="D79" s="227"/>
      <c r="E79" s="218">
        <f t="shared" si="11"/>
        <v>10949.518316719408</v>
      </c>
      <c r="F79" s="218">
        <f t="shared" si="11"/>
        <v>34287.906556191345</v>
      </c>
      <c r="G79" s="218">
        <f t="shared" si="11"/>
        <v>745099.78283582092</v>
      </c>
      <c r="H79" s="218">
        <f t="shared" si="11"/>
        <v>489.95920000000001</v>
      </c>
      <c r="I79" s="218">
        <f t="shared" si="11"/>
        <v>534.22632331378293</v>
      </c>
      <c r="J79" s="218">
        <f t="shared" si="11"/>
        <v>6079.7065132818507</v>
      </c>
      <c r="L79" s="239"/>
      <c r="M79" s="239"/>
      <c r="N79" s="239"/>
    </row>
    <row r="80" spans="1:16" ht="15" customHeight="1" x14ac:dyDescent="0.25">
      <c r="B80" s="226" t="str">
        <f t="shared" si="10"/>
        <v xml:space="preserve">2012 Actual </v>
      </c>
      <c r="C80" s="227"/>
      <c r="D80" s="227"/>
      <c r="E80" s="218">
        <f t="shared" si="11"/>
        <v>10443.358092291453</v>
      </c>
      <c r="F80" s="218">
        <f t="shared" si="11"/>
        <v>33786.742879148289</v>
      </c>
      <c r="G80" s="218">
        <f t="shared" si="11"/>
        <v>752953.7668711656</v>
      </c>
      <c r="H80" s="218">
        <f t="shared" si="11"/>
        <v>658.7497683901621</v>
      </c>
      <c r="I80" s="218">
        <f t="shared" si="11"/>
        <v>575.40646645905156</v>
      </c>
      <c r="J80" s="218">
        <f t="shared" si="11"/>
        <v>6114.8473101638265</v>
      </c>
      <c r="L80" s="239"/>
      <c r="M80" s="239"/>
      <c r="N80" s="239"/>
    </row>
    <row r="81" spans="2:23" ht="15" customHeight="1" x14ac:dyDescent="0.25">
      <c r="B81" s="226" t="str">
        <f t="shared" si="10"/>
        <v xml:space="preserve">2013 Actual </v>
      </c>
      <c r="C81" s="227"/>
      <c r="D81" s="227"/>
      <c r="E81" s="218">
        <f t="shared" si="11"/>
        <v>10476.751364163789</v>
      </c>
      <c r="F81" s="218">
        <f t="shared" si="11"/>
        <v>32634.756128598347</v>
      </c>
      <c r="G81" s="218">
        <f t="shared" si="11"/>
        <v>760025.70149253728</v>
      </c>
      <c r="H81" s="218">
        <f t="shared" si="11"/>
        <v>606.21389345296177</v>
      </c>
      <c r="I81" s="218">
        <f t="shared" si="11"/>
        <v>517.74944769198646</v>
      </c>
      <c r="J81" s="218">
        <f t="shared" si="11"/>
        <v>6099.9739233072141</v>
      </c>
      <c r="L81" s="239"/>
      <c r="M81" s="239"/>
      <c r="N81" s="239"/>
    </row>
    <row r="82" spans="2:23" ht="15" customHeight="1" x14ac:dyDescent="0.25">
      <c r="B82" s="226" t="str">
        <f t="shared" si="10"/>
        <v xml:space="preserve">2014 Actual </v>
      </c>
      <c r="C82" s="227"/>
      <c r="D82" s="227"/>
      <c r="E82" s="218">
        <f t="shared" si="11"/>
        <v>10539.765337506265</v>
      </c>
      <c r="F82" s="218">
        <f t="shared" si="11"/>
        <v>32427.638238912699</v>
      </c>
      <c r="G82" s="218">
        <f t="shared" si="11"/>
        <v>753234.74218362279</v>
      </c>
      <c r="H82" s="218">
        <f t="shared" si="11"/>
        <v>637.36350221347766</v>
      </c>
      <c r="I82" s="218">
        <f t="shared" si="11"/>
        <v>556.06160742222119</v>
      </c>
      <c r="J82" s="218">
        <f t="shared" si="11"/>
        <v>6158.4736321977734</v>
      </c>
      <c r="L82" s="239"/>
      <c r="M82" s="239"/>
      <c r="N82" s="239"/>
    </row>
    <row r="83" spans="2:23" ht="15" customHeight="1" x14ac:dyDescent="0.25">
      <c r="B83" s="226" t="str">
        <f t="shared" si="10"/>
        <v xml:space="preserve">2015 Actual </v>
      </c>
      <c r="C83" s="227"/>
      <c r="D83" s="227"/>
      <c r="E83" s="218">
        <f t="shared" si="11"/>
        <v>10195.879650575316</v>
      </c>
      <c r="F83" s="218">
        <f t="shared" si="11"/>
        <v>34306.827837334</v>
      </c>
      <c r="G83" s="218">
        <f t="shared" si="11"/>
        <v>764143.72027972026</v>
      </c>
      <c r="H83" s="218">
        <f t="shared" si="11"/>
        <v>624.65158371040729</v>
      </c>
      <c r="I83" s="218">
        <f t="shared" si="11"/>
        <v>381.83964109053261</v>
      </c>
      <c r="J83" s="218">
        <f t="shared" si="11"/>
        <v>6119.1423752277888</v>
      </c>
      <c r="L83" s="239"/>
      <c r="M83" s="239"/>
      <c r="N83" s="239"/>
    </row>
    <row r="84" spans="2:23" ht="15" customHeight="1" x14ac:dyDescent="0.25">
      <c r="B84" s="226" t="str">
        <f t="shared" si="10"/>
        <v>2016 Bridge - Normalized</v>
      </c>
      <c r="C84" s="227"/>
      <c r="D84" s="227"/>
      <c r="E84" s="218">
        <f t="shared" si="11"/>
        <v>9707.125858382291</v>
      </c>
      <c r="F84" s="218">
        <f t="shared" si="11"/>
        <v>32282.718446425093</v>
      </c>
      <c r="G84" s="218">
        <f t="shared" si="11"/>
        <v>767690.39511295699</v>
      </c>
      <c r="H84" s="218">
        <f t="shared" si="11"/>
        <v>617.62679721151972</v>
      </c>
      <c r="I84" s="218">
        <f t="shared" si="11"/>
        <v>221.87610503764782</v>
      </c>
      <c r="J84" s="218">
        <f t="shared" si="11"/>
        <v>6622.1367767827078</v>
      </c>
      <c r="L84" s="239"/>
      <c r="M84" s="239"/>
      <c r="N84" s="239"/>
    </row>
    <row r="85" spans="2:23" ht="15" customHeight="1" x14ac:dyDescent="0.25">
      <c r="B85" s="226" t="str">
        <f t="shared" si="10"/>
        <v>2017 Test - Normalized</v>
      </c>
      <c r="C85" s="227"/>
      <c r="D85" s="227"/>
      <c r="E85" s="218">
        <f t="shared" si="11"/>
        <v>9411.9335497974462</v>
      </c>
      <c r="F85" s="218">
        <f t="shared" si="11"/>
        <v>30768.472403744727</v>
      </c>
      <c r="G85" s="218">
        <f t="shared" si="11"/>
        <v>783060.40594338172</v>
      </c>
      <c r="H85" s="218">
        <f t="shared" si="11"/>
        <v>610.68101095315308</v>
      </c>
      <c r="I85" s="218">
        <f t="shared" si="11"/>
        <v>220.9991146360527</v>
      </c>
      <c r="J85" s="218">
        <f t="shared" si="11"/>
        <v>7167.1206567756899</v>
      </c>
      <c r="L85" s="239"/>
      <c r="M85" s="239"/>
      <c r="N85" s="239"/>
    </row>
    <row r="86" spans="2:23" ht="15" customHeight="1" x14ac:dyDescent="0.25">
      <c r="B86" s="212"/>
      <c r="C86" s="212"/>
      <c r="D86" s="212"/>
      <c r="W86" s="239"/>
    </row>
    <row r="87" spans="2:23" ht="16.5" customHeight="1" x14ac:dyDescent="0.25">
      <c r="B87" s="212"/>
      <c r="C87" s="212"/>
      <c r="D87" s="212"/>
    </row>
    <row r="88" spans="2:23" ht="15" customHeight="1" x14ac:dyDescent="0.25">
      <c r="B88" s="210" t="s">
        <v>262</v>
      </c>
      <c r="C88" s="210"/>
      <c r="D88" s="210"/>
      <c r="E88" s="211"/>
      <c r="F88" s="211"/>
      <c r="G88" s="211"/>
    </row>
    <row r="89" spans="2:23" ht="13.2" x14ac:dyDescent="0.25">
      <c r="B89" s="337" t="s">
        <v>206</v>
      </c>
      <c r="C89" s="338"/>
      <c r="D89" s="338"/>
      <c r="E89" s="336" t="s">
        <v>207</v>
      </c>
      <c r="F89" s="51"/>
      <c r="G89" s="51"/>
    </row>
    <row r="90" spans="2:23" ht="15" customHeight="1" x14ac:dyDescent="0.25">
      <c r="B90" s="226" t="s">
        <v>21</v>
      </c>
      <c r="C90" s="227"/>
      <c r="D90" s="227"/>
      <c r="E90" s="243">
        <f>'[4]Purchased Power Model '!L6</f>
        <v>0.94276401329347359</v>
      </c>
      <c r="F90" s="51"/>
      <c r="G90" s="51"/>
    </row>
    <row r="91" spans="2:23" ht="15" customHeight="1" x14ac:dyDescent="0.25">
      <c r="B91" s="226" t="s">
        <v>22</v>
      </c>
      <c r="C91" s="227"/>
      <c r="D91" s="227"/>
      <c r="E91" s="243">
        <f>'[4]Purchased Power Model '!L7</f>
        <v>0.94025366299932778</v>
      </c>
      <c r="F91" s="51"/>
      <c r="G91" s="51"/>
    </row>
    <row r="92" spans="2:23" ht="15" customHeight="1" x14ac:dyDescent="0.25">
      <c r="B92" s="226" t="s">
        <v>208</v>
      </c>
      <c r="C92" s="227"/>
      <c r="D92" s="227"/>
      <c r="E92" s="217">
        <f>'[4]Purchased Power Model '!O13</f>
        <v>375.55078089778431</v>
      </c>
      <c r="F92" s="51"/>
      <c r="G92" s="51"/>
    </row>
    <row r="93" spans="2:23" ht="15" customHeight="1" x14ac:dyDescent="0.25">
      <c r="B93" s="226" t="s">
        <v>209</v>
      </c>
      <c r="C93" s="227"/>
      <c r="D93" s="227"/>
      <c r="E93" s="243">
        <f>'[4]Purchased Power Model '!J123</f>
        <v>2.5218302649987302E-2</v>
      </c>
      <c r="F93" s="51"/>
      <c r="G93" s="51"/>
    </row>
    <row r="94" spans="2:23" ht="15" customHeight="1" x14ac:dyDescent="0.25">
      <c r="B94" s="226" t="s">
        <v>210</v>
      </c>
      <c r="C94" s="227"/>
      <c r="D94" s="227"/>
      <c r="E94" s="217"/>
      <c r="F94" s="51"/>
      <c r="G94" s="51"/>
    </row>
    <row r="95" spans="2:23" ht="15" customHeight="1" x14ac:dyDescent="0.25">
      <c r="B95" s="391" t="str">
        <f>'[4]Purchased Power Model '!K19</f>
        <v>Heating Degree Days</v>
      </c>
      <c r="C95" s="392"/>
      <c r="D95" s="393"/>
      <c r="E95" s="244">
        <f>'[4]Purchased Power Model '!N19</f>
        <v>30.389851181076668</v>
      </c>
      <c r="F95" s="51"/>
      <c r="G95" s="51"/>
    </row>
    <row r="96" spans="2:23" ht="15" customHeight="1" x14ac:dyDescent="0.25">
      <c r="B96" s="391" t="str">
        <f>'[4]Purchased Power Model '!K20</f>
        <v>Cooling Degree Days</v>
      </c>
      <c r="C96" s="392"/>
      <c r="D96" s="393"/>
      <c r="E96" s="244">
        <f>'[4]Purchased Power Model '!N20</f>
        <v>11.867544787691221</v>
      </c>
      <c r="F96" s="51"/>
      <c r="G96" s="51"/>
    </row>
    <row r="97" spans="2:13" ht="15" customHeight="1" x14ac:dyDescent="0.25">
      <c r="B97" s="391" t="str">
        <f>'[4]Purchased Power Model '!K21</f>
        <v>Number of Days in Month</v>
      </c>
      <c r="C97" s="392"/>
      <c r="D97" s="393"/>
      <c r="E97" s="244">
        <f>'[4]Purchased Power Model '!N21</f>
        <v>7.8222566976043089</v>
      </c>
      <c r="F97" s="51"/>
      <c r="G97" s="51"/>
    </row>
    <row r="98" spans="2:13" ht="15" customHeight="1" x14ac:dyDescent="0.25">
      <c r="B98" s="391" t="str">
        <f>'[4]Purchased Power Model '!K22</f>
        <v>Spring Fall Flag</v>
      </c>
      <c r="C98" s="392"/>
      <c r="D98" s="393"/>
      <c r="E98" s="244">
        <f>'[4]Purchased Power Model '!N22</f>
        <v>-6.6950563324790089</v>
      </c>
      <c r="F98" s="51"/>
      <c r="G98" s="51"/>
    </row>
    <row r="99" spans="2:13" ht="24.75" customHeight="1" x14ac:dyDescent="0.25">
      <c r="B99" s="388" t="str">
        <f>'[4]Purchased Power Model '!K23</f>
        <v>Number of Customers - 3 Main Classes</v>
      </c>
      <c r="C99" s="389"/>
      <c r="D99" s="390"/>
      <c r="E99" s="244">
        <f>'[4]Purchased Power Model '!N23</f>
        <v>5.8395731071373946</v>
      </c>
      <c r="F99" s="51"/>
      <c r="G99" s="51"/>
    </row>
    <row r="100" spans="2:13" ht="15" customHeight="1" x14ac:dyDescent="0.25">
      <c r="B100" s="391" t="s">
        <v>212</v>
      </c>
      <c r="C100" s="392"/>
      <c r="D100" s="393"/>
      <c r="E100" s="244">
        <f>'[4]Purchased Power Model '!N18</f>
        <v>-3.9890259720512833</v>
      </c>
    </row>
    <row r="101" spans="2:13" ht="15" customHeight="1" x14ac:dyDescent="0.25">
      <c r="B101" s="212"/>
      <c r="C101" s="212"/>
      <c r="D101" s="212"/>
    </row>
    <row r="102" spans="2:13" ht="15" customHeight="1" x14ac:dyDescent="0.25">
      <c r="B102" s="210" t="s">
        <v>263</v>
      </c>
      <c r="C102" s="210"/>
      <c r="D102" s="210"/>
      <c r="E102" s="211"/>
      <c r="F102" s="211"/>
      <c r="G102" s="211"/>
    </row>
    <row r="103" spans="2:13" x14ac:dyDescent="0.25">
      <c r="B103" s="337" t="s">
        <v>190</v>
      </c>
      <c r="C103" s="338"/>
      <c r="D103" s="338"/>
      <c r="E103" s="336" t="s">
        <v>213</v>
      </c>
      <c r="F103" s="336" t="s">
        <v>214</v>
      </c>
      <c r="G103" s="336" t="s">
        <v>8</v>
      </c>
    </row>
    <row r="104" spans="2:13" ht="15" customHeight="1" x14ac:dyDescent="0.25">
      <c r="B104" s="342" t="s">
        <v>215</v>
      </c>
      <c r="C104" s="343"/>
      <c r="D104" s="343"/>
      <c r="E104" s="343"/>
      <c r="F104" s="343"/>
      <c r="G104" s="344"/>
      <c r="I104" s="362" t="s">
        <v>190</v>
      </c>
      <c r="J104" s="211" t="s">
        <v>340</v>
      </c>
      <c r="K104" s="211" t="s">
        <v>341</v>
      </c>
    </row>
    <row r="105" spans="2:13" ht="15" customHeight="1" x14ac:dyDescent="0.25">
      <c r="B105" s="226">
        <v>2006</v>
      </c>
      <c r="C105" s="227"/>
      <c r="D105" s="227"/>
      <c r="E105" s="221">
        <f>'[4]Purchased Power Model '!B200/1000000</f>
        <v>234.39889869999999</v>
      </c>
      <c r="F105" s="221">
        <f>'[4]Purchased Power Model '!H200/1000000</f>
        <v>236.71653366990495</v>
      </c>
      <c r="G105" s="245">
        <f t="shared" ref="G105:G114" si="12">F105/E105-1</f>
        <v>9.8875676582048655E-3</v>
      </c>
      <c r="I105" s="363">
        <v>2006</v>
      </c>
      <c r="J105" s="364">
        <v>234.4</v>
      </c>
      <c r="K105" s="364">
        <v>236.7</v>
      </c>
      <c r="L105" s="361"/>
      <c r="M105" s="361"/>
    </row>
    <row r="106" spans="2:13" ht="15" customHeight="1" x14ac:dyDescent="0.25">
      <c r="B106" s="226">
        <v>2007</v>
      </c>
      <c r="C106" s="227"/>
      <c r="D106" s="227"/>
      <c r="E106" s="221">
        <f>'[4]Purchased Power Model '!B201/1000000</f>
        <v>241.1546361</v>
      </c>
      <c r="F106" s="221">
        <f>'[4]Purchased Power Model '!H201/1000000</f>
        <v>243.49205203077696</v>
      </c>
      <c r="G106" s="245">
        <f t="shared" si="12"/>
        <v>9.6926020937357915E-3</v>
      </c>
      <c r="I106" s="363">
        <v>2007</v>
      </c>
      <c r="J106" s="364">
        <v>241.2</v>
      </c>
      <c r="K106" s="364">
        <v>243.5</v>
      </c>
      <c r="L106" s="361"/>
      <c r="M106" s="361"/>
    </row>
    <row r="107" spans="2:13" ht="15" customHeight="1" x14ac:dyDescent="0.25">
      <c r="B107" s="226">
        <v>2008</v>
      </c>
      <c r="C107" s="227"/>
      <c r="D107" s="227"/>
      <c r="E107" s="221">
        <f>'[4]Purchased Power Model '!B202/1000000</f>
        <v>245.62302780000002</v>
      </c>
      <c r="F107" s="221">
        <f>'[4]Purchased Power Model '!H202/1000000</f>
        <v>242.68777394966654</v>
      </c>
      <c r="G107" s="245">
        <f t="shared" si="12"/>
        <v>-1.1950238854328998E-2</v>
      </c>
      <c r="I107" s="363">
        <v>2008</v>
      </c>
      <c r="J107" s="364">
        <v>245.6</v>
      </c>
      <c r="K107" s="364">
        <v>242.7</v>
      </c>
      <c r="L107" s="361"/>
      <c r="M107" s="361"/>
    </row>
    <row r="108" spans="2:13" ht="15" customHeight="1" x14ac:dyDescent="0.25">
      <c r="B108" s="226">
        <v>2009</v>
      </c>
      <c r="C108" s="227"/>
      <c r="D108" s="227"/>
      <c r="E108" s="221">
        <f>'[4]Purchased Power Model '!B203/1000000</f>
        <v>247.23918920000003</v>
      </c>
      <c r="F108" s="221">
        <f>'[4]Purchased Power Model '!H203/1000000</f>
        <v>242.87607728270115</v>
      </c>
      <c r="G108" s="245">
        <f t="shared" si="12"/>
        <v>-1.7647331442142145E-2</v>
      </c>
      <c r="I108" s="363">
        <v>2009</v>
      </c>
      <c r="J108" s="364">
        <v>247.2</v>
      </c>
      <c r="K108" s="364">
        <v>242.9</v>
      </c>
      <c r="L108" s="361"/>
      <c r="M108" s="361"/>
    </row>
    <row r="109" spans="2:13" ht="15" customHeight="1" x14ac:dyDescent="0.25">
      <c r="B109" s="226">
        <v>2010</v>
      </c>
      <c r="C109" s="227"/>
      <c r="D109" s="227"/>
      <c r="E109" s="221">
        <f>'[4]Purchased Power Model '!B204/1000000</f>
        <v>250.23937879999997</v>
      </c>
      <c r="F109" s="221">
        <f>'[4]Purchased Power Model '!H204/1000000</f>
        <v>245.54074745753263</v>
      </c>
      <c r="G109" s="245">
        <f t="shared" si="12"/>
        <v>-1.8776546541152683E-2</v>
      </c>
      <c r="I109" s="363">
        <v>2010</v>
      </c>
      <c r="J109" s="364">
        <v>250.2</v>
      </c>
      <c r="K109" s="364">
        <v>245.5</v>
      </c>
      <c r="L109" s="361"/>
      <c r="M109" s="361"/>
    </row>
    <row r="110" spans="2:13" ht="15" customHeight="1" x14ac:dyDescent="0.25">
      <c r="B110" s="226">
        <v>2011</v>
      </c>
      <c r="C110" s="227"/>
      <c r="D110" s="227"/>
      <c r="E110" s="221">
        <f>'[4]Purchased Power Model '!B205/1000000</f>
        <v>246.75816720000003</v>
      </c>
      <c r="F110" s="221">
        <f>'[4]Purchased Power Model '!H205/1000000</f>
        <v>248.01180180632264</v>
      </c>
      <c r="G110" s="245">
        <f t="shared" si="12"/>
        <v>5.0804178866612482E-3</v>
      </c>
      <c r="I110" s="363">
        <v>2011</v>
      </c>
      <c r="J110" s="364">
        <v>246.8</v>
      </c>
      <c r="K110" s="364">
        <v>248</v>
      </c>
      <c r="L110" s="361"/>
      <c r="M110" s="361"/>
    </row>
    <row r="111" spans="2:13" ht="15" customHeight="1" x14ac:dyDescent="0.25">
      <c r="B111" s="226">
        <v>2012</v>
      </c>
      <c r="C111" s="227"/>
      <c r="D111" s="227"/>
      <c r="E111" s="221">
        <f>'[4]Purchased Power Model '!B206/1000000</f>
        <v>245.12983840000004</v>
      </c>
      <c r="F111" s="221">
        <f>'[4]Purchased Power Model '!H206/1000000</f>
        <v>245.99487549027347</v>
      </c>
      <c r="G111" s="245">
        <f t="shared" si="12"/>
        <v>3.5288934873032307E-3</v>
      </c>
      <c r="I111" s="363">
        <v>2012</v>
      </c>
      <c r="J111" s="364">
        <v>245.1</v>
      </c>
      <c r="K111" s="364">
        <v>246</v>
      </c>
      <c r="L111" s="361"/>
      <c r="M111" s="361"/>
    </row>
    <row r="112" spans="2:13" ht="15" customHeight="1" x14ac:dyDescent="0.25">
      <c r="B112" s="226">
        <v>2013</v>
      </c>
      <c r="C112" s="227"/>
      <c r="D112" s="227"/>
      <c r="E112" s="221">
        <f>'[4]Purchased Power Model '!B207/1000000</f>
        <v>245.12983810000003</v>
      </c>
      <c r="F112" s="221">
        <f>'[4]Purchased Power Model '!H207/1000000</f>
        <v>249.47350449720372</v>
      </c>
      <c r="G112" s="245">
        <f t="shared" si="12"/>
        <v>1.7719859935744431E-2</v>
      </c>
      <c r="I112" s="363">
        <v>2013</v>
      </c>
      <c r="J112" s="365">
        <v>245.1</v>
      </c>
      <c r="K112" s="365">
        <v>249.5</v>
      </c>
      <c r="L112" s="361"/>
      <c r="M112" s="361"/>
    </row>
    <row r="113" spans="2:13" ht="15" customHeight="1" x14ac:dyDescent="0.25">
      <c r="B113" s="226">
        <v>2014</v>
      </c>
      <c r="C113" s="227"/>
      <c r="D113" s="227"/>
      <c r="E113" s="221">
        <f>'[4]Purchased Power Model '!B208/1000000</f>
        <v>253.254985</v>
      </c>
      <c r="F113" s="221">
        <f>'[4]Purchased Power Model '!H208/1000000</f>
        <v>254.22526615011216</v>
      </c>
      <c r="G113" s="245">
        <f t="shared" si="12"/>
        <v>3.8312420587185425E-3</v>
      </c>
      <c r="I113" s="363">
        <v>2014</v>
      </c>
      <c r="J113" s="365">
        <v>253.3</v>
      </c>
      <c r="K113" s="365">
        <v>254.2</v>
      </c>
      <c r="L113" s="361"/>
      <c r="M113" s="361"/>
    </row>
    <row r="114" spans="2:13" ht="15" customHeight="1" x14ac:dyDescent="0.25">
      <c r="B114" s="226">
        <v>2015</v>
      </c>
      <c r="C114" s="227"/>
      <c r="D114" s="227"/>
      <c r="E114" s="221">
        <f>'[4]Purchased Power Model '!B209/1000000</f>
        <v>255.186387</v>
      </c>
      <c r="F114" s="221">
        <f>'[4]Purchased Power Model '!H209/1000000</f>
        <v>255.09571396550572</v>
      </c>
      <c r="G114" s="245">
        <f t="shared" si="12"/>
        <v>-3.553208129957186E-4</v>
      </c>
      <c r="I114" s="363">
        <v>2015</v>
      </c>
      <c r="J114" s="365">
        <v>255.2</v>
      </c>
      <c r="K114" s="365">
        <v>255.1</v>
      </c>
      <c r="L114" s="361"/>
      <c r="M114" s="361"/>
    </row>
    <row r="115" spans="2:13" ht="15" customHeight="1" x14ac:dyDescent="0.25">
      <c r="B115" s="380" t="str">
        <f>B84</f>
        <v>2016 Bridge - Normalized</v>
      </c>
      <c r="C115" s="381"/>
      <c r="D115" s="381"/>
      <c r="E115" s="382"/>
      <c r="F115" s="221">
        <f>'[4]Purchased Power Model '!H210/1000000</f>
        <v>258.77313543857593</v>
      </c>
      <c r="G115" s="245"/>
      <c r="I115" s="246"/>
      <c r="J115"/>
      <c r="K115"/>
    </row>
    <row r="116" spans="2:13" ht="15" customHeight="1" x14ac:dyDescent="0.25">
      <c r="B116" s="380" t="str">
        <f>B85</f>
        <v>2017 Test - Normalized</v>
      </c>
      <c r="C116" s="381"/>
      <c r="D116" s="381"/>
      <c r="E116" s="382"/>
      <c r="F116" s="221">
        <f>'[4]Purchased Power Model '!H211/1000000</f>
        <v>261.7628950309728</v>
      </c>
      <c r="G116" s="245"/>
      <c r="I116" s="246"/>
      <c r="J116"/>
      <c r="K116"/>
    </row>
    <row r="117" spans="2:13" ht="15" customHeight="1" x14ac:dyDescent="0.25">
      <c r="B117" s="380" t="s">
        <v>264</v>
      </c>
      <c r="C117" s="381"/>
      <c r="D117" s="381"/>
      <c r="E117" s="382"/>
      <c r="F117" s="221">
        <f>'[4]Purchased Power Model '!I235/1000000</f>
        <v>262.41764658603654</v>
      </c>
      <c r="G117" s="245"/>
      <c r="J117"/>
      <c r="K117"/>
    </row>
    <row r="118" spans="2:13" ht="15" customHeight="1" x14ac:dyDescent="0.25">
      <c r="B118" s="229"/>
      <c r="C118" s="229"/>
      <c r="D118" s="229"/>
      <c r="E118" s="229"/>
      <c r="F118" s="304"/>
      <c r="G118" s="311"/>
      <c r="J118"/>
      <c r="K118"/>
    </row>
    <row r="119" spans="2:13" ht="15" customHeight="1" x14ac:dyDescent="0.25">
      <c r="B119" s="210" t="s">
        <v>265</v>
      </c>
      <c r="C119" s="229"/>
      <c r="D119" s="229"/>
      <c r="E119" s="229"/>
      <c r="F119" s="304"/>
      <c r="G119" s="311"/>
      <c r="J119"/>
      <c r="K119"/>
    </row>
    <row r="120" spans="2:13" ht="20.399999999999999" x14ac:dyDescent="0.25">
      <c r="B120" s="337" t="s">
        <v>190</v>
      </c>
      <c r="C120" s="338"/>
      <c r="D120" s="338"/>
      <c r="E120" s="336" t="s">
        <v>253</v>
      </c>
      <c r="F120" s="336" t="s">
        <v>1</v>
      </c>
      <c r="G120" s="336" t="s">
        <v>266</v>
      </c>
      <c r="J120"/>
      <c r="K120"/>
    </row>
    <row r="121" spans="2:13" ht="15" customHeight="1" x14ac:dyDescent="0.25">
      <c r="B121" s="226" t="str">
        <f>B115</f>
        <v>2016 Bridge - Normalized</v>
      </c>
      <c r="C121" s="227"/>
      <c r="D121" s="227"/>
      <c r="E121" s="312">
        <f>F115</f>
        <v>258.77313543857593</v>
      </c>
      <c r="F121" s="313">
        <f>'[4]Rate Class Energy Model'!$F$26</f>
        <v>1.0721296464596082</v>
      </c>
      <c r="G121" s="300">
        <f>E121/F121</f>
        <v>241.36365997628911</v>
      </c>
      <c r="H121"/>
      <c r="J121"/>
      <c r="K121"/>
    </row>
    <row r="122" spans="2:13" ht="15" customHeight="1" x14ac:dyDescent="0.25">
      <c r="B122" s="226" t="str">
        <f>B116</f>
        <v>2017 Test - Normalized</v>
      </c>
      <c r="C122" s="227"/>
      <c r="D122" s="227"/>
      <c r="E122" s="312">
        <f>F116</f>
        <v>261.7628950309728</v>
      </c>
      <c r="F122" s="313">
        <f>'[4]Rate Class Energy Model'!$F$26</f>
        <v>1.0721296464596082</v>
      </c>
      <c r="G122" s="300">
        <f t="shared" ref="G122" si="13">E122/F122</f>
        <v>244.15227756770605</v>
      </c>
      <c r="H122"/>
      <c r="J122"/>
      <c r="K122"/>
    </row>
    <row r="123" spans="2:13" ht="15" customHeight="1" x14ac:dyDescent="0.25">
      <c r="B123" s="212"/>
      <c r="C123" s="212"/>
      <c r="D123" s="212"/>
    </row>
    <row r="124" spans="2:13" ht="15" customHeight="1" x14ac:dyDescent="0.25">
      <c r="B124" s="210" t="s">
        <v>267</v>
      </c>
      <c r="C124" s="210"/>
      <c r="D124" s="210"/>
      <c r="E124" s="211"/>
      <c r="F124" s="211"/>
      <c r="G124" s="211"/>
      <c r="H124" s="211"/>
      <c r="I124" s="211"/>
      <c r="J124" s="211"/>
    </row>
    <row r="125" spans="2:13" ht="30.6" x14ac:dyDescent="0.25">
      <c r="B125" s="337" t="s">
        <v>190</v>
      </c>
      <c r="C125" s="338"/>
      <c r="D125" s="338"/>
      <c r="E125" s="336" t="str">
        <f t="shared" ref="E125:J125" si="14">E69</f>
        <v>Residential</v>
      </c>
      <c r="F125" s="336" t="str">
        <f t="shared" si="14"/>
        <v>General Service &lt; 50 kW</v>
      </c>
      <c r="G125" s="336" t="str">
        <f t="shared" si="14"/>
        <v>General Service 50 to 4,999 kW</v>
      </c>
      <c r="H125" s="336" t="str">
        <f t="shared" si="14"/>
        <v xml:space="preserve">Sentinel Lighting </v>
      </c>
      <c r="I125" s="336" t="str">
        <f t="shared" si="14"/>
        <v>Street Lighting</v>
      </c>
      <c r="J125" s="336" t="str">
        <f t="shared" si="14"/>
        <v>Unmetered Scattered Load</v>
      </c>
      <c r="K125" s="336" t="s">
        <v>9</v>
      </c>
    </row>
    <row r="126" spans="2:13" ht="15" customHeight="1" x14ac:dyDescent="0.25">
      <c r="B126" s="375" t="s">
        <v>204</v>
      </c>
      <c r="C126" s="375"/>
      <c r="D126" s="375"/>
      <c r="E126" s="375"/>
      <c r="F126" s="375"/>
      <c r="G126" s="375"/>
      <c r="H126" s="375"/>
      <c r="I126" s="375"/>
      <c r="J126" s="375"/>
      <c r="K126" s="375"/>
    </row>
    <row r="127" spans="2:13" ht="15" customHeight="1" x14ac:dyDescent="0.25">
      <c r="B127" s="226">
        <f t="shared" ref="B127:B136" si="15">B105</f>
        <v>2006</v>
      </c>
      <c r="C127" s="227"/>
      <c r="D127" s="227"/>
      <c r="E127" s="247">
        <f t="shared" ref="E127:J136" si="16">E55</f>
        <v>12867</v>
      </c>
      <c r="F127" s="247">
        <f t="shared" si="16"/>
        <v>797</v>
      </c>
      <c r="G127" s="247">
        <f t="shared" si="16"/>
        <v>80</v>
      </c>
      <c r="H127" s="247">
        <f t="shared" si="16"/>
        <v>189</v>
      </c>
      <c r="I127" s="247">
        <f t="shared" si="16"/>
        <v>2371</v>
      </c>
      <c r="J127" s="247">
        <f t="shared" si="16"/>
        <v>90</v>
      </c>
      <c r="K127" s="224">
        <f>SUM(E127:J127)</f>
        <v>16394</v>
      </c>
      <c r="L127" s="239"/>
      <c r="M127" s="239"/>
    </row>
    <row r="128" spans="2:13" ht="15" customHeight="1" x14ac:dyDescent="0.25">
      <c r="B128" s="226">
        <f t="shared" si="15"/>
        <v>2007</v>
      </c>
      <c r="C128" s="227"/>
      <c r="D128" s="227"/>
      <c r="E128" s="247">
        <f t="shared" si="16"/>
        <v>12991</v>
      </c>
      <c r="F128" s="247">
        <f t="shared" si="16"/>
        <v>819</v>
      </c>
      <c r="G128" s="247">
        <f t="shared" si="16"/>
        <v>71</v>
      </c>
      <c r="H128" s="247">
        <f t="shared" si="16"/>
        <v>186</v>
      </c>
      <c r="I128" s="247">
        <f t="shared" si="16"/>
        <v>2489</v>
      </c>
      <c r="J128" s="247">
        <f t="shared" si="16"/>
        <v>89</v>
      </c>
      <c r="K128" s="224">
        <f t="shared" ref="K128:K136" si="17">SUM(E128:J128)</f>
        <v>16645</v>
      </c>
      <c r="L128" s="239"/>
      <c r="M128" s="239"/>
    </row>
    <row r="129" spans="2:22" ht="15" customHeight="1" x14ac:dyDescent="0.25">
      <c r="B129" s="226">
        <f t="shared" si="15"/>
        <v>2008</v>
      </c>
      <c r="C129" s="227"/>
      <c r="D129" s="227"/>
      <c r="E129" s="247">
        <f t="shared" si="16"/>
        <v>13277</v>
      </c>
      <c r="F129" s="247">
        <f t="shared" si="16"/>
        <v>836</v>
      </c>
      <c r="G129" s="247">
        <f t="shared" si="16"/>
        <v>73</v>
      </c>
      <c r="H129" s="247">
        <f t="shared" si="16"/>
        <v>186</v>
      </c>
      <c r="I129" s="247">
        <f t="shared" si="16"/>
        <v>2588</v>
      </c>
      <c r="J129" s="247">
        <f t="shared" si="16"/>
        <v>84</v>
      </c>
      <c r="K129" s="224">
        <f t="shared" si="17"/>
        <v>17044</v>
      </c>
      <c r="L129" s="239"/>
      <c r="M129" s="239"/>
    </row>
    <row r="130" spans="2:22" ht="15" customHeight="1" x14ac:dyDescent="0.25">
      <c r="B130" s="226">
        <f t="shared" si="15"/>
        <v>2009</v>
      </c>
      <c r="C130" s="227"/>
      <c r="D130" s="227"/>
      <c r="E130" s="247">
        <f t="shared" si="16"/>
        <v>13533</v>
      </c>
      <c r="F130" s="247">
        <f t="shared" si="16"/>
        <v>855</v>
      </c>
      <c r="G130" s="247">
        <f t="shared" si="16"/>
        <v>72</v>
      </c>
      <c r="H130" s="247">
        <f t="shared" si="16"/>
        <v>193</v>
      </c>
      <c r="I130" s="247">
        <f t="shared" si="16"/>
        <v>2625</v>
      </c>
      <c r="J130" s="247">
        <f t="shared" si="16"/>
        <v>83</v>
      </c>
      <c r="K130" s="224">
        <f t="shared" si="17"/>
        <v>17361</v>
      </c>
      <c r="L130" s="239"/>
      <c r="M130" s="239"/>
    </row>
    <row r="131" spans="2:22" ht="15" customHeight="1" x14ac:dyDescent="0.25">
      <c r="B131" s="226">
        <f t="shared" si="15"/>
        <v>2010</v>
      </c>
      <c r="C131" s="227"/>
      <c r="D131" s="227"/>
      <c r="E131" s="247">
        <f t="shared" si="16"/>
        <v>13651</v>
      </c>
      <c r="F131" s="247">
        <f t="shared" si="16"/>
        <v>865</v>
      </c>
      <c r="G131" s="247">
        <f t="shared" si="16"/>
        <v>68</v>
      </c>
      <c r="H131" s="247">
        <f t="shared" si="16"/>
        <v>201</v>
      </c>
      <c r="I131" s="247">
        <f t="shared" si="16"/>
        <v>2685</v>
      </c>
      <c r="J131" s="247">
        <f t="shared" si="16"/>
        <v>82</v>
      </c>
      <c r="K131" s="224">
        <f t="shared" si="17"/>
        <v>17552</v>
      </c>
      <c r="L131" s="239"/>
      <c r="M131" s="239"/>
    </row>
    <row r="132" spans="2:22" ht="15" customHeight="1" x14ac:dyDescent="0.25">
      <c r="B132" s="226">
        <f t="shared" si="15"/>
        <v>2011</v>
      </c>
      <c r="C132" s="227"/>
      <c r="D132" s="227"/>
      <c r="E132" s="247">
        <f t="shared" si="16"/>
        <v>13779</v>
      </c>
      <c r="F132" s="247">
        <f t="shared" si="16"/>
        <v>896</v>
      </c>
      <c r="G132" s="247">
        <f t="shared" si="16"/>
        <v>67</v>
      </c>
      <c r="H132" s="247">
        <f t="shared" si="16"/>
        <v>225</v>
      </c>
      <c r="I132" s="247">
        <f t="shared" si="16"/>
        <v>2728</v>
      </c>
      <c r="J132" s="247">
        <f t="shared" si="16"/>
        <v>81</v>
      </c>
      <c r="K132" s="224">
        <f t="shared" si="17"/>
        <v>17776</v>
      </c>
      <c r="L132" s="239"/>
      <c r="M132" s="239"/>
    </row>
    <row r="133" spans="2:22" ht="15" customHeight="1" x14ac:dyDescent="0.25">
      <c r="B133" s="226">
        <f t="shared" si="15"/>
        <v>2012</v>
      </c>
      <c r="C133" s="227"/>
      <c r="D133" s="227"/>
      <c r="E133" s="247">
        <f t="shared" si="16"/>
        <v>13942.916666666666</v>
      </c>
      <c r="F133" s="247">
        <f t="shared" si="16"/>
        <v>913.75</v>
      </c>
      <c r="G133" s="247">
        <f t="shared" si="16"/>
        <v>67.916666666666671</v>
      </c>
      <c r="H133" s="247">
        <f t="shared" si="16"/>
        <v>172.08333333333334</v>
      </c>
      <c r="I133" s="247">
        <f t="shared" si="16"/>
        <v>2728</v>
      </c>
      <c r="J133" s="247">
        <f t="shared" si="16"/>
        <v>78.666666666666671</v>
      </c>
      <c r="K133" s="224">
        <f t="shared" si="17"/>
        <v>17903.333333333332</v>
      </c>
      <c r="L133" s="239"/>
      <c r="M133" s="239"/>
    </row>
    <row r="134" spans="2:22" ht="15" customHeight="1" x14ac:dyDescent="0.25">
      <c r="B134" s="226">
        <f t="shared" si="15"/>
        <v>2013</v>
      </c>
      <c r="C134" s="227"/>
      <c r="D134" s="227"/>
      <c r="E134" s="247">
        <f t="shared" si="16"/>
        <v>14181</v>
      </c>
      <c r="F134" s="247">
        <f t="shared" si="16"/>
        <v>949.25</v>
      </c>
      <c r="G134" s="247">
        <f t="shared" si="16"/>
        <v>67</v>
      </c>
      <c r="H134" s="247">
        <f t="shared" si="16"/>
        <v>168</v>
      </c>
      <c r="I134" s="247">
        <f t="shared" si="16"/>
        <v>2843.3333333333335</v>
      </c>
      <c r="J134" s="247">
        <f t="shared" si="16"/>
        <v>77.583333333333329</v>
      </c>
      <c r="K134" s="224">
        <f t="shared" si="17"/>
        <v>18286.166666666664</v>
      </c>
      <c r="L134" s="239"/>
      <c r="M134" s="239"/>
    </row>
    <row r="135" spans="2:22" ht="15" customHeight="1" x14ac:dyDescent="0.25">
      <c r="B135" s="226">
        <f t="shared" si="15"/>
        <v>2014</v>
      </c>
      <c r="C135" s="227"/>
      <c r="D135" s="227"/>
      <c r="E135" s="247">
        <f t="shared" si="16"/>
        <v>14509.166666666666</v>
      </c>
      <c r="F135" s="247">
        <f t="shared" si="16"/>
        <v>991.25</v>
      </c>
      <c r="G135" s="247">
        <f t="shared" si="16"/>
        <v>67.166666666666671</v>
      </c>
      <c r="H135" s="247">
        <f t="shared" si="16"/>
        <v>169.41666666666666</v>
      </c>
      <c r="I135" s="247">
        <f t="shared" si="16"/>
        <v>2923.3333333333335</v>
      </c>
      <c r="J135" s="247">
        <f t="shared" si="16"/>
        <v>75.583333333333329</v>
      </c>
      <c r="K135" s="224">
        <f t="shared" si="17"/>
        <v>18735.916666666664</v>
      </c>
      <c r="L135" s="239"/>
      <c r="M135" s="239"/>
    </row>
    <row r="136" spans="2:22" ht="15" customHeight="1" x14ac:dyDescent="0.25">
      <c r="B136" s="226">
        <f t="shared" si="15"/>
        <v>2015</v>
      </c>
      <c r="C136" s="227"/>
      <c r="D136" s="227"/>
      <c r="E136" s="247">
        <f t="shared" si="16"/>
        <v>14861.583333333334</v>
      </c>
      <c r="F136" s="247">
        <f t="shared" si="16"/>
        <v>1000.5833333333334</v>
      </c>
      <c r="G136" s="247">
        <f t="shared" si="16"/>
        <v>71.5</v>
      </c>
      <c r="H136" s="247">
        <f t="shared" si="16"/>
        <v>165.75</v>
      </c>
      <c r="I136" s="247">
        <f t="shared" si="16"/>
        <v>2897.6666666666665</v>
      </c>
      <c r="J136" s="247">
        <f t="shared" si="16"/>
        <v>76</v>
      </c>
      <c r="K136" s="224">
        <f t="shared" si="17"/>
        <v>19073.083333333336</v>
      </c>
      <c r="L136" s="239"/>
      <c r="M136" s="239"/>
    </row>
    <row r="137" spans="2:22" ht="15" customHeight="1" x14ac:dyDescent="0.25">
      <c r="B137" s="212"/>
      <c r="C137" s="212"/>
      <c r="D137" s="212"/>
    </row>
    <row r="138" spans="2:22" ht="15" customHeight="1" x14ac:dyDescent="0.25">
      <c r="B138" s="210" t="s">
        <v>268</v>
      </c>
      <c r="C138" s="210"/>
      <c r="D138" s="210"/>
      <c r="E138" s="211"/>
      <c r="F138" s="211"/>
      <c r="G138" s="211"/>
      <c r="H138" s="211"/>
      <c r="I138" s="211"/>
      <c r="J138" s="211"/>
    </row>
    <row r="139" spans="2:22" ht="30.6" x14ac:dyDescent="0.25">
      <c r="B139" s="337" t="s">
        <v>190</v>
      </c>
      <c r="C139" s="338"/>
      <c r="D139" s="338"/>
      <c r="E139" s="336" t="str">
        <f>E125</f>
        <v>Residential</v>
      </c>
      <c r="F139" s="336" t="str">
        <f t="shared" ref="F139:J139" si="18">F125</f>
        <v>General Service &lt; 50 kW</v>
      </c>
      <c r="G139" s="336" t="str">
        <f t="shared" si="18"/>
        <v>General Service 50 to 4,999 kW</v>
      </c>
      <c r="H139" s="336" t="str">
        <f t="shared" si="18"/>
        <v xml:space="preserve">Sentinel Lighting </v>
      </c>
      <c r="I139" s="336" t="str">
        <f t="shared" si="18"/>
        <v>Street Lighting</v>
      </c>
      <c r="J139" s="336" t="str">
        <f t="shared" si="18"/>
        <v>Unmetered Scattered Load</v>
      </c>
      <c r="K139"/>
      <c r="V139" s="239"/>
    </row>
    <row r="140" spans="2:22" ht="15" customHeight="1" x14ac:dyDescent="0.25">
      <c r="B140" s="375" t="s">
        <v>216</v>
      </c>
      <c r="C140" s="375"/>
      <c r="D140" s="375"/>
      <c r="E140" s="375"/>
      <c r="F140" s="375"/>
      <c r="G140" s="375"/>
      <c r="H140" s="375"/>
      <c r="I140" s="375"/>
      <c r="J140" s="375"/>
      <c r="V140" s="239"/>
    </row>
    <row r="141" spans="2:22" ht="15" customHeight="1" x14ac:dyDescent="0.25">
      <c r="B141" s="250">
        <f t="shared" ref="B141:B150" si="19">B127</f>
        <v>2006</v>
      </c>
      <c r="C141" s="252"/>
      <c r="D141" s="252"/>
      <c r="E141" s="299"/>
      <c r="F141" s="299"/>
      <c r="G141" s="299"/>
      <c r="H141" s="299"/>
      <c r="I141" s="299"/>
      <c r="J141" s="271"/>
    </row>
    <row r="142" spans="2:22" ht="15" customHeight="1" x14ac:dyDescent="0.25">
      <c r="B142" s="226">
        <f t="shared" si="19"/>
        <v>2007</v>
      </c>
      <c r="C142" s="227"/>
      <c r="D142" s="227"/>
      <c r="E142" s="242">
        <f t="shared" ref="E142:J150" si="20">E128/E127-1</f>
        <v>9.6370560348177925E-3</v>
      </c>
      <c r="F142" s="242">
        <f t="shared" si="20"/>
        <v>2.7603513174403904E-2</v>
      </c>
      <c r="G142" s="242">
        <f t="shared" si="20"/>
        <v>-0.11250000000000004</v>
      </c>
      <c r="H142" s="242">
        <f t="shared" si="20"/>
        <v>-1.5873015873015928E-2</v>
      </c>
      <c r="I142" s="242">
        <f t="shared" si="20"/>
        <v>4.9768030366933891E-2</v>
      </c>
      <c r="J142" s="242">
        <f t="shared" si="20"/>
        <v>-1.1111111111111072E-2</v>
      </c>
    </row>
    <row r="143" spans="2:22" ht="15" customHeight="1" x14ac:dyDescent="0.25">
      <c r="B143" s="226">
        <f t="shared" si="19"/>
        <v>2008</v>
      </c>
      <c r="C143" s="227"/>
      <c r="D143" s="227"/>
      <c r="E143" s="242">
        <f t="shared" si="20"/>
        <v>2.201524132091448E-2</v>
      </c>
      <c r="F143" s="242">
        <f t="shared" si="20"/>
        <v>2.0757020757020683E-2</v>
      </c>
      <c r="G143" s="242">
        <f t="shared" si="20"/>
        <v>2.8169014084507005E-2</v>
      </c>
      <c r="H143" s="242">
        <f t="shared" si="20"/>
        <v>0</v>
      </c>
      <c r="I143" s="242">
        <f t="shared" si="20"/>
        <v>3.9775010044194481E-2</v>
      </c>
      <c r="J143" s="242">
        <f t="shared" si="20"/>
        <v>-5.6179775280898903E-2</v>
      </c>
    </row>
    <row r="144" spans="2:22" ht="15" customHeight="1" x14ac:dyDescent="0.25">
      <c r="B144" s="226">
        <f t="shared" si="19"/>
        <v>2009</v>
      </c>
      <c r="C144" s="227"/>
      <c r="D144" s="227"/>
      <c r="E144" s="242">
        <f t="shared" si="20"/>
        <v>1.9281464186186703E-2</v>
      </c>
      <c r="F144" s="242">
        <f t="shared" si="20"/>
        <v>2.2727272727272707E-2</v>
      </c>
      <c r="G144" s="242">
        <f t="shared" si="20"/>
        <v>-1.3698630136986356E-2</v>
      </c>
      <c r="H144" s="242">
        <f t="shared" si="20"/>
        <v>3.7634408602150504E-2</v>
      </c>
      <c r="I144" s="242">
        <f t="shared" si="20"/>
        <v>1.4296754250386456E-2</v>
      </c>
      <c r="J144" s="242">
        <f t="shared" si="20"/>
        <v>-1.1904761904761862E-2</v>
      </c>
    </row>
    <row r="145" spans="2:12" ht="15" customHeight="1" x14ac:dyDescent="0.25">
      <c r="B145" s="226">
        <f t="shared" si="19"/>
        <v>2010</v>
      </c>
      <c r="C145" s="227"/>
      <c r="D145" s="227"/>
      <c r="E145" s="242">
        <f t="shared" si="20"/>
        <v>8.719426586861756E-3</v>
      </c>
      <c r="F145" s="242">
        <f t="shared" si="20"/>
        <v>1.1695906432748648E-2</v>
      </c>
      <c r="G145" s="242">
        <f t="shared" si="20"/>
        <v>-5.555555555555558E-2</v>
      </c>
      <c r="H145" s="242">
        <f t="shared" si="20"/>
        <v>4.1450777202072464E-2</v>
      </c>
      <c r="I145" s="242">
        <f t="shared" si="20"/>
        <v>2.2857142857142909E-2</v>
      </c>
      <c r="J145" s="242">
        <f t="shared" si="20"/>
        <v>-1.2048192771084376E-2</v>
      </c>
    </row>
    <row r="146" spans="2:12" ht="15" customHeight="1" x14ac:dyDescent="0.25">
      <c r="B146" s="226">
        <f t="shared" si="19"/>
        <v>2011</v>
      </c>
      <c r="C146" s="227"/>
      <c r="D146" s="227"/>
      <c r="E146" s="242">
        <f t="shared" si="20"/>
        <v>9.3766024467072384E-3</v>
      </c>
      <c r="F146" s="242">
        <f t="shared" si="20"/>
        <v>3.5838150289017268E-2</v>
      </c>
      <c r="G146" s="242">
        <f t="shared" si="20"/>
        <v>-1.4705882352941124E-2</v>
      </c>
      <c r="H146" s="242">
        <f t="shared" si="20"/>
        <v>0.11940298507462677</v>
      </c>
      <c r="I146" s="242">
        <f t="shared" si="20"/>
        <v>1.6014897579143428E-2</v>
      </c>
      <c r="J146" s="242">
        <f t="shared" si="20"/>
        <v>-1.2195121951219523E-2</v>
      </c>
    </row>
    <row r="147" spans="2:12" ht="15" customHeight="1" x14ac:dyDescent="0.25">
      <c r="B147" s="226">
        <f t="shared" si="19"/>
        <v>2012</v>
      </c>
      <c r="C147" s="227"/>
      <c r="D147" s="227"/>
      <c r="E147" s="242">
        <f t="shared" si="20"/>
        <v>1.1896122118199237E-2</v>
      </c>
      <c r="F147" s="242">
        <f t="shared" si="20"/>
        <v>1.9810267857142794E-2</v>
      </c>
      <c r="G147" s="242">
        <f t="shared" si="20"/>
        <v>1.3681592039801016E-2</v>
      </c>
      <c r="H147" s="242">
        <f t="shared" si="20"/>
        <v>-0.23518518518518516</v>
      </c>
      <c r="I147" s="242">
        <f t="shared" si="20"/>
        <v>0</v>
      </c>
      <c r="J147" s="242">
        <f t="shared" si="20"/>
        <v>-2.8806584362139898E-2</v>
      </c>
    </row>
    <row r="148" spans="2:12" ht="15" customHeight="1" x14ac:dyDescent="0.25">
      <c r="B148" s="226">
        <f t="shared" si="19"/>
        <v>2013</v>
      </c>
      <c r="C148" s="227"/>
      <c r="D148" s="227"/>
      <c r="E148" s="242">
        <f t="shared" si="20"/>
        <v>1.7075576009323745E-2</v>
      </c>
      <c r="F148" s="242">
        <f t="shared" si="20"/>
        <v>3.8850889192886484E-2</v>
      </c>
      <c r="G148" s="242">
        <f t="shared" si="20"/>
        <v>-1.3496932515337456E-2</v>
      </c>
      <c r="H148" s="242">
        <f t="shared" si="20"/>
        <v>-2.3728813559322104E-2</v>
      </c>
      <c r="I148" s="242">
        <f t="shared" si="20"/>
        <v>4.2277614858259982E-2</v>
      </c>
      <c r="J148" s="242">
        <f t="shared" si="20"/>
        <v>-1.3771186440678096E-2</v>
      </c>
    </row>
    <row r="149" spans="2:12" ht="15" customHeight="1" x14ac:dyDescent="0.25">
      <c r="B149" s="226">
        <f t="shared" si="19"/>
        <v>2014</v>
      </c>
      <c r="C149" s="227"/>
      <c r="D149" s="227"/>
      <c r="E149" s="242">
        <f t="shared" si="20"/>
        <v>2.314129233951534E-2</v>
      </c>
      <c r="F149" s="242">
        <f t="shared" si="20"/>
        <v>4.4245456939689287E-2</v>
      </c>
      <c r="G149" s="242">
        <f t="shared" si="20"/>
        <v>2.4875621890547706E-3</v>
      </c>
      <c r="H149" s="242">
        <f t="shared" si="20"/>
        <v>8.4325396825395416E-3</v>
      </c>
      <c r="I149" s="242">
        <f t="shared" si="20"/>
        <v>2.8135990621336537E-2</v>
      </c>
      <c r="J149" s="242">
        <f t="shared" si="20"/>
        <v>-2.5778732545649885E-2</v>
      </c>
    </row>
    <row r="150" spans="2:12" ht="15" customHeight="1" x14ac:dyDescent="0.25">
      <c r="B150" s="226">
        <f t="shared" si="19"/>
        <v>2015</v>
      </c>
      <c r="C150" s="227"/>
      <c r="D150" s="227"/>
      <c r="E150" s="242">
        <f t="shared" si="20"/>
        <v>2.4289242432944835E-2</v>
      </c>
      <c r="F150" s="242">
        <f t="shared" si="20"/>
        <v>9.4157208911307411E-3</v>
      </c>
      <c r="G150" s="242">
        <f t="shared" si="20"/>
        <v>6.4516129032258007E-2</v>
      </c>
      <c r="H150" s="242">
        <f t="shared" si="20"/>
        <v>-2.1642892277422443E-2</v>
      </c>
      <c r="I150" s="242">
        <f t="shared" si="20"/>
        <v>-8.7799315849488302E-3</v>
      </c>
      <c r="J150" s="242">
        <f t="shared" si="20"/>
        <v>5.5126791620727644E-3</v>
      </c>
    </row>
    <row r="151" spans="2:12" ht="15" customHeight="1" x14ac:dyDescent="0.25">
      <c r="B151" s="226" t="s">
        <v>269</v>
      </c>
      <c r="C151" s="227"/>
      <c r="D151" s="227"/>
      <c r="E151" s="242">
        <f>'[4]Rate Class Customer Model'!B33-1</f>
        <v>1.6141521386528135E-2</v>
      </c>
      <c r="F151" s="242">
        <f>'[4]Rate Class Customer Model'!C33-1</f>
        <v>2.5598119597636471E-2</v>
      </c>
      <c r="G151" s="242">
        <f>'[4]Rate Class Customer Model'!D33-1</f>
        <v>-1.240345564738432E-2</v>
      </c>
      <c r="H151" s="242">
        <f>'[4]Rate Class Customer Model'!E33-1</f>
        <v>-1.4479305869319559E-2</v>
      </c>
      <c r="I151" s="242">
        <f>'[4]Rate Class Customer Model'!F33-1</f>
        <v>2.2538461257856524E-2</v>
      </c>
      <c r="J151" s="242">
        <f>'[4]Rate Class Customer Model'!G33-1</f>
        <v>-1.8610896980584268E-2</v>
      </c>
    </row>
    <row r="152" spans="2:12" ht="15" customHeight="1" x14ac:dyDescent="0.25">
      <c r="B152" s="212"/>
      <c r="C152" s="212"/>
      <c r="D152" s="212"/>
      <c r="E152" s="248"/>
      <c r="F152" s="248"/>
      <c r="G152" s="248"/>
      <c r="H152" s="248"/>
      <c r="I152" s="248"/>
      <c r="J152" s="248"/>
      <c r="K152" s="248"/>
    </row>
    <row r="153" spans="2:12" ht="15" customHeight="1" x14ac:dyDescent="0.25">
      <c r="B153" s="210" t="s">
        <v>270</v>
      </c>
      <c r="C153" s="210"/>
      <c r="D153" s="210"/>
      <c r="E153" s="211"/>
      <c r="F153" s="211"/>
      <c r="G153" s="211"/>
      <c r="H153" s="211"/>
      <c r="I153" s="211"/>
    </row>
    <row r="154" spans="2:12" ht="30.6" x14ac:dyDescent="0.25">
      <c r="B154" s="395" t="s">
        <v>190</v>
      </c>
      <c r="C154" s="396"/>
      <c r="D154" s="397"/>
      <c r="E154" s="336" t="str">
        <f>E139</f>
        <v>Residential</v>
      </c>
      <c r="F154" s="336" t="str">
        <f t="shared" ref="F154:J154" si="21">F139</f>
        <v>General Service &lt; 50 kW</v>
      </c>
      <c r="G154" s="336" t="str">
        <f t="shared" si="21"/>
        <v>General Service 50 to 4,999 kW</v>
      </c>
      <c r="H154" s="336" t="str">
        <f t="shared" si="21"/>
        <v xml:space="preserve">Sentinel Lighting </v>
      </c>
      <c r="I154" s="336" t="str">
        <f t="shared" si="21"/>
        <v>Street Lighting</v>
      </c>
      <c r="J154" s="336" t="str">
        <f t="shared" si="21"/>
        <v>Unmetered Scattered Load</v>
      </c>
      <c r="K154" s="336" t="s">
        <v>9</v>
      </c>
    </row>
    <row r="155" spans="2:12" x14ac:dyDescent="0.25">
      <c r="B155" s="214" t="s">
        <v>217</v>
      </c>
      <c r="C155" s="214"/>
      <c r="D155" s="215"/>
      <c r="E155" s="215"/>
      <c r="F155" s="215"/>
      <c r="G155" s="215"/>
      <c r="H155" s="215"/>
      <c r="I155" s="215"/>
      <c r="K155" s="249"/>
    </row>
    <row r="156" spans="2:12" ht="13.2" x14ac:dyDescent="0.25">
      <c r="B156" s="367">
        <v>2016</v>
      </c>
      <c r="C156" s="368"/>
      <c r="D156" s="369"/>
      <c r="E156" s="218">
        <f>E65</f>
        <v>15419</v>
      </c>
      <c r="F156" s="218">
        <f>ROUND(F136*(1+F151),0)</f>
        <v>1026</v>
      </c>
      <c r="G156" s="218">
        <f>G136</f>
        <v>71.5</v>
      </c>
      <c r="H156" s="218">
        <f>ROUND(H136*(1+H151),0)</f>
        <v>163</v>
      </c>
      <c r="I156" s="218">
        <f>ROUND(I136*(1+I151),0)</f>
        <v>2963</v>
      </c>
      <c r="J156" s="218">
        <f>ROUND(J136*(1+J151),0)</f>
        <v>75</v>
      </c>
      <c r="K156" s="224">
        <f>SUM(E156:J156)</f>
        <v>19717.5</v>
      </c>
      <c r="L156"/>
    </row>
    <row r="157" spans="2:12" ht="13.2" x14ac:dyDescent="0.25">
      <c r="B157" s="367">
        <v>2017</v>
      </c>
      <c r="C157" s="368"/>
      <c r="D157" s="369"/>
      <c r="E157" s="218">
        <f>E66</f>
        <v>15930</v>
      </c>
      <c r="F157" s="218">
        <f>ROUND(F156*(1+F151),0)</f>
        <v>1052</v>
      </c>
      <c r="G157" s="218">
        <f>G156</f>
        <v>71.5</v>
      </c>
      <c r="H157" s="218">
        <f>ROUND(H156*(1+H151),0)</f>
        <v>161</v>
      </c>
      <c r="I157" s="218">
        <f>ROUND(I156*(1+I151),0)</f>
        <v>3030</v>
      </c>
      <c r="J157" s="218">
        <f>ROUND(J156*(1+J151),0)</f>
        <v>74</v>
      </c>
      <c r="K157" s="224">
        <f t="shared" ref="K157" si="22">SUM(E157:J157)</f>
        <v>20318.5</v>
      </c>
      <c r="L157"/>
    </row>
    <row r="158" spans="2:12" x14ac:dyDescent="0.25">
      <c r="B158" s="314"/>
      <c r="C158" s="314"/>
      <c r="D158" s="314"/>
      <c r="E158" s="251"/>
      <c r="F158" s="251"/>
      <c r="G158" s="251"/>
      <c r="H158" s="251"/>
      <c r="I158" s="251"/>
      <c r="J158" s="270"/>
      <c r="K158" s="239"/>
      <c r="L158" s="239"/>
    </row>
    <row r="159" spans="2:12" ht="15" customHeight="1" x14ac:dyDescent="0.25">
      <c r="B159" s="210" t="s">
        <v>271</v>
      </c>
      <c r="C159" s="210"/>
      <c r="D159" s="210"/>
      <c r="E159" s="211"/>
      <c r="F159" s="211"/>
      <c r="G159" s="211"/>
      <c r="H159" s="211"/>
      <c r="I159" s="211"/>
      <c r="J159" s="211"/>
    </row>
    <row r="160" spans="2:12" ht="30.6" x14ac:dyDescent="0.25">
      <c r="B160" s="337" t="s">
        <v>190</v>
      </c>
      <c r="C160" s="338"/>
      <c r="D160" s="338"/>
      <c r="E160" s="336" t="str">
        <f t="shared" ref="E160:J160" si="23">E154</f>
        <v>Residential</v>
      </c>
      <c r="F160" s="336" t="str">
        <f t="shared" si="23"/>
        <v>General Service &lt; 50 kW</v>
      </c>
      <c r="G160" s="336" t="str">
        <f t="shared" si="23"/>
        <v>General Service 50 to 4,999 kW</v>
      </c>
      <c r="H160" s="336" t="str">
        <f t="shared" si="23"/>
        <v xml:space="preserve">Sentinel Lighting </v>
      </c>
      <c r="I160" s="336" t="str">
        <f t="shared" si="23"/>
        <v>Street Lighting</v>
      </c>
      <c r="J160" s="336" t="str">
        <f t="shared" si="23"/>
        <v>Unmetered Scattered Load</v>
      </c>
    </row>
    <row r="161" spans="2:10" ht="12.75" customHeight="1" x14ac:dyDescent="0.25">
      <c r="B161" s="375" t="s">
        <v>218</v>
      </c>
      <c r="C161" s="375"/>
      <c r="D161" s="375"/>
      <c r="E161" s="375"/>
      <c r="F161" s="375"/>
      <c r="G161" s="375"/>
      <c r="H161" s="375"/>
      <c r="I161" s="375"/>
      <c r="J161" s="375"/>
    </row>
    <row r="162" spans="2:10" ht="15" customHeight="1" x14ac:dyDescent="0.25">
      <c r="B162" s="250">
        <f t="shared" ref="B162:B171" si="24">B141</f>
        <v>2006</v>
      </c>
      <c r="C162" s="252"/>
      <c r="D162" s="252"/>
      <c r="E162" s="247">
        <f>'[4]Rate Class Energy Model'!H31</f>
        <v>11588.089764513872</v>
      </c>
      <c r="F162" s="247">
        <f>'[4]Rate Class Energy Model'!I31</f>
        <v>34117.156838143033</v>
      </c>
      <c r="G162" s="247">
        <f>'[4]Rate Class Energy Model'!J31</f>
        <v>497886.4375</v>
      </c>
      <c r="H162" s="247">
        <f>'[4]Rate Class Energy Model'!K31</f>
        <v>697.71957671957671</v>
      </c>
      <c r="I162" s="247">
        <f>'[4]Rate Class Energy Model'!L31</f>
        <v>609.66596372838467</v>
      </c>
      <c r="J162" s="247">
        <f>'[4]Rate Class Energy Model'!M31</f>
        <v>3241.9666666666667</v>
      </c>
    </row>
    <row r="163" spans="2:10" ht="15" customHeight="1" x14ac:dyDescent="0.25">
      <c r="B163" s="226">
        <f t="shared" si="24"/>
        <v>2007</v>
      </c>
      <c r="C163" s="227"/>
      <c r="D163" s="227"/>
      <c r="E163" s="247">
        <f>'[4]Rate Class Energy Model'!H32</f>
        <v>11445.685628512047</v>
      </c>
      <c r="F163" s="247">
        <f>'[4]Rate Class Energy Model'!I32</f>
        <v>34753.873015873018</v>
      </c>
      <c r="G163" s="247">
        <f>'[4]Rate Class Energy Model'!J32</f>
        <v>553810.84507042251</v>
      </c>
      <c r="H163" s="247">
        <f>'[4]Rate Class Energy Model'!K32</f>
        <v>679.41397849462362</v>
      </c>
      <c r="I163" s="247">
        <f>'[4]Rate Class Energy Model'!L32</f>
        <v>601.02330253113701</v>
      </c>
      <c r="J163" s="247">
        <f>'[4]Rate Class Energy Model'!M32</f>
        <v>5839.2584269662921</v>
      </c>
    </row>
    <row r="164" spans="2:10" ht="15" customHeight="1" x14ac:dyDescent="0.25">
      <c r="B164" s="226">
        <f t="shared" si="24"/>
        <v>2008</v>
      </c>
      <c r="C164" s="227"/>
      <c r="D164" s="227"/>
      <c r="E164" s="247">
        <f>'[4]Rate Class Energy Model'!H33</f>
        <v>11294.766965428937</v>
      </c>
      <c r="F164" s="247">
        <f>'[4]Rate Class Energy Model'!I33</f>
        <v>33970.910287081337</v>
      </c>
      <c r="G164" s="247">
        <f>'[4]Rate Class Energy Model'!J33</f>
        <v>620128.84342465759</v>
      </c>
      <c r="H164" s="247">
        <f>'[4]Rate Class Energy Model'!K33</f>
        <v>667.80440860215049</v>
      </c>
      <c r="I164" s="247">
        <f>'[4]Rate Class Energy Model'!L33</f>
        <v>592.69659969088104</v>
      </c>
      <c r="J164" s="247">
        <f>'[4]Rate Class Energy Model'!M33</f>
        <v>6050.1785714285716</v>
      </c>
    </row>
    <row r="165" spans="2:10" ht="15" customHeight="1" x14ac:dyDescent="0.25">
      <c r="B165" s="226">
        <f t="shared" si="24"/>
        <v>2009</v>
      </c>
      <c r="C165" s="227"/>
      <c r="D165" s="227"/>
      <c r="E165" s="247">
        <f>'[4]Rate Class Energy Model'!H34</f>
        <v>11111.63651814084</v>
      </c>
      <c r="F165" s="247">
        <f>'[4]Rate Class Energy Model'!I34</f>
        <v>32881.2081871345</v>
      </c>
      <c r="G165" s="247">
        <f>'[4]Rate Class Energy Model'!J34</f>
        <v>659350.80847222218</v>
      </c>
      <c r="H165" s="247">
        <f>'[4]Rate Class Energy Model'!K34</f>
        <v>632.23367875647671</v>
      </c>
      <c r="I165" s="247">
        <f>'[4]Rate Class Energy Model'!L34</f>
        <v>600.72822857142864</v>
      </c>
      <c r="J165" s="247">
        <f>'[4]Rate Class Energy Model'!M34</f>
        <v>5947.9518072289156</v>
      </c>
    </row>
    <row r="166" spans="2:10" ht="15" customHeight="1" x14ac:dyDescent="0.25">
      <c r="B166" s="226">
        <f t="shared" si="24"/>
        <v>2010</v>
      </c>
      <c r="C166" s="227"/>
      <c r="D166" s="227"/>
      <c r="E166" s="247">
        <f>'[4]Rate Class Energy Model'!H35</f>
        <v>10866.629274778401</v>
      </c>
      <c r="F166" s="247">
        <f>'[4]Rate Class Energy Model'!I35</f>
        <v>33744.363005780346</v>
      </c>
      <c r="G166" s="247">
        <f>'[4]Rate Class Energy Model'!J35</f>
        <v>751893.69294117636</v>
      </c>
      <c r="H166" s="247">
        <f>'[4]Rate Class Energy Model'!K35</f>
        <v>580.61054726368161</v>
      </c>
      <c r="I166" s="247">
        <f>'[4]Rate Class Energy Model'!L35</f>
        <v>588.47597765363128</v>
      </c>
      <c r="J166" s="247">
        <f>'[4]Rate Class Energy Model'!M35</f>
        <v>6020.4878048780483</v>
      </c>
    </row>
    <row r="167" spans="2:10" ht="15" customHeight="1" x14ac:dyDescent="0.25">
      <c r="B167" s="226">
        <f t="shared" si="24"/>
        <v>2011</v>
      </c>
      <c r="C167" s="227"/>
      <c r="D167" s="227"/>
      <c r="E167" s="247">
        <f>'[4]Rate Class Energy Model'!H36</f>
        <v>10893.251293272371</v>
      </c>
      <c r="F167" s="247">
        <f>'[4]Rate Class Energy Model'!I36</f>
        <v>34094.526026785716</v>
      </c>
      <c r="G167" s="247">
        <f>'[4]Rate Class Energy Model'!J36</f>
        <v>745099.78283582092</v>
      </c>
      <c r="H167" s="247">
        <f>'[4]Rate Class Energy Model'!K36</f>
        <v>489.95920000000001</v>
      </c>
      <c r="I167" s="247">
        <f>'[4]Rate Class Energy Model'!L36</f>
        <v>534.22632331378293</v>
      </c>
      <c r="J167" s="247">
        <f>'[4]Rate Class Energy Model'!M36</f>
        <v>6040.8888888888887</v>
      </c>
    </row>
    <row r="168" spans="2:10" ht="15" customHeight="1" x14ac:dyDescent="0.25">
      <c r="B168" s="226">
        <f t="shared" si="24"/>
        <v>2012</v>
      </c>
      <c r="C168" s="227"/>
      <c r="D168" s="227"/>
      <c r="E168" s="247">
        <f>'[4]Rate Class Energy Model'!H37</f>
        <v>10395.464483160506</v>
      </c>
      <c r="F168" s="247">
        <f>'[4]Rate Class Energy Model'!I37</f>
        <v>33623.417783857731</v>
      </c>
      <c r="G168" s="247">
        <f>'[4]Rate Class Energy Model'!J37</f>
        <v>752953.7668711656</v>
      </c>
      <c r="H168" s="247">
        <f>'[4]Rate Class Energy Model'!K37</f>
        <v>658.7497683901621</v>
      </c>
      <c r="I168" s="247">
        <f>'[4]Rate Class Energy Model'!L37</f>
        <v>575.40646645905156</v>
      </c>
      <c r="J168" s="247">
        <f>'[4]Rate Class Energy Model'!M37</f>
        <v>6080.421610169491</v>
      </c>
    </row>
    <row r="169" spans="2:10" ht="15" customHeight="1" x14ac:dyDescent="0.25">
      <c r="B169" s="226">
        <f t="shared" si="24"/>
        <v>2013</v>
      </c>
      <c r="C169" s="227"/>
      <c r="D169" s="227"/>
      <c r="E169" s="247">
        <f>'[4]Rate Class Energy Model'!H38</f>
        <v>10433.981806642691</v>
      </c>
      <c r="F169" s="247">
        <f>'[4]Rate Class Energy Model'!I38</f>
        <v>32491.962075322623</v>
      </c>
      <c r="G169" s="247">
        <f>'[4]Rate Class Energy Model'!J38</f>
        <v>760025.70149253728</v>
      </c>
      <c r="H169" s="247">
        <f>'[4]Rate Class Energy Model'!K38</f>
        <v>606.21389345296177</v>
      </c>
      <c r="I169" s="247">
        <f>'[4]Rate Class Energy Model'!L38</f>
        <v>517.74944769198646</v>
      </c>
      <c r="J169" s="247">
        <f>'[4]Rate Class Energy Model'!M38</f>
        <v>6068.2698174006446</v>
      </c>
    </row>
    <row r="170" spans="2:10" ht="15" customHeight="1" x14ac:dyDescent="0.25">
      <c r="B170" s="226">
        <f t="shared" si="24"/>
        <v>2014</v>
      </c>
      <c r="C170" s="227"/>
      <c r="D170" s="227"/>
      <c r="E170" s="247">
        <f>'[4]Rate Class Energy Model'!H39</f>
        <v>10502.185399115502</v>
      </c>
      <c r="F170" s="247">
        <f>'[4]Rate Class Energy Model'!I39</f>
        <v>32304.706380832286</v>
      </c>
      <c r="G170" s="247">
        <f>'[4]Rate Class Energy Model'!J39</f>
        <v>753234.74218362279</v>
      </c>
      <c r="H170" s="247">
        <f>'[4]Rate Class Energy Model'!K39</f>
        <v>637.36350221347766</v>
      </c>
      <c r="I170" s="247">
        <f>'[4]Rate Class Energy Model'!L39</f>
        <v>556.06160742222119</v>
      </c>
      <c r="J170" s="247">
        <f>'[4]Rate Class Energy Model'!M39</f>
        <v>6129.2176405733189</v>
      </c>
    </row>
    <row r="171" spans="2:10" ht="15" customHeight="1" x14ac:dyDescent="0.25">
      <c r="B171" s="226">
        <f t="shared" si="24"/>
        <v>2015</v>
      </c>
      <c r="C171" s="227"/>
      <c r="D171" s="227"/>
      <c r="E171" s="247">
        <f>'[4]Rate Class Energy Model'!H40</f>
        <v>10163.312993792721</v>
      </c>
      <c r="F171" s="247">
        <f>'[4]Rate Class Energy Model'!I40</f>
        <v>34198.725743316398</v>
      </c>
      <c r="G171" s="247">
        <f>'[4]Rate Class Energy Model'!J40</f>
        <v>764143.72027972026</v>
      </c>
      <c r="H171" s="247">
        <f>'[4]Rate Class Energy Model'!K40</f>
        <v>624.65158371040729</v>
      </c>
      <c r="I171" s="247">
        <f>'[4]Rate Class Energy Model'!L40</f>
        <v>381.83964109053261</v>
      </c>
      <c r="J171" s="247">
        <f>'[4]Rate Class Energy Model'!M40</f>
        <v>6093.3157894736842</v>
      </c>
    </row>
    <row r="172" spans="2:10" ht="15" customHeight="1" x14ac:dyDescent="0.25">
      <c r="B172" s="212"/>
      <c r="C172" s="212"/>
      <c r="D172" s="212"/>
    </row>
    <row r="173" spans="2:10" ht="15" customHeight="1" x14ac:dyDescent="0.25">
      <c r="B173" s="210" t="s">
        <v>272</v>
      </c>
      <c r="C173" s="210"/>
      <c r="D173" s="210"/>
      <c r="E173" s="211"/>
      <c r="F173" s="211"/>
      <c r="G173" s="211"/>
      <c r="H173" s="211"/>
      <c r="I173" s="211"/>
    </row>
    <row r="174" spans="2:10" ht="30.6" x14ac:dyDescent="0.25">
      <c r="B174" s="337" t="s">
        <v>190</v>
      </c>
      <c r="C174" s="338"/>
      <c r="D174" s="338"/>
      <c r="E174" s="336" t="str">
        <f>E160</f>
        <v>Residential</v>
      </c>
      <c r="F174" s="336" t="str">
        <f t="shared" ref="F174:J174" si="25">F160</f>
        <v>General Service &lt; 50 kW</v>
      </c>
      <c r="G174" s="336" t="str">
        <f t="shared" si="25"/>
        <v>General Service 50 to 4,999 kW</v>
      </c>
      <c r="H174" s="336" t="str">
        <f t="shared" si="25"/>
        <v xml:space="preserve">Sentinel Lighting </v>
      </c>
      <c r="I174" s="336" t="str">
        <f t="shared" si="25"/>
        <v>Street Lighting</v>
      </c>
      <c r="J174" s="336" t="str">
        <f t="shared" si="25"/>
        <v>Unmetered Scattered Load</v>
      </c>
    </row>
    <row r="175" spans="2:10" ht="15" customHeight="1" x14ac:dyDescent="0.25">
      <c r="B175" s="375" t="s">
        <v>219</v>
      </c>
      <c r="C175" s="375"/>
      <c r="D175" s="375"/>
      <c r="E175" s="375"/>
      <c r="F175" s="375"/>
      <c r="G175" s="375"/>
      <c r="H175" s="375"/>
      <c r="I175" s="375"/>
      <c r="J175" s="375"/>
    </row>
    <row r="176" spans="2:10" ht="15" customHeight="1" x14ac:dyDescent="0.25">
      <c r="B176" s="226">
        <f t="shared" ref="B176:B185" si="26">B162</f>
        <v>2006</v>
      </c>
      <c r="C176" s="227"/>
      <c r="D176" s="227"/>
      <c r="E176" s="242"/>
      <c r="F176" s="242"/>
      <c r="G176" s="242"/>
      <c r="H176" s="242"/>
      <c r="I176" s="242"/>
      <c r="J176" s="242"/>
    </row>
    <row r="177" spans="2:10" ht="15" customHeight="1" x14ac:dyDescent="0.25">
      <c r="B177" s="226">
        <f t="shared" si="26"/>
        <v>2007</v>
      </c>
      <c r="C177" s="227"/>
      <c r="D177" s="227"/>
      <c r="E177" s="242">
        <f>E163/E162-1</f>
        <v>-1.2288836114983215E-2</v>
      </c>
      <c r="F177" s="242">
        <f t="shared" ref="F177:J185" si="27">F163/F162-1</f>
        <v>1.8662638881389304E-2</v>
      </c>
      <c r="G177" s="242">
        <f t="shared" si="27"/>
        <v>0.11232362112780492</v>
      </c>
      <c r="H177" s="242">
        <f t="shared" si="27"/>
        <v>-2.6236325933434945E-2</v>
      </c>
      <c r="I177" s="242">
        <f t="shared" si="27"/>
        <v>-1.4176059861360613E-2</v>
      </c>
      <c r="J177" s="242">
        <f t="shared" si="27"/>
        <v>0.80114696644000816</v>
      </c>
    </row>
    <row r="178" spans="2:10" ht="15" customHeight="1" x14ac:dyDescent="0.25">
      <c r="B178" s="226">
        <f t="shared" si="26"/>
        <v>2008</v>
      </c>
      <c r="C178" s="227"/>
      <c r="D178" s="227"/>
      <c r="E178" s="242">
        <f t="shared" ref="E178:I185" si="28">E164/E163-1</f>
        <v>-1.3185637626387359E-2</v>
      </c>
      <c r="F178" s="242">
        <f t="shared" si="28"/>
        <v>-2.2528790631020645E-2</v>
      </c>
      <c r="G178" s="242">
        <f t="shared" si="28"/>
        <v>0.11974846456067878</v>
      </c>
      <c r="H178" s="242">
        <f t="shared" si="28"/>
        <v>-1.7087622951468262E-2</v>
      </c>
      <c r="I178" s="242">
        <f t="shared" si="28"/>
        <v>-1.3854209654083349E-2</v>
      </c>
      <c r="J178" s="242">
        <f t="shared" si="27"/>
        <v>3.612104980458275E-2</v>
      </c>
    </row>
    <row r="179" spans="2:10" ht="15" customHeight="1" x14ac:dyDescent="0.25">
      <c r="B179" s="250">
        <f t="shared" si="26"/>
        <v>2009</v>
      </c>
      <c r="C179" s="227"/>
      <c r="D179" s="227"/>
      <c r="E179" s="242">
        <f t="shared" si="28"/>
        <v>-1.6213742864161995E-2</v>
      </c>
      <c r="F179" s="242">
        <f t="shared" si="28"/>
        <v>-3.2077506629583419E-2</v>
      </c>
      <c r="G179" s="242">
        <f t="shared" si="28"/>
        <v>6.3248090237121524E-2</v>
      </c>
      <c r="H179" s="242">
        <f t="shared" si="28"/>
        <v>-5.326519170505406E-2</v>
      </c>
      <c r="I179" s="242">
        <f t="shared" si="28"/>
        <v>1.3550995373917241E-2</v>
      </c>
      <c r="J179" s="242">
        <f t="shared" si="27"/>
        <v>-1.6896487102448954E-2</v>
      </c>
    </row>
    <row r="180" spans="2:10" ht="15" customHeight="1" x14ac:dyDescent="0.25">
      <c r="B180" s="226">
        <f t="shared" si="26"/>
        <v>2010</v>
      </c>
      <c r="C180" s="227"/>
      <c r="D180" s="227"/>
      <c r="E180" s="242">
        <f t="shared" si="28"/>
        <v>-2.2049609250846203E-2</v>
      </c>
      <c r="F180" s="242">
        <f t="shared" si="28"/>
        <v>2.6250702642476975E-2</v>
      </c>
      <c r="G180" s="242">
        <f t="shared" si="28"/>
        <v>0.14035454765481337</v>
      </c>
      <c r="H180" s="242">
        <f t="shared" si="28"/>
        <v>-8.1651979683099452E-2</v>
      </c>
      <c r="I180" s="242">
        <f t="shared" si="28"/>
        <v>-2.039566368794421E-2</v>
      </c>
      <c r="J180" s="242">
        <f t="shared" si="27"/>
        <v>1.2195121951219523E-2</v>
      </c>
    </row>
    <row r="181" spans="2:10" ht="15" customHeight="1" x14ac:dyDescent="0.25">
      <c r="B181" s="226">
        <f t="shared" si="26"/>
        <v>2011</v>
      </c>
      <c r="C181" s="227"/>
      <c r="D181" s="227"/>
      <c r="E181" s="242">
        <f t="shared" si="28"/>
        <v>2.4498874325049602E-3</v>
      </c>
      <c r="F181" s="242">
        <f t="shared" si="28"/>
        <v>1.0376933799147059E-2</v>
      </c>
      <c r="G181" s="242">
        <f t="shared" si="28"/>
        <v>-9.0357322705817422E-3</v>
      </c>
      <c r="H181" s="242">
        <f t="shared" si="28"/>
        <v>-0.15613107218066558</v>
      </c>
      <c r="I181" s="242">
        <f t="shared" si="28"/>
        <v>-9.2186693084996163E-2</v>
      </c>
      <c r="J181" s="242">
        <f t="shared" si="27"/>
        <v>3.388609805722087E-3</v>
      </c>
    </row>
    <row r="182" spans="2:10" ht="15" customHeight="1" x14ac:dyDescent="0.25">
      <c r="B182" s="226">
        <f t="shared" si="26"/>
        <v>2012</v>
      </c>
      <c r="C182" s="227"/>
      <c r="D182" s="227"/>
      <c r="E182" s="242">
        <f t="shared" si="28"/>
        <v>-4.5696807749151747E-2</v>
      </c>
      <c r="F182" s="242">
        <f t="shared" si="28"/>
        <v>-1.3817709111364929E-2</v>
      </c>
      <c r="G182" s="242">
        <f t="shared" si="28"/>
        <v>1.0540848643724843E-2</v>
      </c>
      <c r="H182" s="242">
        <f t="shared" si="28"/>
        <v>0.34449923256908344</v>
      </c>
      <c r="I182" s="242">
        <f t="shared" si="28"/>
        <v>7.7083702820613498E-2</v>
      </c>
      <c r="J182" s="242">
        <f t="shared" si="27"/>
        <v>6.5441894409472567E-3</v>
      </c>
    </row>
    <row r="183" spans="2:10" ht="15" customHeight="1" x14ac:dyDescent="0.25">
      <c r="B183" s="226">
        <f t="shared" si="26"/>
        <v>2013</v>
      </c>
      <c r="C183" s="227"/>
      <c r="D183" s="227"/>
      <c r="E183" s="242">
        <f t="shared" si="28"/>
        <v>3.7052046634933333E-3</v>
      </c>
      <c r="F183" s="242">
        <f t="shared" si="28"/>
        <v>-3.3650823833807575E-2</v>
      </c>
      <c r="G183" s="242">
        <f t="shared" si="28"/>
        <v>9.3922561152173234E-3</v>
      </c>
      <c r="H183" s="242">
        <f t="shared" si="28"/>
        <v>-7.9750881834214971E-2</v>
      </c>
      <c r="I183" s="242">
        <f t="shared" si="28"/>
        <v>-0.10020224333222405</v>
      </c>
      <c r="J183" s="242">
        <f t="shared" si="27"/>
        <v>-1.9985115421145005E-3</v>
      </c>
    </row>
    <row r="184" spans="2:10" ht="15" customHeight="1" x14ac:dyDescent="0.25">
      <c r="B184" s="226">
        <f t="shared" si="26"/>
        <v>2014</v>
      </c>
      <c r="C184" s="227"/>
      <c r="D184" s="227"/>
      <c r="E184" s="242">
        <f t="shared" si="28"/>
        <v>6.5366792598191559E-3</v>
      </c>
      <c r="F184" s="242">
        <f t="shared" si="28"/>
        <v>-5.7631390205442612E-3</v>
      </c>
      <c r="G184" s="242">
        <f t="shared" si="28"/>
        <v>-8.9351706074918269E-3</v>
      </c>
      <c r="H184" s="242">
        <f t="shared" si="28"/>
        <v>5.1383858233748914E-2</v>
      </c>
      <c r="I184" s="242">
        <f t="shared" si="28"/>
        <v>7.3997490293851387E-2</v>
      </c>
      <c r="J184" s="242">
        <f t="shared" si="27"/>
        <v>1.0043690377429693E-2</v>
      </c>
    </row>
    <row r="185" spans="2:10" ht="15" customHeight="1" x14ac:dyDescent="0.25">
      <c r="B185" s="226">
        <f t="shared" si="26"/>
        <v>2015</v>
      </c>
      <c r="C185" s="227"/>
      <c r="D185" s="227"/>
      <c r="E185" s="242">
        <f t="shared" si="28"/>
        <v>-3.2266846608070887E-2</v>
      </c>
      <c r="F185" s="242">
        <f t="shared" si="28"/>
        <v>5.8629827498073439E-2</v>
      </c>
      <c r="G185" s="242">
        <f t="shared" si="28"/>
        <v>1.4482839791049029E-2</v>
      </c>
      <c r="H185" s="242">
        <f t="shared" si="28"/>
        <v>-1.9944534726139107E-2</v>
      </c>
      <c r="I185" s="242">
        <f t="shared" si="28"/>
        <v>-0.31331414362401877</v>
      </c>
      <c r="J185" s="242">
        <f t="shared" si="27"/>
        <v>-5.857493273199621E-3</v>
      </c>
    </row>
    <row r="186" spans="2:10" ht="15" customHeight="1" x14ac:dyDescent="0.25">
      <c r="B186" s="226" t="str">
        <f>B151</f>
        <v>Geo Mean - 2006 to 2015</v>
      </c>
      <c r="C186" s="227"/>
      <c r="D186" s="227"/>
      <c r="E186" s="242">
        <f>'[4]Rate Class Energy Model'!H60-1</f>
        <v>-1.2223979844236288E-2</v>
      </c>
      <c r="F186" s="242">
        <f>'[4]Rate Class Energy Model'!I60-1</f>
        <v>-6.8002060963969768E-3</v>
      </c>
      <c r="G186" s="242">
        <f>'[4]Rate Class Energy Model'!J60-1</f>
        <v>5.3113077571652401E-2</v>
      </c>
      <c r="H186" s="242">
        <f>'[4]Rate Class Energy Model'!K60-1</f>
        <v>-1.1245927621219898E-2</v>
      </c>
      <c r="I186" s="242">
        <f>'[4]Rate Class Energy Model'!L60-1</f>
        <v>-1.143809608303259E-2</v>
      </c>
      <c r="J186" s="242">
        <f>'[4]Rate Class Energy Model'!M60-1</f>
        <v>8.2865611848907728E-2</v>
      </c>
    </row>
    <row r="187" spans="2:10" ht="15" customHeight="1" x14ac:dyDescent="0.25">
      <c r="B187" s="212"/>
      <c r="C187" s="212"/>
      <c r="D187" s="212"/>
    </row>
    <row r="188" spans="2:10" ht="15" customHeight="1" x14ac:dyDescent="0.25">
      <c r="B188" s="210" t="s">
        <v>273</v>
      </c>
      <c r="C188" s="210"/>
      <c r="D188" s="210"/>
      <c r="E188" s="211"/>
      <c r="F188" s="211"/>
      <c r="G188" s="211"/>
      <c r="H188" s="211"/>
      <c r="I188" s="211"/>
      <c r="J188" s="211"/>
    </row>
    <row r="189" spans="2:10" ht="30.6" x14ac:dyDescent="0.25">
      <c r="B189" s="345" t="s">
        <v>190</v>
      </c>
      <c r="C189" s="346"/>
      <c r="D189" s="346"/>
      <c r="E189" s="347" t="str">
        <f t="shared" ref="E189:J189" si="29">E174</f>
        <v>Residential</v>
      </c>
      <c r="F189" s="347" t="str">
        <f t="shared" si="29"/>
        <v>General Service &lt; 50 kW</v>
      </c>
      <c r="G189" s="347" t="str">
        <f t="shared" si="29"/>
        <v>General Service 50 to 4,999 kW</v>
      </c>
      <c r="H189" s="347" t="str">
        <f t="shared" si="29"/>
        <v xml:space="preserve">Sentinel Lighting </v>
      </c>
      <c r="I189" s="347" t="str">
        <f t="shared" si="29"/>
        <v>Street Lighting</v>
      </c>
      <c r="J189" s="347" t="str">
        <f t="shared" si="29"/>
        <v>Unmetered Scattered Load</v>
      </c>
    </row>
    <row r="190" spans="2:10" ht="15" customHeight="1" x14ac:dyDescent="0.25">
      <c r="B190" s="375" t="s">
        <v>220</v>
      </c>
      <c r="C190" s="375"/>
      <c r="D190" s="375"/>
      <c r="E190" s="375"/>
      <c r="F190" s="375"/>
      <c r="G190" s="375"/>
      <c r="H190" s="375"/>
      <c r="I190" s="375"/>
      <c r="J190" s="375"/>
    </row>
    <row r="191" spans="2:10" x14ac:dyDescent="0.25">
      <c r="B191" s="371">
        <f>B156</f>
        <v>2016</v>
      </c>
      <c r="C191" s="372"/>
      <c r="D191" s="373"/>
      <c r="E191" s="247">
        <f>E171*(1+E186)</f>
        <v>10039.076860605934</v>
      </c>
      <c r="F191" s="247">
        <f t="shared" ref="F191:J191" si="30">F171*(1+F186)</f>
        <v>33966.167360027692</v>
      </c>
      <c r="G191" s="247">
        <f t="shared" si="30"/>
        <v>804729.74497082806</v>
      </c>
      <c r="H191" s="247">
        <f t="shared" si="30"/>
        <v>617.62679721151972</v>
      </c>
      <c r="I191" s="247">
        <f t="shared" si="30"/>
        <v>377.47212258742843</v>
      </c>
      <c r="J191" s="247">
        <f t="shared" si="30"/>
        <v>6598.2421305570315</v>
      </c>
    </row>
    <row r="192" spans="2:10" x14ac:dyDescent="0.25">
      <c r="B192" s="367">
        <f>B157</f>
        <v>2017</v>
      </c>
      <c r="C192" s="368"/>
      <c r="D192" s="369"/>
      <c r="E192" s="218">
        <f>E191*(1+E186)</f>
        <v>9916.3593874071485</v>
      </c>
      <c r="F192" s="218">
        <f t="shared" ref="F192:J192" si="31">F191*(1+F186)</f>
        <v>33735.190421674793</v>
      </c>
      <c r="G192" s="218">
        <f t="shared" si="31"/>
        <v>847471.41833967972</v>
      </c>
      <c r="H192" s="218">
        <f t="shared" si="31"/>
        <v>610.68101095315308</v>
      </c>
      <c r="I192" s="218">
        <f t="shared" si="31"/>
        <v>373.15456018060718</v>
      </c>
      <c r="J192" s="218">
        <f t="shared" si="31"/>
        <v>7145.0095018328802</v>
      </c>
    </row>
    <row r="193" spans="2:13" x14ac:dyDescent="0.25">
      <c r="B193" s="314"/>
      <c r="C193" s="314"/>
      <c r="D193" s="314"/>
      <c r="E193" s="251"/>
      <c r="F193" s="251"/>
      <c r="G193" s="251"/>
      <c r="H193" s="251"/>
      <c r="I193" s="251"/>
    </row>
    <row r="194" spans="2:13" ht="15" customHeight="1" x14ac:dyDescent="0.25">
      <c r="B194" s="210" t="s">
        <v>274</v>
      </c>
      <c r="C194" s="210"/>
      <c r="D194" s="210"/>
      <c r="E194" s="211"/>
      <c r="F194" s="211"/>
      <c r="G194" s="211"/>
      <c r="H194" s="211"/>
      <c r="I194" s="211"/>
    </row>
    <row r="195" spans="2:13" ht="30.6" x14ac:dyDescent="0.25">
      <c r="B195" s="337" t="s">
        <v>190</v>
      </c>
      <c r="C195" s="338"/>
      <c r="D195" s="338"/>
      <c r="E195" s="336" t="str">
        <f t="shared" ref="E195:J195" si="32">E189</f>
        <v>Residential</v>
      </c>
      <c r="F195" s="336" t="str">
        <f t="shared" si="32"/>
        <v>General Service &lt; 50 kW</v>
      </c>
      <c r="G195" s="336" t="str">
        <f t="shared" si="32"/>
        <v>General Service 50 to 4,999 kW</v>
      </c>
      <c r="H195" s="336" t="str">
        <f t="shared" si="32"/>
        <v xml:space="preserve">Sentinel Lighting </v>
      </c>
      <c r="I195" s="336" t="str">
        <f t="shared" si="32"/>
        <v>Street Lighting</v>
      </c>
      <c r="J195" s="336" t="str">
        <f t="shared" si="32"/>
        <v>Unmetered Scattered Load</v>
      </c>
      <c r="K195" s="336" t="s">
        <v>99</v>
      </c>
    </row>
    <row r="196" spans="2:13" x14ac:dyDescent="0.25">
      <c r="B196" s="375" t="s">
        <v>221</v>
      </c>
      <c r="C196" s="375"/>
      <c r="D196" s="375"/>
      <c r="E196" s="375"/>
      <c r="F196" s="375"/>
      <c r="G196" s="375"/>
      <c r="H196" s="375"/>
      <c r="I196" s="375"/>
      <c r="J196" s="375"/>
      <c r="K196" s="375"/>
    </row>
    <row r="197" spans="2:13" ht="15" customHeight="1" x14ac:dyDescent="0.25">
      <c r="B197" s="250" t="s">
        <v>222</v>
      </c>
      <c r="C197" s="252"/>
      <c r="D197" s="252"/>
      <c r="E197" s="253">
        <f t="shared" ref="E197:J198" si="33">E191*E156/1000000</f>
        <v>154.7925261136829</v>
      </c>
      <c r="F197" s="253">
        <f t="shared" si="33"/>
        <v>34.849287711388406</v>
      </c>
      <c r="G197" s="253">
        <f t="shared" si="33"/>
        <v>57.538176765414207</v>
      </c>
      <c r="H197" s="253">
        <f t="shared" si="33"/>
        <v>0.10067316794547772</v>
      </c>
      <c r="I197" s="253">
        <f t="shared" si="33"/>
        <v>1.1184498992265506</v>
      </c>
      <c r="J197" s="253">
        <f t="shared" si="33"/>
        <v>0.4948681597917774</v>
      </c>
      <c r="K197" s="253">
        <f>SUM(E197:J197)</f>
        <v>248.89398181744929</v>
      </c>
      <c r="L197"/>
      <c r="M197"/>
    </row>
    <row r="198" spans="2:13" ht="15" customHeight="1" x14ac:dyDescent="0.25">
      <c r="B198" s="250" t="s">
        <v>275</v>
      </c>
      <c r="C198" s="227"/>
      <c r="D198" s="227"/>
      <c r="E198" s="253">
        <f t="shared" si="33"/>
        <v>157.96760504139587</v>
      </c>
      <c r="F198" s="253">
        <f t="shared" si="33"/>
        <v>35.489420323601877</v>
      </c>
      <c r="G198" s="253">
        <f t="shared" si="33"/>
        <v>60.594206411287097</v>
      </c>
      <c r="H198" s="253">
        <f t="shared" si="33"/>
        <v>9.8319642763457643E-2</v>
      </c>
      <c r="I198" s="253">
        <f t="shared" si="33"/>
        <v>1.1306583173472398</v>
      </c>
      <c r="J198" s="253">
        <f t="shared" si="33"/>
        <v>0.5287307031356332</v>
      </c>
      <c r="K198" s="253">
        <f t="shared" ref="K198" si="34">SUM(E198:J198)</f>
        <v>255.8089404395312</v>
      </c>
      <c r="L198"/>
      <c r="M198"/>
    </row>
    <row r="199" spans="2:13" ht="15" customHeight="1" x14ac:dyDescent="0.25">
      <c r="B199" s="229"/>
      <c r="C199" s="229"/>
      <c r="D199" s="229"/>
      <c r="E199" s="254"/>
      <c r="F199" s="254"/>
      <c r="G199" s="254"/>
      <c r="H199" s="254"/>
      <c r="I199" s="254"/>
      <c r="J199" s="254"/>
      <c r="K199" s="254"/>
    </row>
    <row r="200" spans="2:13" ht="15" customHeight="1" x14ac:dyDescent="0.25">
      <c r="B200" s="212"/>
      <c r="C200" s="211"/>
      <c r="D200" s="211"/>
      <c r="E200" s="210" t="s">
        <v>276</v>
      </c>
      <c r="F200" s="211"/>
      <c r="G200" s="211"/>
    </row>
    <row r="201" spans="2:13" ht="30.6" x14ac:dyDescent="0.25">
      <c r="B201" s="212"/>
      <c r="C201" s="212"/>
      <c r="D201" s="212"/>
      <c r="E201" s="336" t="str">
        <f t="shared" ref="E201:J201" si="35">E195</f>
        <v>Residential</v>
      </c>
      <c r="F201" s="336" t="str">
        <f t="shared" si="35"/>
        <v>General Service &lt; 50 kW</v>
      </c>
      <c r="G201" s="336" t="str">
        <f t="shared" si="35"/>
        <v>General Service 50 to 4,999 kW</v>
      </c>
      <c r="H201" s="336" t="str">
        <f t="shared" si="35"/>
        <v xml:space="preserve">Sentinel Lighting </v>
      </c>
      <c r="I201" s="336" t="str">
        <f t="shared" si="35"/>
        <v>Street Lighting</v>
      </c>
      <c r="J201" s="336" t="str">
        <f t="shared" si="35"/>
        <v>Unmetered Scattered Load</v>
      </c>
    </row>
    <row r="202" spans="2:13" ht="15" customHeight="1" x14ac:dyDescent="0.25">
      <c r="B202" s="212"/>
      <c r="C202" s="212"/>
      <c r="D202" s="212"/>
      <c r="E202" s="376" t="s">
        <v>223</v>
      </c>
      <c r="F202" s="377"/>
      <c r="G202" s="377"/>
      <c r="H202" s="377"/>
      <c r="I202" s="377"/>
      <c r="J202" s="378"/>
    </row>
    <row r="203" spans="2:13" ht="15" customHeight="1" x14ac:dyDescent="0.25">
      <c r="B203" s="212"/>
      <c r="C203" s="212"/>
      <c r="D203" s="212"/>
      <c r="E203" s="255">
        <f>'[4]Rate Class Energy Model'!H79</f>
        <v>0.82499999999999996</v>
      </c>
      <c r="F203" s="255">
        <f>'[4]Rate Class Energy Model'!I79</f>
        <v>0.82499999999999996</v>
      </c>
      <c r="G203" s="255">
        <f>'[4]Rate Class Energy Model'!J79</f>
        <v>0.65</v>
      </c>
      <c r="H203" s="255">
        <f>'[4]Rate Class Energy Model'!K79</f>
        <v>0</v>
      </c>
      <c r="I203" s="255">
        <f>'[4]Rate Class Energy Model'!L79</f>
        <v>0</v>
      </c>
      <c r="J203" s="255">
        <f>'[4]Rate Class Energy Model'!M79</f>
        <v>0</v>
      </c>
    </row>
    <row r="204" spans="2:13" ht="15" customHeight="1" x14ac:dyDescent="0.25">
      <c r="B204" s="212"/>
      <c r="C204" s="212"/>
      <c r="D204" s="212"/>
      <c r="E204" s="256"/>
      <c r="F204" s="256"/>
      <c r="G204" s="256"/>
      <c r="H204" s="256"/>
      <c r="I204" s="256"/>
      <c r="J204" s="256"/>
    </row>
    <row r="205" spans="2:13" ht="15" customHeight="1" x14ac:dyDescent="0.25">
      <c r="B205" s="210" t="s">
        <v>277</v>
      </c>
      <c r="C205" s="210"/>
      <c r="D205" s="210"/>
      <c r="E205" s="211"/>
      <c r="F205" s="211"/>
      <c r="G205" s="211"/>
      <c r="H205" s="256"/>
      <c r="I205" s="256"/>
      <c r="J205" s="256"/>
    </row>
    <row r="206" spans="2:13" ht="40.799999999999997" x14ac:dyDescent="0.25">
      <c r="B206" s="337" t="s">
        <v>190</v>
      </c>
      <c r="C206" s="338"/>
      <c r="D206" s="338"/>
      <c r="E206" s="336" t="s">
        <v>278</v>
      </c>
      <c r="F206"/>
      <c r="G206"/>
      <c r="H206" s="256"/>
      <c r="I206" s="256"/>
      <c r="J206" s="256"/>
    </row>
    <row r="207" spans="2:13" ht="15" customHeight="1" x14ac:dyDescent="0.25">
      <c r="B207" s="226" t="s">
        <v>279</v>
      </c>
      <c r="C207" s="227"/>
      <c r="D207" s="227"/>
      <c r="E207" s="221">
        <f>'[4]Rate Class Energy Model'!N31/1000000</f>
        <v>1.3860671</v>
      </c>
      <c r="F207"/>
      <c r="G207"/>
      <c r="H207" s="256"/>
      <c r="I207" s="256"/>
      <c r="J207" s="256"/>
    </row>
    <row r="208" spans="2:13" ht="15" customHeight="1" x14ac:dyDescent="0.25">
      <c r="B208" s="226" t="s">
        <v>280</v>
      </c>
      <c r="C208" s="227"/>
      <c r="D208" s="227"/>
      <c r="E208" s="221">
        <f>'[4]Rate Class Energy Model'!N32/1000000</f>
        <v>1.1358413999999999</v>
      </c>
      <c r="F208"/>
      <c r="G208"/>
      <c r="H208" s="256"/>
      <c r="I208" s="256"/>
      <c r="J208" s="256"/>
    </row>
    <row r="209" spans="2:11" ht="15" customHeight="1" x14ac:dyDescent="0.25">
      <c r="B209" s="226" t="s">
        <v>281</v>
      </c>
      <c r="C209" s="227"/>
      <c r="D209" s="227"/>
      <c r="E209" s="221">
        <f>'[4]Rate Class Energy Model'!N33/1000000</f>
        <v>1.0401529599999999</v>
      </c>
      <c r="F209"/>
      <c r="G209"/>
      <c r="H209" s="256"/>
      <c r="I209" s="256"/>
      <c r="J209" s="256"/>
    </row>
    <row r="210" spans="2:11" ht="15" customHeight="1" x14ac:dyDescent="0.25">
      <c r="B210" s="226" t="s">
        <v>282</v>
      </c>
      <c r="C210" s="227"/>
      <c r="D210" s="227"/>
      <c r="E210" s="221">
        <f>'[4]Rate Class Energy Model'!N34/1000000</f>
        <v>0.98197460200000009</v>
      </c>
      <c r="F210"/>
      <c r="G210"/>
      <c r="H210" s="256"/>
      <c r="I210" s="256"/>
      <c r="J210" s="256"/>
    </row>
    <row r="211" spans="2:11" ht="15" customHeight="1" x14ac:dyDescent="0.25">
      <c r="B211" s="226" t="s">
        <v>283</v>
      </c>
      <c r="C211" s="227"/>
      <c r="D211" s="227"/>
      <c r="E211" s="221">
        <f>'[4]Rate Class Energy Model'!N35/1000000</f>
        <v>1.00180684</v>
      </c>
      <c r="F211"/>
      <c r="G211"/>
      <c r="H211" s="256"/>
      <c r="I211" s="256"/>
      <c r="J211" s="256"/>
    </row>
    <row r="212" spans="2:11" ht="15" customHeight="1" x14ac:dyDescent="0.25">
      <c r="B212" s="226" t="s">
        <v>284</v>
      </c>
      <c r="C212" s="227"/>
      <c r="D212" s="227"/>
      <c r="E212" s="221">
        <f>'[4]Rate Class Energy Model'!N36/1000000</f>
        <v>0.95171649800000002</v>
      </c>
      <c r="F212"/>
      <c r="G212"/>
      <c r="H212" s="256"/>
      <c r="I212" s="256"/>
      <c r="J212" s="256"/>
    </row>
    <row r="213" spans="2:11" ht="15" customHeight="1" x14ac:dyDescent="0.25">
      <c r="B213" s="226" t="s">
        <v>285</v>
      </c>
      <c r="C213" s="227"/>
      <c r="D213" s="227"/>
      <c r="E213" s="221">
        <f>'[4]Rate Class Energy Model'!N37/1000000</f>
        <v>0.81972306186666699</v>
      </c>
      <c r="F213"/>
      <c r="G213"/>
      <c r="H213" s="256"/>
      <c r="I213" s="256"/>
      <c r="J213" s="256"/>
    </row>
    <row r="214" spans="2:11" ht="15" customHeight="1" x14ac:dyDescent="0.25">
      <c r="B214" s="226" t="s">
        <v>286</v>
      </c>
      <c r="C214" s="227"/>
      <c r="D214" s="227"/>
      <c r="E214" s="221">
        <f>'[4]Rate Class Energy Model'!N38/1000000</f>
        <v>0.74452206049523806</v>
      </c>
      <c r="F214"/>
      <c r="G214"/>
      <c r="H214" s="256"/>
      <c r="I214" s="256"/>
      <c r="J214" s="256"/>
    </row>
    <row r="215" spans="2:11" ht="15" customHeight="1" x14ac:dyDescent="0.25">
      <c r="B215" s="226" t="s">
        <v>287</v>
      </c>
      <c r="C215" s="227"/>
      <c r="D215" s="227"/>
      <c r="E215" s="221">
        <f>'[4]Rate Class Energy Model'!N39/1000000</f>
        <v>0.66932105912381001</v>
      </c>
      <c r="F215"/>
      <c r="G215"/>
      <c r="H215" s="256"/>
      <c r="I215" s="256"/>
      <c r="J215" s="256"/>
    </row>
    <row r="216" spans="2:11" ht="15" customHeight="1" x14ac:dyDescent="0.25">
      <c r="B216" s="226" t="s">
        <v>288</v>
      </c>
      <c r="C216" s="227"/>
      <c r="D216" s="227"/>
      <c r="E216" s="221">
        <f>'[4]Rate Class Energy Model'!N40/1000000</f>
        <v>0.59412005775238097</v>
      </c>
      <c r="F216"/>
      <c r="G216"/>
      <c r="H216" s="256"/>
      <c r="I216" s="256"/>
      <c r="J216" s="256"/>
    </row>
    <row r="217" spans="2:11" ht="15" customHeight="1" x14ac:dyDescent="0.25">
      <c r="B217" s="226" t="s">
        <v>289</v>
      </c>
      <c r="C217" s="262"/>
      <c r="D217" s="262"/>
      <c r="E217" s="221">
        <f>'[4]Rate Class Energy Model'!N41/1000000</f>
        <v>0.54244472954968503</v>
      </c>
      <c r="F217"/>
      <c r="G217"/>
      <c r="H217" s="256"/>
      <c r="I217" s="256"/>
      <c r="J217" s="256"/>
    </row>
    <row r="218" spans="2:11" ht="15" customHeight="1" x14ac:dyDescent="0.25">
      <c r="B218" s="226" t="s">
        <v>290</v>
      </c>
      <c r="C218" s="262"/>
      <c r="D218" s="262"/>
      <c r="E218" s="221">
        <f>'[4]Rate Class Energy Model'!N42/1000000</f>
        <v>0.4952640140267201</v>
      </c>
      <c r="F218"/>
      <c r="G218"/>
      <c r="H218" s="256"/>
      <c r="I218" s="256"/>
      <c r="J218" s="256"/>
    </row>
    <row r="219" spans="2:11" ht="15" customHeight="1" x14ac:dyDescent="0.25">
      <c r="B219" s="229"/>
      <c r="C219" s="240"/>
      <c r="D219" s="240"/>
      <c r="E219" s="304"/>
      <c r="F219"/>
      <c r="G219"/>
      <c r="H219" s="256"/>
      <c r="I219" s="256"/>
      <c r="J219" s="256"/>
    </row>
    <row r="220" spans="2:11" ht="15" customHeight="1" x14ac:dyDescent="0.25">
      <c r="B220" s="210" t="s">
        <v>291</v>
      </c>
      <c r="C220" s="229"/>
      <c r="D220" s="229"/>
      <c r="E220" s="229"/>
      <c r="F220" s="304"/>
      <c r="G220" s="311"/>
      <c r="J220"/>
      <c r="K220"/>
    </row>
    <row r="221" spans="2:11" ht="30.6" x14ac:dyDescent="0.25">
      <c r="B221" s="337" t="s">
        <v>190</v>
      </c>
      <c r="C221" s="338"/>
      <c r="D221" s="338"/>
      <c r="E221" s="336" t="s">
        <v>292</v>
      </c>
      <c r="F221" s="336" t="s">
        <v>293</v>
      </c>
      <c r="G221" s="336" t="s">
        <v>294</v>
      </c>
      <c r="H221" s="336" t="s">
        <v>295</v>
      </c>
      <c r="J221"/>
      <c r="K221"/>
    </row>
    <row r="222" spans="2:11" ht="13.2" x14ac:dyDescent="0.25">
      <c r="B222" s="379" t="s">
        <v>203</v>
      </c>
      <c r="C222" s="379"/>
      <c r="D222" s="379"/>
      <c r="E222" s="379"/>
      <c r="F222" s="379"/>
      <c r="G222" s="379"/>
      <c r="H222" s="379"/>
      <c r="J222"/>
      <c r="K222"/>
    </row>
    <row r="223" spans="2:11" ht="15" customHeight="1" x14ac:dyDescent="0.25">
      <c r="B223" s="226" t="str">
        <f>B121</f>
        <v>2016 Bridge - Normalized</v>
      </c>
      <c r="C223" s="227"/>
      <c r="D223" s="227"/>
      <c r="E223" s="312">
        <f>G121</f>
        <v>241.36365997628911</v>
      </c>
      <c r="F223" s="312">
        <f>K197</f>
        <v>248.89398181744929</v>
      </c>
      <c r="G223" s="300">
        <f>E217</f>
        <v>0.54244472954968503</v>
      </c>
      <c r="H223" s="225">
        <f>E223-F223-G223</f>
        <v>-8.0727665707098577</v>
      </c>
      <c r="I223"/>
      <c r="J223"/>
      <c r="K223"/>
    </row>
    <row r="224" spans="2:11" ht="15" customHeight="1" x14ac:dyDescent="0.25">
      <c r="B224" s="226" t="str">
        <f>B122</f>
        <v>2017 Test - Normalized</v>
      </c>
      <c r="C224" s="227"/>
      <c r="D224" s="227"/>
      <c r="E224" s="312">
        <f>G122</f>
        <v>244.15227756770605</v>
      </c>
      <c r="F224" s="312">
        <f>K198</f>
        <v>255.8089404395312</v>
      </c>
      <c r="G224" s="300">
        <f>E218</f>
        <v>0.4952640140267201</v>
      </c>
      <c r="H224" s="225">
        <f t="shared" ref="H224" si="36">E224-F224-G224</f>
        <v>-12.151926885851868</v>
      </c>
      <c r="I224"/>
      <c r="J224"/>
      <c r="K224"/>
    </row>
    <row r="225" spans="2:22" ht="15" customHeight="1" x14ac:dyDescent="0.25">
      <c r="B225" s="229"/>
      <c r="C225" s="240"/>
      <c r="D225" s="240"/>
      <c r="E225" s="304"/>
      <c r="F225"/>
      <c r="G225"/>
      <c r="H225" s="256"/>
      <c r="I225" s="256"/>
      <c r="J225" s="256"/>
    </row>
    <row r="226" spans="2:22" ht="15" customHeight="1" x14ac:dyDescent="0.25">
      <c r="B226"/>
      <c r="C226"/>
      <c r="D226"/>
      <c r="E226"/>
      <c r="F226"/>
      <c r="G226"/>
      <c r="H226" s="256"/>
      <c r="I226" s="256"/>
      <c r="J226" s="256"/>
    </row>
    <row r="227" spans="2:22" ht="15" customHeight="1" x14ac:dyDescent="0.25">
      <c r="B227"/>
      <c r="C227"/>
      <c r="D227"/>
      <c r="E227"/>
      <c r="F227"/>
      <c r="G227"/>
      <c r="H227" s="256"/>
      <c r="I227" s="256"/>
      <c r="J227" s="256"/>
      <c r="O227" s="398" t="s">
        <v>296</v>
      </c>
      <c r="P227" s="398"/>
      <c r="Q227" s="398"/>
      <c r="R227" s="398"/>
      <c r="S227" s="398"/>
      <c r="T227" s="398"/>
      <c r="U227" s="398"/>
      <c r="V227" s="398"/>
    </row>
    <row r="228" spans="2:22" ht="15" customHeight="1" x14ac:dyDescent="0.25">
      <c r="B228"/>
      <c r="C228"/>
      <c r="D228"/>
      <c r="E228"/>
      <c r="F228"/>
      <c r="G228"/>
      <c r="J228" s="256"/>
      <c r="O228" s="348"/>
      <c r="P228" s="348">
        <v>2015</v>
      </c>
      <c r="Q228" s="348">
        <v>2016</v>
      </c>
      <c r="R228" s="348">
        <v>2017</v>
      </c>
      <c r="S228" s="348">
        <v>2018</v>
      </c>
      <c r="T228" s="348">
        <v>2019</v>
      </c>
      <c r="U228" s="348">
        <v>2020</v>
      </c>
      <c r="V228" s="348">
        <v>2021</v>
      </c>
    </row>
    <row r="229" spans="2:22" ht="15" customHeight="1" x14ac:dyDescent="0.25">
      <c r="B229"/>
      <c r="C229"/>
      <c r="D229"/>
      <c r="E229"/>
      <c r="F229"/>
      <c r="G229"/>
      <c r="J229" s="256"/>
      <c r="O229" s="258" t="str">
        <f>'[4]Rate Class Energy Model'!F108</f>
        <v>2015 Programs</v>
      </c>
      <c r="P229" s="224">
        <f>'[4]Rate Class Energy Model'!G108</f>
        <v>1701888.8382273095</v>
      </c>
      <c r="Q229" s="224">
        <f>'[4]Rate Class Energy Model'!H108</f>
        <v>1701888.8382273095</v>
      </c>
      <c r="R229" s="224">
        <f>'[4]Rate Class Energy Model'!I108</f>
        <v>1701888.8382273095</v>
      </c>
      <c r="S229" s="224">
        <f>'[4]Rate Class Energy Model'!J108</f>
        <v>1701888.8382273095</v>
      </c>
      <c r="T229" s="224">
        <f>'[4]Rate Class Energy Model'!K108</f>
        <v>1701888.8382273095</v>
      </c>
      <c r="U229" s="224">
        <f>'[4]Rate Class Energy Model'!L108</f>
        <v>1701888.8382273095</v>
      </c>
      <c r="V229" s="224">
        <f>'[4]Rate Class Energy Model'!M108</f>
        <v>1701888.8382273095</v>
      </c>
    </row>
    <row r="230" spans="2:22" ht="15" customHeight="1" x14ac:dyDescent="0.2">
      <c r="B230" s="212"/>
      <c r="C230" s="212"/>
      <c r="D230" s="212"/>
      <c r="J230" s="256"/>
      <c r="O230" s="258" t="str">
        <f>'[4]Rate Class Energy Model'!F109</f>
        <v>2016 Programs</v>
      </c>
      <c r="P230" s="224"/>
      <c r="Q230" s="224">
        <f>'[4]Rate Class Energy Model'!H109</f>
        <v>3143714.4894793103</v>
      </c>
      <c r="R230" s="224">
        <f>'[4]Rate Class Energy Model'!I109</f>
        <v>3143714.4894793103</v>
      </c>
      <c r="S230" s="224">
        <f>'[4]Rate Class Energy Model'!J109</f>
        <v>3143714.4894793103</v>
      </c>
      <c r="T230" s="224">
        <f>'[4]Rate Class Energy Model'!K109</f>
        <v>3143714.4894793103</v>
      </c>
      <c r="U230" s="224">
        <f>'[4]Rate Class Energy Model'!L109</f>
        <v>3143714.4894793103</v>
      </c>
      <c r="V230" s="224">
        <f>'[4]Rate Class Energy Model'!M109</f>
        <v>3143714.4894793103</v>
      </c>
    </row>
    <row r="231" spans="2:22" ht="15" customHeight="1" x14ac:dyDescent="0.2">
      <c r="B231" s="212"/>
      <c r="C231" s="212"/>
      <c r="D231" s="212"/>
      <c r="J231" s="256"/>
      <c r="O231" s="258" t="str">
        <f>'[4]Rate Class Energy Model'!F110</f>
        <v>2017 Programs</v>
      </c>
      <c r="P231" s="224"/>
      <c r="Q231" s="224"/>
      <c r="R231" s="224">
        <f>'[4]Rate Class Energy Model'!I110</f>
        <v>1139902.6568728054</v>
      </c>
      <c r="S231" s="224">
        <f>'[4]Rate Class Energy Model'!J110</f>
        <v>1139902.6568728054</v>
      </c>
      <c r="T231" s="224">
        <f>'[4]Rate Class Energy Model'!K110</f>
        <v>1139902.6568728054</v>
      </c>
      <c r="U231" s="224">
        <f>'[4]Rate Class Energy Model'!L110</f>
        <v>1139902.6568728054</v>
      </c>
      <c r="V231" s="224">
        <f>'[4]Rate Class Energy Model'!M110</f>
        <v>1139902.6568728054</v>
      </c>
    </row>
    <row r="232" spans="2:22" ht="15" customHeight="1" x14ac:dyDescent="0.2">
      <c r="B232" s="212"/>
      <c r="C232" s="212"/>
      <c r="D232" s="212"/>
      <c r="J232" s="256"/>
      <c r="O232" s="258" t="str">
        <f>'[4]Rate Class Energy Model'!F111</f>
        <v>2018 Programs</v>
      </c>
      <c r="P232" s="224"/>
      <c r="Q232" s="224"/>
      <c r="R232" s="224"/>
      <c r="S232" s="224">
        <f>'[4]Rate Class Energy Model'!J111</f>
        <v>2174128.8420581706</v>
      </c>
      <c r="T232" s="224">
        <f>'[4]Rate Class Energy Model'!K111</f>
        <v>2174128.8420581706</v>
      </c>
      <c r="U232" s="224">
        <f>'[4]Rate Class Energy Model'!L111</f>
        <v>2174128.8420581706</v>
      </c>
      <c r="V232" s="224">
        <f>'[4]Rate Class Energy Model'!M111</f>
        <v>2174128.8420581706</v>
      </c>
    </row>
    <row r="233" spans="2:22" ht="15" customHeight="1" x14ac:dyDescent="0.2">
      <c r="B233" s="212"/>
      <c r="C233" s="212"/>
      <c r="D233" s="212"/>
      <c r="J233" s="256"/>
      <c r="O233" s="258" t="str">
        <f>'[4]Rate Class Energy Model'!F112</f>
        <v>2019 Programs</v>
      </c>
      <c r="P233" s="224"/>
      <c r="Q233" s="224"/>
      <c r="R233" s="224"/>
      <c r="S233" s="224"/>
      <c r="T233" s="224">
        <f>'[4]Rate Class Energy Model'!K112</f>
        <v>2321083.7814290971</v>
      </c>
      <c r="U233" s="224">
        <f>'[4]Rate Class Energy Model'!L112</f>
        <v>2321083.7814290971</v>
      </c>
      <c r="V233" s="224">
        <f>'[4]Rate Class Energy Model'!M112</f>
        <v>2321083.7814290971</v>
      </c>
    </row>
    <row r="234" spans="2:22" ht="15" customHeight="1" x14ac:dyDescent="0.2">
      <c r="B234" s="212"/>
      <c r="C234" s="212"/>
      <c r="D234" s="212"/>
      <c r="J234" s="256"/>
      <c r="O234" s="258" t="str">
        <f>'[4]Rate Class Energy Model'!F113</f>
        <v>2020 Programs</v>
      </c>
      <c r="P234" s="224"/>
      <c r="Q234" s="224"/>
      <c r="R234" s="224"/>
      <c r="S234" s="224"/>
      <c r="T234" s="224"/>
      <c r="U234" s="224">
        <f>'[4]Rate Class Energy Model'!L113</f>
        <v>2527405.6953737224</v>
      </c>
      <c r="V234" s="224">
        <f>'[4]Rate Class Energy Model'!M113</f>
        <v>2527405.6953737224</v>
      </c>
    </row>
    <row r="235" spans="2:22" ht="15" customHeight="1" x14ac:dyDescent="0.2">
      <c r="B235" s="212"/>
      <c r="C235" s="212"/>
      <c r="D235" s="212"/>
      <c r="J235" s="256"/>
      <c r="O235" s="258" t="str">
        <f>'[4]Rate Class Energy Model'!F114</f>
        <v>2021 Programs</v>
      </c>
      <c r="P235" s="224"/>
      <c r="Q235" s="224"/>
      <c r="R235" s="224"/>
      <c r="S235" s="224"/>
      <c r="T235" s="224"/>
      <c r="U235" s="224"/>
      <c r="V235" s="224">
        <f>'[4]Rate Class Energy Model'!M114</f>
        <v>1701888.8382273095</v>
      </c>
    </row>
    <row r="236" spans="2:22" ht="15" customHeight="1" x14ac:dyDescent="0.2">
      <c r="B236" s="212"/>
      <c r="C236" s="212"/>
      <c r="D236" s="212"/>
      <c r="J236" s="256"/>
      <c r="O236" s="257" t="s">
        <v>297</v>
      </c>
      <c r="P236" s="224">
        <f>P229</f>
        <v>1701888.8382273095</v>
      </c>
      <c r="Q236" s="224">
        <f>Q230</f>
        <v>3143714.4894793103</v>
      </c>
      <c r="R236" s="224">
        <f>R231</f>
        <v>1139902.6568728054</v>
      </c>
      <c r="S236" s="224">
        <f>S232</f>
        <v>2174128.8420581706</v>
      </c>
      <c r="T236" s="224">
        <f>T233</f>
        <v>2321083.7814290971</v>
      </c>
      <c r="U236" s="224">
        <f>U234</f>
        <v>2527405.6953737224</v>
      </c>
      <c r="V236" s="224" t="s">
        <v>298</v>
      </c>
    </row>
    <row r="237" spans="2:22" ht="15" customHeight="1" x14ac:dyDescent="0.2">
      <c r="B237" s="212"/>
      <c r="C237" s="212"/>
      <c r="D237" s="212"/>
      <c r="J237" s="256"/>
      <c r="O237" s="257" t="s">
        <v>299</v>
      </c>
      <c r="P237" s="224">
        <f>SUM(P229:P235)</f>
        <v>1701888.8382273095</v>
      </c>
      <c r="Q237" s="224">
        <f t="shared" ref="Q237:V237" si="37">SUM(Q229:Q235)</f>
        <v>4845603.3277066201</v>
      </c>
      <c r="R237" s="224">
        <f t="shared" si="37"/>
        <v>5985505.9845794253</v>
      </c>
      <c r="S237" s="224">
        <f t="shared" si="37"/>
        <v>8159634.8266375959</v>
      </c>
      <c r="T237" s="224">
        <f t="shared" si="37"/>
        <v>10480718.608066693</v>
      </c>
      <c r="U237" s="224">
        <f t="shared" si="37"/>
        <v>13008124.303440414</v>
      </c>
      <c r="V237" s="224">
        <f t="shared" si="37"/>
        <v>14710013.141667724</v>
      </c>
    </row>
    <row r="238" spans="2:22" ht="15" customHeight="1" x14ac:dyDescent="0.25">
      <c r="B238" s="212"/>
      <c r="C238" s="212"/>
      <c r="D238" s="212"/>
      <c r="J238" s="256"/>
      <c r="O238"/>
      <c r="P238"/>
      <c r="Q238"/>
      <c r="R238"/>
      <c r="S238"/>
      <c r="T238"/>
      <c r="U238"/>
      <c r="V238"/>
    </row>
    <row r="239" spans="2:22" ht="15" customHeight="1" x14ac:dyDescent="0.2">
      <c r="B239" s="212"/>
      <c r="C239" s="212"/>
      <c r="D239" s="212"/>
      <c r="J239" s="256"/>
      <c r="O239" s="348"/>
      <c r="P239" s="348">
        <v>2015</v>
      </c>
      <c r="Q239" s="348">
        <v>2016</v>
      </c>
      <c r="R239" s="348">
        <v>2017</v>
      </c>
      <c r="S239" s="348">
        <v>2018</v>
      </c>
      <c r="T239" s="348">
        <v>2019</v>
      </c>
      <c r="U239" s="348">
        <v>2020</v>
      </c>
      <c r="V239" s="348">
        <v>2021</v>
      </c>
    </row>
    <row r="240" spans="2:22" ht="15" customHeight="1" x14ac:dyDescent="0.2">
      <c r="B240" s="212"/>
      <c r="C240" s="212"/>
      <c r="D240" s="212"/>
      <c r="J240" s="256"/>
      <c r="O240" s="258" t="s">
        <v>300</v>
      </c>
      <c r="P240" s="315">
        <f>'[4]Rate Class Energy Model'!G117</f>
        <v>0.29677625102910027</v>
      </c>
      <c r="Q240" s="315">
        <f>'[4]Rate Class Energy Model'!H117</f>
        <v>0.22964187470247915</v>
      </c>
      <c r="R240" s="315">
        <f>'[4]Rate Class Energy Model'!I117</f>
        <v>0.19579380458424031</v>
      </c>
      <c r="S240" s="315">
        <f>'[4]Rate Class Energy Model'!J117</f>
        <v>0.2247391189562582</v>
      </c>
      <c r="T240" s="315">
        <f>'[4]Rate Class Energy Model'!K117</f>
        <v>0.20718698241674743</v>
      </c>
      <c r="U240" s="315">
        <f>'[4]Rate Class Energy Model'!L117</f>
        <v>0.24659637124385958</v>
      </c>
      <c r="V240" s="315">
        <f>'[4]Rate Class Energy Model'!M117</f>
        <v>0.29677625102910027</v>
      </c>
    </row>
    <row r="241" spans="2:35" ht="15" customHeight="1" x14ac:dyDescent="0.2">
      <c r="B241" s="212"/>
      <c r="C241" s="212"/>
      <c r="D241" s="212"/>
      <c r="J241" s="256"/>
      <c r="O241" s="259"/>
      <c r="P241" s="316"/>
      <c r="Q241" s="316"/>
      <c r="R241" s="316"/>
      <c r="S241" s="316"/>
      <c r="T241" s="316"/>
      <c r="U241" s="316"/>
      <c r="V241" s="316"/>
    </row>
    <row r="242" spans="2:35" ht="15" customHeight="1" x14ac:dyDescent="0.2">
      <c r="B242" s="212"/>
      <c r="C242" s="212"/>
      <c r="D242" s="212"/>
      <c r="J242" s="256"/>
      <c r="O242" s="398" t="s">
        <v>301</v>
      </c>
      <c r="P242" s="398"/>
      <c r="Q242" s="398"/>
      <c r="R242" s="398"/>
      <c r="S242" s="398"/>
      <c r="T242" s="398"/>
      <c r="U242" s="398"/>
      <c r="V242" s="398"/>
    </row>
    <row r="243" spans="2:35" ht="15" customHeight="1" x14ac:dyDescent="0.2">
      <c r="B243" s="212"/>
      <c r="C243" s="212"/>
      <c r="D243" s="212"/>
      <c r="J243" s="256"/>
      <c r="O243" s="348"/>
      <c r="P243" s="348">
        <v>2015</v>
      </c>
      <c r="Q243" s="348">
        <v>2016</v>
      </c>
      <c r="R243" s="348">
        <v>2017</v>
      </c>
      <c r="S243" s="348">
        <v>2018</v>
      </c>
      <c r="T243" s="348">
        <v>2019</v>
      </c>
      <c r="U243" s="348">
        <v>2020</v>
      </c>
      <c r="V243" s="348">
        <v>2021</v>
      </c>
    </row>
    <row r="244" spans="2:35" ht="15" customHeight="1" x14ac:dyDescent="0.25">
      <c r="B244" s="212"/>
      <c r="C244" s="212"/>
      <c r="D244" s="212"/>
      <c r="J244" s="256"/>
      <c r="O244" s="258" t="str">
        <f>O229</f>
        <v>2015 Programs</v>
      </c>
      <c r="P244" s="224">
        <f>(P229-'[4]Rate Class Energy Model'!G151) * '[4]Exhibit 3 Tables'!P289</f>
        <v>231434.08550097758</v>
      </c>
      <c r="Q244" s="224">
        <f>P244</f>
        <v>231434.08550097758</v>
      </c>
      <c r="R244" s="224">
        <f t="shared" ref="R244:V249" si="38">Q244</f>
        <v>231434.08550097758</v>
      </c>
      <c r="S244" s="224">
        <f t="shared" si="38"/>
        <v>231434.08550097758</v>
      </c>
      <c r="T244" s="224">
        <f t="shared" si="38"/>
        <v>231434.08550097758</v>
      </c>
      <c r="U244" s="224">
        <f t="shared" si="38"/>
        <v>231434.08550097758</v>
      </c>
      <c r="V244" s="224">
        <f t="shared" si="38"/>
        <v>231434.08550097758</v>
      </c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2:35" ht="15" customHeight="1" x14ac:dyDescent="0.25">
      <c r="B245" s="212"/>
      <c r="C245" s="212"/>
      <c r="D245" s="212"/>
      <c r="J245" s="256"/>
      <c r="O245" s="258" t="str">
        <f t="shared" ref="O245:O249" si="39">O230</f>
        <v>2016 Programs</v>
      </c>
      <c r="P245" s="224"/>
      <c r="Q245" s="224">
        <f>(Q230-'[4]Rate Class Energy Model'!H142)*'[4]Exhibit 3 Tables'!Q289</f>
        <v>252999.78075091357</v>
      </c>
      <c r="R245" s="224">
        <f t="shared" si="38"/>
        <v>252999.78075091357</v>
      </c>
      <c r="S245" s="224">
        <f t="shared" si="38"/>
        <v>252999.78075091357</v>
      </c>
      <c r="T245" s="224">
        <f t="shared" si="38"/>
        <v>252999.78075091357</v>
      </c>
      <c r="U245" s="224">
        <f t="shared" si="38"/>
        <v>252999.78075091357</v>
      </c>
      <c r="V245" s="224">
        <f t="shared" si="38"/>
        <v>252999.78075091357</v>
      </c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2:35" ht="15" customHeight="1" x14ac:dyDescent="0.25">
      <c r="B246" s="212"/>
      <c r="C246" s="212"/>
      <c r="D246" s="212"/>
      <c r="J246" s="256"/>
      <c r="O246" s="258" t="str">
        <f t="shared" si="39"/>
        <v>2017 Programs</v>
      </c>
      <c r="P246" s="224"/>
      <c r="Q246" s="224"/>
      <c r="R246" s="224">
        <f>R231*R240</f>
        <v>223185.87804481041</v>
      </c>
      <c r="S246" s="224">
        <f t="shared" si="38"/>
        <v>223185.87804481041</v>
      </c>
      <c r="T246" s="224">
        <f t="shared" si="38"/>
        <v>223185.87804481041</v>
      </c>
      <c r="U246" s="224">
        <f t="shared" si="38"/>
        <v>223185.87804481041</v>
      </c>
      <c r="V246" s="224">
        <f t="shared" si="38"/>
        <v>223185.87804481041</v>
      </c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2:35" ht="15" customHeight="1" x14ac:dyDescent="0.25">
      <c r="B247" s="212"/>
      <c r="C247" s="212"/>
      <c r="D247" s="212"/>
      <c r="J247" s="256"/>
      <c r="O247" s="258" t="str">
        <f t="shared" si="39"/>
        <v>2018 Programs</v>
      </c>
      <c r="P247" s="224"/>
      <c r="Q247" s="224"/>
      <c r="R247" s="224"/>
      <c r="S247" s="224">
        <f>S232*S240</f>
        <v>488611.80046154308</v>
      </c>
      <c r="T247" s="224">
        <f t="shared" si="38"/>
        <v>488611.80046154308</v>
      </c>
      <c r="U247" s="224">
        <f t="shared" si="38"/>
        <v>488611.80046154308</v>
      </c>
      <c r="V247" s="224">
        <f t="shared" si="38"/>
        <v>488611.80046154308</v>
      </c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2:35" ht="15" customHeight="1" x14ac:dyDescent="0.25">
      <c r="B248" s="212"/>
      <c r="C248" s="212"/>
      <c r="D248" s="212"/>
      <c r="J248" s="256"/>
      <c r="O248" s="258" t="str">
        <f t="shared" si="39"/>
        <v>2019 Programs</v>
      </c>
      <c r="P248" s="224"/>
      <c r="Q248" s="224"/>
      <c r="R248" s="224"/>
      <c r="S248" s="224"/>
      <c r="T248" s="224">
        <f>T233*T240</f>
        <v>480898.344610748</v>
      </c>
      <c r="U248" s="224">
        <f t="shared" si="38"/>
        <v>480898.344610748</v>
      </c>
      <c r="V248" s="224">
        <f t="shared" si="38"/>
        <v>480898.344610748</v>
      </c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2:35" ht="15" customHeight="1" x14ac:dyDescent="0.25">
      <c r="B249" s="212"/>
      <c r="C249" s="212"/>
      <c r="D249" s="212"/>
      <c r="J249" s="256"/>
      <c r="O249" s="258" t="str">
        <f t="shared" si="39"/>
        <v>2020 Programs</v>
      </c>
      <c r="P249" s="224"/>
      <c r="Q249" s="224"/>
      <c r="R249" s="224"/>
      <c r="S249" s="224"/>
      <c r="T249" s="224"/>
      <c r="U249" s="224">
        <f>U234*U240</f>
        <v>623249.07314022351</v>
      </c>
      <c r="V249" s="224">
        <f t="shared" si="38"/>
        <v>623249.07314022351</v>
      </c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2:35" ht="15" customHeight="1" x14ac:dyDescent="0.25">
      <c r="B250" s="212"/>
      <c r="C250" s="212"/>
      <c r="D250" s="212"/>
      <c r="J250" s="256"/>
      <c r="O250" s="258" t="str">
        <f>O235</f>
        <v>2021 Programs</v>
      </c>
      <c r="P250" s="224"/>
      <c r="Q250" s="224"/>
      <c r="R250" s="224"/>
      <c r="S250" s="224"/>
      <c r="T250" s="224"/>
      <c r="U250" s="224"/>
      <c r="V250" s="224">
        <f>V235*V240</f>
        <v>505080.18907737185</v>
      </c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2:35" ht="15" customHeight="1" x14ac:dyDescent="0.25">
      <c r="B251" s="212"/>
      <c r="C251" s="212"/>
      <c r="D251" s="212"/>
      <c r="J251" s="256"/>
      <c r="O251" s="257" t="s">
        <v>297</v>
      </c>
      <c r="P251" s="224">
        <f>P244</f>
        <v>231434.08550097758</v>
      </c>
      <c r="Q251" s="224">
        <f>Q245</f>
        <v>252999.78075091357</v>
      </c>
      <c r="R251" s="224">
        <f>R246</f>
        <v>223185.87804481041</v>
      </c>
      <c r="S251" s="224">
        <f>S247</f>
        <v>488611.80046154308</v>
      </c>
      <c r="T251" s="224">
        <f>T248</f>
        <v>480898.344610748</v>
      </c>
      <c r="U251" s="224">
        <f>U249</f>
        <v>623249.07314022351</v>
      </c>
      <c r="V251" s="224" t="s">
        <v>298</v>
      </c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2:35" ht="15" customHeight="1" x14ac:dyDescent="0.25">
      <c r="B252" s="212"/>
      <c r="C252" s="212"/>
      <c r="D252" s="212"/>
      <c r="J252" s="256"/>
      <c r="O252" s="257" t="s">
        <v>299</v>
      </c>
      <c r="P252" s="224">
        <f>SUM(P244:P250)</f>
        <v>231434.08550097758</v>
      </c>
      <c r="Q252" s="224">
        <f t="shared" ref="Q252:V252" si="40">SUM(Q244:Q250)</f>
        <v>484433.86625189113</v>
      </c>
      <c r="R252" s="224">
        <f t="shared" si="40"/>
        <v>707619.74429670151</v>
      </c>
      <c r="S252" s="224">
        <f t="shared" si="40"/>
        <v>1196231.5447582447</v>
      </c>
      <c r="T252" s="224">
        <f t="shared" si="40"/>
        <v>1677129.8893689928</v>
      </c>
      <c r="U252" s="224">
        <f t="shared" si="40"/>
        <v>2300378.9625092163</v>
      </c>
      <c r="V252" s="224">
        <f t="shared" si="40"/>
        <v>2805459.151586588</v>
      </c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2:35" ht="15" customHeight="1" x14ac:dyDescent="0.2">
      <c r="B253" s="212"/>
      <c r="C253" s="212"/>
      <c r="D253" s="212"/>
      <c r="J253" s="256"/>
      <c r="O253" s="259"/>
      <c r="P253" s="316"/>
      <c r="Q253" s="316"/>
      <c r="R253" s="316"/>
      <c r="S253" s="316"/>
      <c r="T253" s="316"/>
      <c r="U253" s="316"/>
      <c r="V253" s="316"/>
    </row>
    <row r="254" spans="2:35" ht="15" customHeight="1" x14ac:dyDescent="0.2">
      <c r="B254" s="212"/>
      <c r="C254" s="212"/>
      <c r="D254" s="212"/>
      <c r="J254" s="256"/>
      <c r="O254" s="398" t="s">
        <v>302</v>
      </c>
      <c r="P254" s="398"/>
      <c r="Q254" s="398"/>
      <c r="R254" s="398"/>
      <c r="S254" s="398"/>
      <c r="T254" s="398"/>
      <c r="U254" s="398"/>
      <c r="V254" s="398"/>
    </row>
    <row r="255" spans="2:35" ht="15" customHeight="1" x14ac:dyDescent="0.2">
      <c r="B255" s="212"/>
      <c r="C255" s="212"/>
      <c r="D255" s="212"/>
      <c r="J255" s="256"/>
      <c r="O255" s="348"/>
      <c r="P255" s="348">
        <v>2015</v>
      </c>
      <c r="Q255" s="348">
        <v>2016</v>
      </c>
      <c r="R255" s="348">
        <v>2017</v>
      </c>
      <c r="S255" s="348">
        <v>2018</v>
      </c>
      <c r="T255" s="348">
        <v>2019</v>
      </c>
      <c r="U255" s="348">
        <v>2020</v>
      </c>
      <c r="V255" s="348">
        <v>2021</v>
      </c>
    </row>
    <row r="256" spans="2:35" ht="15" customHeight="1" x14ac:dyDescent="0.2">
      <c r="B256" s="212"/>
      <c r="C256" s="212"/>
      <c r="D256" s="212"/>
      <c r="J256" s="256"/>
      <c r="O256" s="258" t="str">
        <f>O244</f>
        <v>2015 Programs</v>
      </c>
      <c r="P256" s="224">
        <f>(P229-P244-'[4]Rate Class Energy Model'!G151)*0.9</f>
        <v>493553.47745369864</v>
      </c>
      <c r="Q256" s="224">
        <f>P256</f>
        <v>493553.47745369864</v>
      </c>
      <c r="R256" s="224">
        <f t="shared" ref="R256:V261" si="41">Q256</f>
        <v>493553.47745369864</v>
      </c>
      <c r="S256" s="224">
        <f t="shared" si="41"/>
        <v>493553.47745369864</v>
      </c>
      <c r="T256" s="224">
        <f t="shared" si="41"/>
        <v>493553.47745369864</v>
      </c>
      <c r="U256" s="224">
        <f t="shared" si="41"/>
        <v>493553.47745369864</v>
      </c>
      <c r="V256" s="224">
        <f t="shared" si="41"/>
        <v>493553.47745369864</v>
      </c>
    </row>
    <row r="257" spans="2:31" ht="15" customHeight="1" x14ac:dyDescent="0.2">
      <c r="B257" s="212"/>
      <c r="C257" s="212"/>
      <c r="D257" s="212"/>
      <c r="J257" s="256"/>
      <c r="O257" s="258" t="str">
        <f t="shared" ref="O257:O264" si="42">O245</f>
        <v>2016 Programs</v>
      </c>
      <c r="P257" s="224"/>
      <c r="Q257" s="224">
        <f>(Q230-Q245-'[4]Rate Class Energy Model'!H142)*0.9</f>
        <v>763843.23785555712</v>
      </c>
      <c r="R257" s="224">
        <f t="shared" si="41"/>
        <v>763843.23785555712</v>
      </c>
      <c r="S257" s="224">
        <f t="shared" si="41"/>
        <v>763843.23785555712</v>
      </c>
      <c r="T257" s="224">
        <f t="shared" si="41"/>
        <v>763843.23785555712</v>
      </c>
      <c r="U257" s="224">
        <f t="shared" si="41"/>
        <v>763843.23785555712</v>
      </c>
      <c r="V257" s="224">
        <f t="shared" si="41"/>
        <v>763843.23785555712</v>
      </c>
    </row>
    <row r="258" spans="2:31" ht="15" customHeight="1" x14ac:dyDescent="0.2">
      <c r="B258" s="212"/>
      <c r="C258" s="212"/>
      <c r="D258" s="212"/>
      <c r="J258" s="256"/>
      <c r="O258" s="258" t="str">
        <f t="shared" si="42"/>
        <v>2017 Programs</v>
      </c>
      <c r="P258" s="224"/>
      <c r="Q258" s="224"/>
      <c r="R258" s="224">
        <f>(R231-R246)*0.9</f>
        <v>825045.10094519553</v>
      </c>
      <c r="S258" s="224">
        <f t="shared" si="41"/>
        <v>825045.10094519553</v>
      </c>
      <c r="T258" s="224">
        <f t="shared" si="41"/>
        <v>825045.10094519553</v>
      </c>
      <c r="U258" s="224">
        <f t="shared" si="41"/>
        <v>825045.10094519553</v>
      </c>
      <c r="V258" s="224">
        <f t="shared" si="41"/>
        <v>825045.10094519553</v>
      </c>
    </row>
    <row r="259" spans="2:31" ht="15" customHeight="1" x14ac:dyDescent="0.2">
      <c r="B259" s="212"/>
      <c r="C259" s="212"/>
      <c r="D259" s="212"/>
      <c r="J259" s="256"/>
      <c r="O259" s="258" t="str">
        <f t="shared" si="42"/>
        <v>2018 Programs</v>
      </c>
      <c r="P259" s="224"/>
      <c r="Q259" s="224"/>
      <c r="R259" s="224"/>
      <c r="S259" s="224">
        <f>(S232-S247)*0.9</f>
        <v>1516965.3374369647</v>
      </c>
      <c r="T259" s="224">
        <f t="shared" si="41"/>
        <v>1516965.3374369647</v>
      </c>
      <c r="U259" s="224">
        <f t="shared" si="41"/>
        <v>1516965.3374369647</v>
      </c>
      <c r="V259" s="224">
        <f t="shared" si="41"/>
        <v>1516965.3374369647</v>
      </c>
    </row>
    <row r="260" spans="2:31" ht="15" customHeight="1" x14ac:dyDescent="0.2">
      <c r="B260" s="212"/>
      <c r="C260" s="212"/>
      <c r="D260" s="212"/>
      <c r="J260" s="256"/>
      <c r="O260" s="258" t="str">
        <f t="shared" si="42"/>
        <v>2019 Programs</v>
      </c>
      <c r="P260" s="224"/>
      <c r="Q260" s="224"/>
      <c r="R260" s="224"/>
      <c r="S260" s="224"/>
      <c r="T260" s="224">
        <f>(T233-T248)*0.9</f>
        <v>1656166.8931365144</v>
      </c>
      <c r="U260" s="224">
        <f t="shared" si="41"/>
        <v>1656166.8931365144</v>
      </c>
      <c r="V260" s="224">
        <f t="shared" si="41"/>
        <v>1656166.8931365144</v>
      </c>
    </row>
    <row r="261" spans="2:31" ht="15" customHeight="1" x14ac:dyDescent="0.2">
      <c r="B261" s="212"/>
      <c r="C261" s="212"/>
      <c r="D261" s="212"/>
      <c r="J261" s="256"/>
      <c r="O261" s="258" t="str">
        <f t="shared" si="42"/>
        <v>2020 Programs</v>
      </c>
      <c r="P261" s="224"/>
      <c r="Q261" s="224"/>
      <c r="R261" s="224"/>
      <c r="S261" s="224"/>
      <c r="T261" s="224"/>
      <c r="U261" s="224">
        <f>(U234-U249)*0.9</f>
        <v>1713740.9600101491</v>
      </c>
      <c r="V261" s="224">
        <f t="shared" si="41"/>
        <v>1713740.9600101491</v>
      </c>
    </row>
    <row r="262" spans="2:31" ht="15" customHeight="1" x14ac:dyDescent="0.2">
      <c r="B262" s="212"/>
      <c r="C262" s="212"/>
      <c r="D262" s="212"/>
      <c r="J262" s="256"/>
      <c r="O262" s="258" t="str">
        <f t="shared" si="42"/>
        <v>2021 Programs</v>
      </c>
      <c r="P262" s="224"/>
      <c r="Q262" s="224"/>
      <c r="R262" s="224"/>
      <c r="S262" s="224"/>
      <c r="T262" s="224"/>
      <c r="U262" s="224"/>
      <c r="V262" s="224">
        <f>(V235-V250)*0.9</f>
        <v>1077127.7842349438</v>
      </c>
    </row>
    <row r="263" spans="2:31" ht="15" customHeight="1" x14ac:dyDescent="0.2">
      <c r="B263" s="212"/>
      <c r="C263" s="212"/>
      <c r="D263" s="212"/>
      <c r="J263" s="256"/>
      <c r="O263" s="258" t="str">
        <f t="shared" si="42"/>
        <v>Total for 2015 to 2020 Target</v>
      </c>
      <c r="P263" s="224">
        <f>P256</f>
        <v>493553.47745369864</v>
      </c>
      <c r="Q263" s="224">
        <f>Q257</f>
        <v>763843.23785555712</v>
      </c>
      <c r="R263" s="224">
        <f>R258</f>
        <v>825045.10094519553</v>
      </c>
      <c r="S263" s="224">
        <f>S259</f>
        <v>1516965.3374369647</v>
      </c>
      <c r="T263" s="224">
        <f>T260</f>
        <v>1656166.8931365144</v>
      </c>
      <c r="U263" s="224">
        <f>U261</f>
        <v>1713740.9600101491</v>
      </c>
      <c r="V263" s="224" t="s">
        <v>298</v>
      </c>
    </row>
    <row r="264" spans="2:31" ht="15" customHeight="1" x14ac:dyDescent="0.2">
      <c r="B264" s="212"/>
      <c r="C264" s="212"/>
      <c r="D264" s="212"/>
      <c r="J264" s="256"/>
      <c r="O264" s="258" t="str">
        <f t="shared" si="42"/>
        <v>Total Including Persistence</v>
      </c>
      <c r="P264" s="224">
        <f>SUM(P256:P262)</f>
        <v>493553.47745369864</v>
      </c>
      <c r="Q264" s="224">
        <f t="shared" ref="Q264:V264" si="43">SUM(Q256:Q262)</f>
        <v>1257396.7153092558</v>
      </c>
      <c r="R264" s="224">
        <f t="shared" si="43"/>
        <v>2082441.8162544514</v>
      </c>
      <c r="S264" s="224">
        <f t="shared" si="43"/>
        <v>3599407.1536914161</v>
      </c>
      <c r="T264" s="224">
        <f t="shared" si="43"/>
        <v>5255574.046827931</v>
      </c>
      <c r="U264" s="224">
        <f t="shared" si="43"/>
        <v>6969315.0068380795</v>
      </c>
      <c r="V264" s="224">
        <f t="shared" si="43"/>
        <v>8046442.7910730233</v>
      </c>
    </row>
    <row r="265" spans="2:31" ht="15" customHeight="1" x14ac:dyDescent="0.25">
      <c r="B265" s="212"/>
      <c r="C265" s="212"/>
      <c r="D265" s="212"/>
      <c r="J265" s="256"/>
      <c r="O265" s="259"/>
      <c r="P265" s="316"/>
      <c r="Q265" s="316"/>
      <c r="R265" s="316"/>
      <c r="S265" s="316"/>
      <c r="T265" s="316"/>
      <c r="U265" s="316"/>
      <c r="V265" s="316"/>
      <c r="X265"/>
      <c r="Y265"/>
      <c r="Z265"/>
      <c r="AA265"/>
      <c r="AB265"/>
      <c r="AC265"/>
      <c r="AD265"/>
      <c r="AE265" s="239"/>
    </row>
    <row r="266" spans="2:31" ht="15" customHeight="1" x14ac:dyDescent="0.25">
      <c r="B266" s="212"/>
      <c r="C266" s="212"/>
      <c r="D266" s="212"/>
      <c r="J266" s="256"/>
      <c r="O266" s="398" t="s">
        <v>303</v>
      </c>
      <c r="P266" s="398"/>
      <c r="Q266" s="398"/>
      <c r="R266" s="398"/>
      <c r="S266" s="398"/>
      <c r="T266" s="398"/>
      <c r="U266" s="398"/>
      <c r="V266" s="398"/>
      <c r="X266"/>
      <c r="Y266"/>
      <c r="Z266"/>
      <c r="AA266"/>
      <c r="AB266"/>
      <c r="AC266"/>
      <c r="AD266"/>
    </row>
    <row r="267" spans="2:31" ht="15" customHeight="1" x14ac:dyDescent="0.25">
      <c r="B267" s="212"/>
      <c r="C267" s="212"/>
      <c r="D267" s="212"/>
      <c r="J267" s="256"/>
      <c r="O267" s="348"/>
      <c r="P267" s="348">
        <v>2015</v>
      </c>
      <c r="Q267" s="348">
        <v>2016</v>
      </c>
      <c r="R267" s="348">
        <v>2017</v>
      </c>
      <c r="S267" s="348">
        <v>2018</v>
      </c>
      <c r="T267" s="348">
        <v>2019</v>
      </c>
      <c r="U267" s="348">
        <v>2020</v>
      </c>
      <c r="V267" s="348">
        <v>2021</v>
      </c>
      <c r="X267"/>
      <c r="Y267"/>
      <c r="Z267"/>
      <c r="AA267"/>
      <c r="AB267"/>
      <c r="AC267"/>
      <c r="AD267"/>
    </row>
    <row r="268" spans="2:31" ht="15" customHeight="1" x14ac:dyDescent="0.25">
      <c r="B268" s="212"/>
      <c r="C268" s="212"/>
      <c r="D268" s="212"/>
      <c r="J268" s="256"/>
      <c r="L268" s="240"/>
      <c r="O268" s="258" t="str">
        <f>O256</f>
        <v>2015 Programs</v>
      </c>
      <c r="P268" s="224">
        <f>(P229-P244-'[4]Rate Class Energy Model'!G151)*0.1</f>
        <v>54839.275272633182</v>
      </c>
      <c r="Q268" s="224">
        <f>P268</f>
        <v>54839.275272633182</v>
      </c>
      <c r="R268" s="224">
        <f t="shared" ref="R268:V273" si="44">Q268</f>
        <v>54839.275272633182</v>
      </c>
      <c r="S268" s="224">
        <f t="shared" si="44"/>
        <v>54839.275272633182</v>
      </c>
      <c r="T268" s="224">
        <f t="shared" si="44"/>
        <v>54839.275272633182</v>
      </c>
      <c r="U268" s="224">
        <f t="shared" si="44"/>
        <v>54839.275272633182</v>
      </c>
      <c r="V268" s="224">
        <f t="shared" si="44"/>
        <v>54839.275272633182</v>
      </c>
      <c r="X268"/>
      <c r="Y268"/>
      <c r="Z268"/>
      <c r="AA268"/>
      <c r="AB268"/>
      <c r="AC268"/>
      <c r="AD268"/>
    </row>
    <row r="269" spans="2:31" ht="15" customHeight="1" x14ac:dyDescent="0.25">
      <c r="B269" s="212"/>
      <c r="C269" s="212"/>
      <c r="D269" s="212"/>
      <c r="J269" s="256"/>
      <c r="O269" s="258" t="str">
        <f t="shared" ref="O269:O276" si="45">O257</f>
        <v>2016 Programs</v>
      </c>
      <c r="P269" s="224"/>
      <c r="Q269" s="224">
        <f>(Q230-Q245-'[4]Rate Class Energy Model'!H142)*0.1+'[4]Rate Class Energy Model'!H142</f>
        <v>2126871.4708728399</v>
      </c>
      <c r="R269" s="224">
        <f t="shared" si="44"/>
        <v>2126871.4708728399</v>
      </c>
      <c r="S269" s="224">
        <f t="shared" si="44"/>
        <v>2126871.4708728399</v>
      </c>
      <c r="T269" s="224">
        <f t="shared" si="44"/>
        <v>2126871.4708728399</v>
      </c>
      <c r="U269" s="224">
        <f t="shared" si="44"/>
        <v>2126871.4708728399</v>
      </c>
      <c r="V269" s="224">
        <f t="shared" si="44"/>
        <v>2126871.4708728399</v>
      </c>
      <c r="X269"/>
      <c r="Y269"/>
      <c r="Z269"/>
      <c r="AA269"/>
      <c r="AB269"/>
      <c r="AC269"/>
      <c r="AD269"/>
    </row>
    <row r="270" spans="2:31" ht="15" customHeight="1" x14ac:dyDescent="0.25">
      <c r="B270" s="212"/>
      <c r="C270" s="212"/>
      <c r="D270" s="212"/>
      <c r="J270" s="256"/>
      <c r="O270" s="258" t="str">
        <f t="shared" si="45"/>
        <v>2017 Programs</v>
      </c>
      <c r="P270" s="224"/>
      <c r="Q270" s="224"/>
      <c r="R270" s="224">
        <f>(R231-R246)*0.1</f>
        <v>91671.677882799515</v>
      </c>
      <c r="S270" s="224">
        <f t="shared" si="44"/>
        <v>91671.677882799515</v>
      </c>
      <c r="T270" s="224">
        <f t="shared" si="44"/>
        <v>91671.677882799515</v>
      </c>
      <c r="U270" s="224">
        <f t="shared" si="44"/>
        <v>91671.677882799515</v>
      </c>
      <c r="V270" s="224">
        <f t="shared" si="44"/>
        <v>91671.677882799515</v>
      </c>
      <c r="X270"/>
      <c r="Y270"/>
      <c r="Z270"/>
      <c r="AA270"/>
      <c r="AB270"/>
      <c r="AC270"/>
      <c r="AD270"/>
    </row>
    <row r="271" spans="2:31" ht="15" customHeight="1" x14ac:dyDescent="0.25">
      <c r="B271" s="212"/>
      <c r="C271" s="212"/>
      <c r="D271" s="212"/>
      <c r="J271" s="256"/>
      <c r="O271" s="258" t="str">
        <f t="shared" si="45"/>
        <v>2018 Programs</v>
      </c>
      <c r="P271" s="224"/>
      <c r="Q271" s="224"/>
      <c r="R271" s="224"/>
      <c r="S271" s="224">
        <f>(S232-S247)*0.1</f>
        <v>168551.70415966277</v>
      </c>
      <c r="T271" s="224">
        <f t="shared" si="44"/>
        <v>168551.70415966277</v>
      </c>
      <c r="U271" s="224">
        <f t="shared" si="44"/>
        <v>168551.70415966277</v>
      </c>
      <c r="V271" s="224">
        <f t="shared" si="44"/>
        <v>168551.70415966277</v>
      </c>
      <c r="X271"/>
      <c r="Y271"/>
      <c r="Z271"/>
      <c r="AA271"/>
      <c r="AB271"/>
      <c r="AC271"/>
      <c r="AD271"/>
    </row>
    <row r="272" spans="2:31" ht="15" customHeight="1" x14ac:dyDescent="0.25">
      <c r="B272" s="212"/>
      <c r="C272" s="212"/>
      <c r="D272" s="212"/>
      <c r="E272" s="256"/>
      <c r="F272" s="256"/>
      <c r="G272" s="256"/>
      <c r="H272" s="256"/>
      <c r="I272" s="256"/>
      <c r="J272" s="256"/>
      <c r="O272" s="258" t="str">
        <f t="shared" si="45"/>
        <v>2019 Programs</v>
      </c>
      <c r="P272" s="224"/>
      <c r="Q272" s="224"/>
      <c r="R272" s="224"/>
      <c r="S272" s="224"/>
      <c r="T272" s="224">
        <f>(T233-T248)*0.1</f>
        <v>184018.54368183494</v>
      </c>
      <c r="U272" s="224">
        <f t="shared" si="44"/>
        <v>184018.54368183494</v>
      </c>
      <c r="V272" s="224">
        <f t="shared" si="44"/>
        <v>184018.54368183494</v>
      </c>
      <c r="X272"/>
      <c r="Y272"/>
      <c r="Z272"/>
      <c r="AA272"/>
      <c r="AB272"/>
      <c r="AC272"/>
      <c r="AD272"/>
    </row>
    <row r="273" spans="1:30" ht="15" customHeight="1" x14ac:dyDescent="0.25">
      <c r="B273" s="212"/>
      <c r="C273" s="212"/>
      <c r="D273" s="212"/>
      <c r="E273" s="256"/>
      <c r="F273" s="256"/>
      <c r="G273" s="256"/>
      <c r="H273" s="256"/>
      <c r="I273" s="256"/>
      <c r="J273" s="256"/>
      <c r="O273" s="258" t="str">
        <f t="shared" si="45"/>
        <v>2020 Programs</v>
      </c>
      <c r="P273" s="224"/>
      <c r="Q273" s="224"/>
      <c r="R273" s="224"/>
      <c r="S273" s="224"/>
      <c r="T273" s="224"/>
      <c r="U273" s="224">
        <f>(U234-U249)*0.1</f>
        <v>190415.66222334991</v>
      </c>
      <c r="V273" s="224">
        <f t="shared" si="44"/>
        <v>190415.66222334991</v>
      </c>
      <c r="X273"/>
      <c r="Y273"/>
      <c r="Z273"/>
      <c r="AA273"/>
      <c r="AB273"/>
      <c r="AC273"/>
      <c r="AD273"/>
    </row>
    <row r="274" spans="1:30" ht="15" customHeight="1" x14ac:dyDescent="0.25">
      <c r="B274" s="212"/>
      <c r="C274" s="212"/>
      <c r="D274" s="212"/>
      <c r="E274" s="256"/>
      <c r="F274" s="256"/>
      <c r="G274" s="256"/>
      <c r="H274" s="256"/>
      <c r="I274" s="256"/>
      <c r="J274" s="256"/>
      <c r="O274" s="258" t="str">
        <f t="shared" si="45"/>
        <v>2021 Programs</v>
      </c>
      <c r="P274" s="224"/>
      <c r="Q274" s="224"/>
      <c r="R274" s="224"/>
      <c r="S274" s="224"/>
      <c r="T274" s="224"/>
      <c r="U274" s="224"/>
      <c r="V274" s="224">
        <f>(V235-V250)*0.1</f>
        <v>119680.86491499376</v>
      </c>
      <c r="X274"/>
      <c r="Y274"/>
      <c r="Z274"/>
      <c r="AA274"/>
      <c r="AB274"/>
      <c r="AC274"/>
      <c r="AD274"/>
    </row>
    <row r="275" spans="1:30" ht="15" customHeight="1" x14ac:dyDescent="0.25">
      <c r="B275" s="212"/>
      <c r="C275" s="212"/>
      <c r="D275" s="212"/>
      <c r="E275" s="256"/>
      <c r="F275" s="256"/>
      <c r="G275" s="256"/>
      <c r="H275" s="256"/>
      <c r="I275" s="256"/>
      <c r="J275" s="256"/>
      <c r="O275" s="258" t="str">
        <f t="shared" si="45"/>
        <v>Total for 2015 to 2020 Target</v>
      </c>
      <c r="P275" s="224">
        <f>P268</f>
        <v>54839.275272633182</v>
      </c>
      <c r="Q275" s="224">
        <f>Q269</f>
        <v>2126871.4708728399</v>
      </c>
      <c r="R275" s="224">
        <f>R270</f>
        <v>91671.677882799515</v>
      </c>
      <c r="S275" s="224">
        <f>S271</f>
        <v>168551.70415966277</v>
      </c>
      <c r="T275" s="224">
        <f>T272</f>
        <v>184018.54368183494</v>
      </c>
      <c r="U275" s="224">
        <f>U273</f>
        <v>190415.66222334991</v>
      </c>
      <c r="V275" s="224" t="s">
        <v>298</v>
      </c>
      <c r="X275"/>
      <c r="Y275"/>
      <c r="Z275"/>
      <c r="AA275"/>
      <c r="AB275"/>
      <c r="AC275"/>
      <c r="AD275"/>
    </row>
    <row r="276" spans="1:30" ht="15" customHeight="1" x14ac:dyDescent="0.25">
      <c r="B276" s="212"/>
      <c r="C276" s="212"/>
      <c r="D276" s="212"/>
      <c r="E276" s="256"/>
      <c r="F276" s="256"/>
      <c r="G276" s="256"/>
      <c r="H276" s="256"/>
      <c r="I276" s="256"/>
      <c r="J276" s="256"/>
      <c r="O276" s="258" t="str">
        <f t="shared" si="45"/>
        <v>Total Including Persistence</v>
      </c>
      <c r="P276" s="224">
        <f>SUM(P268:P274)</f>
        <v>54839.275272633182</v>
      </c>
      <c r="Q276" s="224">
        <f t="shared" ref="Q276:V276" si="46">SUM(Q268:Q274)</f>
        <v>2181710.7461454729</v>
      </c>
      <c r="R276" s="224">
        <f t="shared" si="46"/>
        <v>2273382.4240282723</v>
      </c>
      <c r="S276" s="224">
        <f t="shared" si="46"/>
        <v>2441934.1281879349</v>
      </c>
      <c r="T276" s="224">
        <f t="shared" si="46"/>
        <v>2625952.6718697697</v>
      </c>
      <c r="U276" s="224">
        <f t="shared" si="46"/>
        <v>2816368.3340931195</v>
      </c>
      <c r="V276" s="224">
        <f t="shared" si="46"/>
        <v>2936049.1990081132</v>
      </c>
      <c r="X276"/>
      <c r="Y276"/>
      <c r="Z276"/>
      <c r="AA276"/>
      <c r="AB276"/>
      <c r="AC276"/>
      <c r="AD276"/>
    </row>
    <row r="277" spans="1:30" ht="15" customHeight="1" x14ac:dyDescent="0.25">
      <c r="B277" s="212"/>
      <c r="C277" s="212"/>
      <c r="D277" s="212"/>
      <c r="E277" s="256"/>
      <c r="F277" s="256"/>
      <c r="G277" s="256"/>
      <c r="H277" s="256"/>
      <c r="I277" s="256"/>
      <c r="J277" s="256"/>
      <c r="O277"/>
      <c r="P277"/>
      <c r="Q277"/>
      <c r="R277"/>
      <c r="S277"/>
      <c r="T277"/>
      <c r="U277"/>
      <c r="V277"/>
      <c r="X277"/>
      <c r="Y277"/>
      <c r="Z277"/>
      <c r="AA277"/>
      <c r="AB277"/>
      <c r="AC277"/>
      <c r="AD277"/>
    </row>
    <row r="278" spans="1:30" ht="15" customHeight="1" x14ac:dyDescent="0.25">
      <c r="B278" s="212"/>
      <c r="C278" s="212"/>
      <c r="D278" s="212"/>
      <c r="E278" s="256"/>
      <c r="F278" s="256"/>
      <c r="G278" s="256"/>
      <c r="H278" s="256"/>
      <c r="I278" s="256"/>
      <c r="J278" s="256"/>
      <c r="O278" s="259"/>
      <c r="P278" s="260"/>
      <c r="Q278" s="260"/>
      <c r="R278" s="260"/>
      <c r="S278" s="260"/>
      <c r="T278" s="260"/>
      <c r="U278"/>
      <c r="X278"/>
      <c r="Y278"/>
      <c r="Z278"/>
      <c r="AA278"/>
      <c r="AB278"/>
      <c r="AC278"/>
      <c r="AD278"/>
    </row>
    <row r="279" spans="1:30" ht="15" customHeight="1" x14ac:dyDescent="0.25">
      <c r="B279" s="212"/>
      <c r="C279" s="212"/>
      <c r="D279" s="212"/>
      <c r="E279" s="256"/>
      <c r="F279" s="256"/>
      <c r="G279" s="256"/>
      <c r="H279" s="256"/>
      <c r="I279" s="256"/>
      <c r="J279" s="256"/>
      <c r="O279" s="259"/>
      <c r="P279" s="260"/>
      <c r="Q279" s="260"/>
      <c r="R279" s="260"/>
      <c r="S279" s="260"/>
      <c r="T279" s="260"/>
      <c r="U279"/>
      <c r="X279"/>
      <c r="Y279"/>
      <c r="Z279"/>
      <c r="AA279"/>
      <c r="AB279"/>
      <c r="AC279"/>
      <c r="AD279"/>
    </row>
    <row r="280" spans="1:30" ht="15" customHeight="1" x14ac:dyDescent="0.25">
      <c r="A280" s="210" t="s">
        <v>304</v>
      </c>
      <c r="B280" s="210"/>
      <c r="C280" s="210"/>
      <c r="D280" s="211"/>
      <c r="E280" s="211"/>
      <c r="F280" s="211"/>
      <c r="G280" s="211"/>
      <c r="H280" s="211"/>
      <c r="O280" s="259"/>
      <c r="P280" s="260"/>
      <c r="Q280" s="260"/>
      <c r="R280" s="260"/>
      <c r="S280" s="260"/>
      <c r="T280" s="260"/>
      <c r="U280"/>
      <c r="X280"/>
      <c r="Y280"/>
      <c r="Z280"/>
      <c r="AA280"/>
      <c r="AB280"/>
      <c r="AC280"/>
      <c r="AD280"/>
    </row>
    <row r="281" spans="1:30" ht="30.6" x14ac:dyDescent="0.25">
      <c r="A281" s="399" t="s">
        <v>190</v>
      </c>
      <c r="B281" s="400"/>
      <c r="C281" s="400"/>
      <c r="D281" s="401"/>
      <c r="E281" s="336" t="str">
        <f t="shared" ref="E281:J281" si="47">E201</f>
        <v>Residential</v>
      </c>
      <c r="F281" s="336" t="str">
        <f t="shared" si="47"/>
        <v>General Service &lt; 50 kW</v>
      </c>
      <c r="G281" s="336" t="str">
        <f t="shared" si="47"/>
        <v>General Service 50 to 4,999 kW</v>
      </c>
      <c r="H281" s="336" t="str">
        <f t="shared" si="47"/>
        <v xml:space="preserve">Sentinel Lighting </v>
      </c>
      <c r="I281" s="336" t="str">
        <f t="shared" si="47"/>
        <v>Street Lighting</v>
      </c>
      <c r="J281" s="336" t="str">
        <f t="shared" si="47"/>
        <v>Unmetered Scattered Load</v>
      </c>
      <c r="K281" s="336" t="s">
        <v>9</v>
      </c>
      <c r="M281" s="259"/>
      <c r="N281" s="259"/>
      <c r="O281" s="260"/>
      <c r="P281" s="260"/>
      <c r="Q281" s="260"/>
      <c r="R281" s="260"/>
      <c r="S281" s="33"/>
      <c r="X281"/>
      <c r="Y281"/>
      <c r="Z281"/>
      <c r="AA281"/>
      <c r="AB281"/>
      <c r="AC281"/>
      <c r="AD281"/>
    </row>
    <row r="282" spans="1:30" ht="15" customHeight="1" x14ac:dyDescent="0.25">
      <c r="A282" s="380" t="s">
        <v>305</v>
      </c>
      <c r="B282" s="381"/>
      <c r="C282" s="381"/>
      <c r="D282" s="382"/>
      <c r="E282" s="247">
        <f>R252-R244</f>
        <v>476185.65879572392</v>
      </c>
      <c r="F282" s="247">
        <f>R264-R256</f>
        <v>1588888.3388007528</v>
      </c>
      <c r="G282" s="247">
        <f>R276-R268</f>
        <v>2218543.1487556389</v>
      </c>
      <c r="H282" s="247">
        <v>0</v>
      </c>
      <c r="I282" s="247">
        <v>0</v>
      </c>
      <c r="J282" s="247">
        <v>0</v>
      </c>
      <c r="K282" s="247">
        <f>SUM(E282:J282)</f>
        <v>4283617.146352116</v>
      </c>
      <c r="L282" s="239"/>
      <c r="M282" s="239"/>
      <c r="N282" s="239"/>
      <c r="O282" s="239"/>
      <c r="X282"/>
      <c r="Y282"/>
      <c r="Z282"/>
      <c r="AA282"/>
      <c r="AB282"/>
      <c r="AC282"/>
      <c r="AD282"/>
    </row>
    <row r="283" spans="1:30" ht="15" customHeight="1" x14ac:dyDescent="0.25">
      <c r="A283" s="380" t="s">
        <v>306</v>
      </c>
      <c r="B283" s="381"/>
      <c r="C283" s="381"/>
      <c r="D283" s="382"/>
      <c r="E283" s="247">
        <f>S252-S244</f>
        <v>964797.45925726707</v>
      </c>
      <c r="F283" s="247">
        <f>S264-S256</f>
        <v>3105853.6762377173</v>
      </c>
      <c r="G283" s="247">
        <f>S276-S268</f>
        <v>2387094.8529153019</v>
      </c>
      <c r="H283" s="247">
        <v>0</v>
      </c>
      <c r="I283" s="247">
        <v>0</v>
      </c>
      <c r="J283" s="247">
        <v>0</v>
      </c>
      <c r="K283" s="247">
        <f t="shared" ref="K283:K286" si="48">SUM(E283:J283)</f>
        <v>6457745.9884102866</v>
      </c>
      <c r="M283" s="239"/>
      <c r="N283" s="239"/>
      <c r="O283" s="239"/>
      <c r="X283"/>
      <c r="Y283"/>
      <c r="Z283"/>
      <c r="AA283"/>
      <c r="AB283"/>
      <c r="AC283"/>
      <c r="AD283"/>
    </row>
    <row r="284" spans="1:30" ht="15" customHeight="1" x14ac:dyDescent="0.25">
      <c r="A284" s="380" t="s">
        <v>307</v>
      </c>
      <c r="B284" s="381"/>
      <c r="C284" s="381"/>
      <c r="D284" s="382"/>
      <c r="E284" s="247">
        <f>T252-T244</f>
        <v>1445695.8038680153</v>
      </c>
      <c r="F284" s="247">
        <f>T264-T256</f>
        <v>4762020.5693742326</v>
      </c>
      <c r="G284" s="247">
        <f>T276-T268</f>
        <v>2571113.3965971367</v>
      </c>
      <c r="H284" s="247">
        <v>0</v>
      </c>
      <c r="I284" s="247">
        <v>0</v>
      </c>
      <c r="J284" s="247">
        <v>0</v>
      </c>
      <c r="K284" s="247">
        <f t="shared" si="48"/>
        <v>8778829.7698393837</v>
      </c>
      <c r="M284" s="239"/>
      <c r="N284" s="239"/>
      <c r="O284" s="239"/>
      <c r="X284"/>
      <c r="Y284"/>
      <c r="Z284"/>
      <c r="AA284"/>
      <c r="AB284"/>
      <c r="AC284"/>
      <c r="AD284"/>
    </row>
    <row r="285" spans="1:30" ht="15" customHeight="1" x14ac:dyDescent="0.25">
      <c r="A285" s="380" t="s">
        <v>308</v>
      </c>
      <c r="B285" s="381"/>
      <c r="C285" s="381"/>
      <c r="D285" s="382"/>
      <c r="E285" s="247">
        <f>U252-U244</f>
        <v>2068944.8770082388</v>
      </c>
      <c r="F285" s="247">
        <f>U264-U256</f>
        <v>6475761.5293843811</v>
      </c>
      <c r="G285" s="247">
        <f>U276-U268</f>
        <v>2761529.0588204861</v>
      </c>
      <c r="H285" s="247">
        <v>0</v>
      </c>
      <c r="I285" s="247">
        <v>0</v>
      </c>
      <c r="J285" s="247">
        <v>0</v>
      </c>
      <c r="K285" s="247">
        <f t="shared" si="48"/>
        <v>11306235.465213105</v>
      </c>
      <c r="M285" s="239"/>
      <c r="N285" s="239"/>
      <c r="O285" s="239"/>
      <c r="X285"/>
      <c r="Y285"/>
      <c r="Z285"/>
      <c r="AA285"/>
      <c r="AB285"/>
      <c r="AC285"/>
      <c r="AD285"/>
    </row>
    <row r="286" spans="1:30" ht="15" customHeight="1" x14ac:dyDescent="0.25">
      <c r="A286" s="380" t="s">
        <v>309</v>
      </c>
      <c r="B286" s="381"/>
      <c r="C286" s="381"/>
      <c r="D286" s="382"/>
      <c r="E286" s="247">
        <f>V252-V244</f>
        <v>2574025.0660856105</v>
      </c>
      <c r="F286" s="247">
        <f>V264-V256</f>
        <v>7552889.3136193249</v>
      </c>
      <c r="G286" s="247">
        <f>V276-V268</f>
        <v>2881209.9237354798</v>
      </c>
      <c r="H286" s="247">
        <v>0</v>
      </c>
      <c r="I286" s="247">
        <v>0</v>
      </c>
      <c r="J286" s="247">
        <v>0</v>
      </c>
      <c r="K286" s="247">
        <f t="shared" si="48"/>
        <v>13008124.303440414</v>
      </c>
      <c r="M286" s="239"/>
      <c r="N286" s="239"/>
      <c r="O286" s="239"/>
      <c r="X286"/>
      <c r="Y286"/>
      <c r="Z286"/>
      <c r="AA286"/>
      <c r="AB286"/>
      <c r="AC286"/>
      <c r="AD286"/>
    </row>
    <row r="287" spans="1:30" ht="15" customHeight="1" x14ac:dyDescent="0.25">
      <c r="A287" s="383"/>
      <c r="B287" s="383"/>
      <c r="C287" s="383"/>
      <c r="D287" s="383"/>
      <c r="E287" s="383"/>
      <c r="F287" s="383"/>
      <c r="G287" s="383"/>
      <c r="H287" s="383"/>
      <c r="I287" s="383"/>
      <c r="J287" s="383"/>
      <c r="K287" s="383"/>
      <c r="X287"/>
      <c r="Y287"/>
      <c r="Z287"/>
      <c r="AA287"/>
      <c r="AB287"/>
      <c r="AC287"/>
      <c r="AD287"/>
    </row>
    <row r="288" spans="1:30" ht="15" customHeight="1" x14ac:dyDescent="0.25">
      <c r="A288" s="380" t="s">
        <v>310</v>
      </c>
      <c r="B288" s="381"/>
      <c r="C288" s="381"/>
      <c r="D288" s="382"/>
      <c r="E288" s="247">
        <v>0</v>
      </c>
      <c r="F288" s="247">
        <v>0</v>
      </c>
      <c r="G288" s="247">
        <f>G282*'[4]Rate Class Load Model'!$B$31</f>
        <v>6231.4223328434382</v>
      </c>
      <c r="H288" s="247">
        <v>0</v>
      </c>
      <c r="I288" s="247">
        <v>0</v>
      </c>
      <c r="J288" s="247">
        <v>0</v>
      </c>
      <c r="K288" s="247">
        <f>SUM(E288:J288)</f>
        <v>6231.4223328434382</v>
      </c>
      <c r="X288"/>
      <c r="Y288"/>
      <c r="Z288"/>
      <c r="AA288"/>
      <c r="AB288"/>
      <c r="AC288"/>
      <c r="AD288"/>
    </row>
    <row r="289" spans="1:30" ht="15" customHeight="1" x14ac:dyDescent="0.25">
      <c r="A289" s="380" t="s">
        <v>311</v>
      </c>
      <c r="B289" s="381"/>
      <c r="C289" s="381"/>
      <c r="D289" s="382"/>
      <c r="E289" s="247">
        <v>0</v>
      </c>
      <c r="F289" s="247">
        <v>0</v>
      </c>
      <c r="G289" s="247">
        <f>G283*'[4]Rate Class Load Model'!$B$31</f>
        <v>6704.8487136323165</v>
      </c>
      <c r="H289" s="247">
        <v>0</v>
      </c>
      <c r="I289" s="247">
        <v>0</v>
      </c>
      <c r="J289" s="247">
        <v>0</v>
      </c>
      <c r="K289" s="247">
        <f t="shared" ref="K289:K292" si="49">SUM(E289:J289)</f>
        <v>6704.8487136323165</v>
      </c>
      <c r="X289"/>
      <c r="Y289"/>
      <c r="Z289"/>
      <c r="AA289"/>
      <c r="AB289"/>
      <c r="AC289"/>
      <c r="AD289"/>
    </row>
    <row r="290" spans="1:30" ht="15" customHeight="1" x14ac:dyDescent="0.25">
      <c r="A290" s="380" t="s">
        <v>312</v>
      </c>
      <c r="B290" s="381"/>
      <c r="C290" s="381"/>
      <c r="D290" s="382"/>
      <c r="E290" s="247">
        <v>0</v>
      </c>
      <c r="F290" s="247">
        <v>0</v>
      </c>
      <c r="G290" s="247">
        <f>G284*'[4]Rate Class Load Model'!$B$31</f>
        <v>7221.7182022422112</v>
      </c>
      <c r="H290" s="247">
        <v>0</v>
      </c>
      <c r="I290" s="247">
        <v>0</v>
      </c>
      <c r="J290" s="247">
        <v>0</v>
      </c>
      <c r="K290" s="247">
        <f t="shared" si="49"/>
        <v>7221.7182022422112</v>
      </c>
      <c r="X290"/>
      <c r="Y290"/>
      <c r="Z290"/>
      <c r="AA290"/>
      <c r="AB290"/>
      <c r="AC290"/>
      <c r="AD290"/>
    </row>
    <row r="291" spans="1:30" ht="15" customHeight="1" x14ac:dyDescent="0.25">
      <c r="A291" s="380" t="s">
        <v>313</v>
      </c>
      <c r="B291" s="381"/>
      <c r="C291" s="381"/>
      <c r="D291" s="382"/>
      <c r="E291" s="247">
        <v>0</v>
      </c>
      <c r="F291" s="247">
        <v>0</v>
      </c>
      <c r="G291" s="247">
        <f>G285*'[4]Rate Class Load Model'!$B$31</f>
        <v>7756.5558549456455</v>
      </c>
      <c r="H291" s="247">
        <v>0</v>
      </c>
      <c r="I291" s="247">
        <v>0</v>
      </c>
      <c r="J291" s="247">
        <v>0</v>
      </c>
      <c r="K291" s="247">
        <f t="shared" si="49"/>
        <v>7756.5558549456455</v>
      </c>
      <c r="X291"/>
      <c r="Y291"/>
      <c r="Z291"/>
      <c r="AA291"/>
      <c r="AB291"/>
      <c r="AC291"/>
      <c r="AD291"/>
    </row>
    <row r="292" spans="1:30" ht="15" customHeight="1" x14ac:dyDescent="0.25">
      <c r="A292" s="380" t="s">
        <v>314</v>
      </c>
      <c r="B292" s="381"/>
      <c r="C292" s="381"/>
      <c r="D292" s="382"/>
      <c r="E292" s="247">
        <v>0</v>
      </c>
      <c r="F292" s="247">
        <v>0</v>
      </c>
      <c r="G292" s="247">
        <f>G286*'[4]Rate Class Load Model'!$B$31</f>
        <v>8092.7142996725879</v>
      </c>
      <c r="H292" s="247">
        <v>0</v>
      </c>
      <c r="I292" s="247">
        <v>0</v>
      </c>
      <c r="J292" s="247">
        <v>0</v>
      </c>
      <c r="K292" s="247">
        <f t="shared" si="49"/>
        <v>8092.7142996725879</v>
      </c>
      <c r="X292"/>
      <c r="Y292"/>
      <c r="Z292"/>
      <c r="AA292"/>
      <c r="AB292"/>
      <c r="AC292"/>
      <c r="AD292"/>
    </row>
    <row r="293" spans="1:30" ht="15" customHeight="1" x14ac:dyDescent="0.25">
      <c r="A293" s="383"/>
      <c r="B293" s="383"/>
      <c r="C293" s="383"/>
      <c r="D293" s="383"/>
      <c r="E293" s="383"/>
      <c r="F293" s="383"/>
      <c r="G293" s="383"/>
      <c r="H293" s="383"/>
      <c r="I293" s="383"/>
      <c r="J293" s="383"/>
      <c r="K293" s="383"/>
      <c r="X293"/>
      <c r="Y293"/>
      <c r="Z293"/>
      <c r="AA293"/>
      <c r="AB293"/>
      <c r="AC293"/>
      <c r="AD293"/>
    </row>
    <row r="294" spans="1:30" ht="15" customHeight="1" x14ac:dyDescent="0.25">
      <c r="A294" s="380" t="s">
        <v>315</v>
      </c>
      <c r="B294" s="381"/>
      <c r="C294" s="381"/>
      <c r="D294" s="382"/>
      <c r="E294" s="247">
        <v>0</v>
      </c>
      <c r="F294" s="247">
        <v>0</v>
      </c>
      <c r="G294" s="247">
        <f>G288/12</f>
        <v>519.28519440361981</v>
      </c>
      <c r="H294" s="247">
        <v>0</v>
      </c>
      <c r="I294" s="247">
        <v>0</v>
      </c>
      <c r="J294" s="247">
        <v>0</v>
      </c>
      <c r="K294" s="247">
        <f>SUM(E294:J294)</f>
        <v>519.28519440361981</v>
      </c>
      <c r="X294"/>
      <c r="Y294"/>
      <c r="Z294"/>
      <c r="AA294"/>
      <c r="AB294"/>
      <c r="AC294"/>
      <c r="AD294"/>
    </row>
    <row r="295" spans="1:30" ht="15" customHeight="1" x14ac:dyDescent="0.25">
      <c r="A295" s="380" t="s">
        <v>316</v>
      </c>
      <c r="B295" s="381"/>
      <c r="C295" s="381"/>
      <c r="D295" s="382"/>
      <c r="E295" s="247">
        <v>0</v>
      </c>
      <c r="F295" s="247">
        <v>0</v>
      </c>
      <c r="G295" s="247">
        <f t="shared" ref="G295:G298" si="50">G289/12</f>
        <v>558.73739280269308</v>
      </c>
      <c r="H295" s="247">
        <v>0</v>
      </c>
      <c r="I295" s="247">
        <v>0</v>
      </c>
      <c r="J295" s="247">
        <v>0</v>
      </c>
      <c r="K295" s="247">
        <f t="shared" ref="K295:K298" si="51">SUM(E295:J295)</f>
        <v>558.73739280269308</v>
      </c>
      <c r="X295"/>
      <c r="Y295"/>
      <c r="Z295"/>
      <c r="AA295"/>
      <c r="AB295"/>
      <c r="AC295"/>
      <c r="AD295"/>
    </row>
    <row r="296" spans="1:30" ht="15" customHeight="1" x14ac:dyDescent="0.25">
      <c r="A296" s="380" t="s">
        <v>317</v>
      </c>
      <c r="B296" s="381"/>
      <c r="C296" s="381"/>
      <c r="D296" s="382"/>
      <c r="E296" s="247">
        <v>0</v>
      </c>
      <c r="F296" s="247">
        <v>0</v>
      </c>
      <c r="G296" s="247">
        <f t="shared" si="50"/>
        <v>601.80985018685089</v>
      </c>
      <c r="H296" s="247">
        <v>0</v>
      </c>
      <c r="I296" s="247">
        <v>0</v>
      </c>
      <c r="J296" s="247">
        <v>0</v>
      </c>
      <c r="K296" s="247">
        <f t="shared" si="51"/>
        <v>601.80985018685089</v>
      </c>
      <c r="X296"/>
      <c r="Y296"/>
      <c r="Z296"/>
      <c r="AA296"/>
      <c r="AB296"/>
      <c r="AC296"/>
      <c r="AD296"/>
    </row>
    <row r="297" spans="1:30" ht="15" customHeight="1" x14ac:dyDescent="0.25">
      <c r="A297" s="380" t="s">
        <v>318</v>
      </c>
      <c r="B297" s="381"/>
      <c r="C297" s="381"/>
      <c r="D297" s="382"/>
      <c r="E297" s="247">
        <v>0</v>
      </c>
      <c r="F297" s="247">
        <v>0</v>
      </c>
      <c r="G297" s="247">
        <f t="shared" si="50"/>
        <v>646.37965457880375</v>
      </c>
      <c r="H297" s="247">
        <v>0</v>
      </c>
      <c r="I297" s="247">
        <v>0</v>
      </c>
      <c r="J297" s="247">
        <v>0</v>
      </c>
      <c r="K297" s="247">
        <f t="shared" si="51"/>
        <v>646.37965457880375</v>
      </c>
      <c r="X297"/>
      <c r="Y297"/>
      <c r="Z297"/>
      <c r="AA297"/>
      <c r="AB297"/>
      <c r="AC297"/>
      <c r="AD297"/>
    </row>
    <row r="298" spans="1:30" ht="15" customHeight="1" x14ac:dyDescent="0.25">
      <c r="A298" s="380" t="s">
        <v>319</v>
      </c>
      <c r="B298" s="381"/>
      <c r="C298" s="381"/>
      <c r="D298" s="382"/>
      <c r="E298" s="247">
        <v>0</v>
      </c>
      <c r="F298" s="247">
        <v>0</v>
      </c>
      <c r="G298" s="247">
        <f t="shared" si="50"/>
        <v>674.39285830604899</v>
      </c>
      <c r="H298" s="247">
        <v>0</v>
      </c>
      <c r="I298" s="247">
        <v>0</v>
      </c>
      <c r="J298" s="247">
        <v>0</v>
      </c>
      <c r="K298" s="247">
        <f t="shared" si="51"/>
        <v>674.39285830604899</v>
      </c>
      <c r="X298"/>
      <c r="Y298"/>
      <c r="Z298"/>
      <c r="AA298"/>
      <c r="AB298"/>
      <c r="AC298"/>
      <c r="AD298"/>
    </row>
    <row r="299" spans="1:30" ht="15" customHeight="1" x14ac:dyDescent="0.25">
      <c r="A299" s="229"/>
      <c r="B299" s="229"/>
      <c r="C299" s="229"/>
      <c r="D299" s="229"/>
      <c r="E299" s="251"/>
      <c r="F299" s="251"/>
      <c r="G299" s="251"/>
      <c r="H299" s="251"/>
      <c r="I299" s="251"/>
      <c r="J299" s="251"/>
      <c r="X299"/>
      <c r="Y299"/>
      <c r="Z299"/>
      <c r="AA299"/>
      <c r="AB299"/>
      <c r="AC299"/>
      <c r="AD299"/>
    </row>
    <row r="300" spans="1:30" ht="15" customHeight="1" x14ac:dyDescent="0.25">
      <c r="A300" s="229"/>
      <c r="B300" s="229"/>
      <c r="C300" s="229"/>
      <c r="D300" s="229"/>
      <c r="E300" s="251"/>
      <c r="F300" s="251"/>
      <c r="G300" s="251"/>
      <c r="H300" s="251"/>
      <c r="I300" s="251"/>
      <c r="J300" s="251"/>
    </row>
    <row r="301" spans="1:30" ht="15" customHeight="1" x14ac:dyDescent="0.25">
      <c r="B301" s="212"/>
      <c r="C301" s="212"/>
      <c r="D301" s="212"/>
      <c r="E301" s="256"/>
      <c r="F301" s="256"/>
      <c r="G301" s="256"/>
      <c r="H301" s="256"/>
      <c r="I301" s="256"/>
      <c r="J301" s="256"/>
    </row>
    <row r="302" spans="1:30" ht="15" customHeight="1" x14ac:dyDescent="0.25">
      <c r="B302" s="210" t="s">
        <v>320</v>
      </c>
      <c r="C302" s="210"/>
      <c r="D302" s="210"/>
      <c r="E302" s="211"/>
      <c r="F302" s="211"/>
      <c r="G302" s="211"/>
      <c r="H302" s="211"/>
      <c r="I302" s="211"/>
      <c r="J302" s="211"/>
    </row>
    <row r="303" spans="1:30" ht="30.6" x14ac:dyDescent="0.25">
      <c r="B303" s="337" t="s">
        <v>190</v>
      </c>
      <c r="C303" s="338"/>
      <c r="D303" s="338"/>
      <c r="E303" s="336" t="str">
        <f t="shared" ref="E303:J303" si="52">E201</f>
        <v>Residential</v>
      </c>
      <c r="F303" s="336" t="str">
        <f t="shared" si="52"/>
        <v>General Service &lt; 50 kW</v>
      </c>
      <c r="G303" s="336" t="str">
        <f t="shared" si="52"/>
        <v>General Service 50 to 4,999 kW</v>
      </c>
      <c r="H303" s="336" t="str">
        <f t="shared" si="52"/>
        <v xml:space="preserve">Sentinel Lighting </v>
      </c>
      <c r="I303" s="336" t="str">
        <f t="shared" si="52"/>
        <v>Street Lighting</v>
      </c>
      <c r="J303" s="336" t="str">
        <f t="shared" si="52"/>
        <v>Unmetered Scattered Load</v>
      </c>
      <c r="K303" s="336" t="s">
        <v>9</v>
      </c>
    </row>
    <row r="304" spans="1:30" ht="15" customHeight="1" x14ac:dyDescent="0.25">
      <c r="B304" s="380" t="s">
        <v>224</v>
      </c>
      <c r="C304" s="381"/>
      <c r="D304" s="381"/>
      <c r="E304" s="381"/>
      <c r="F304" s="381"/>
      <c r="G304" s="381"/>
      <c r="H304" s="381"/>
      <c r="I304" s="381"/>
      <c r="J304" s="381"/>
      <c r="K304" s="382"/>
    </row>
    <row r="305" spans="2:20" ht="15" customHeight="1" x14ac:dyDescent="0.25">
      <c r="B305" s="250" t="str">
        <f>B197</f>
        <v>2016 (Not Normalized)</v>
      </c>
      <c r="C305" s="252"/>
      <c r="D305" s="252"/>
      <c r="E305" s="253">
        <f t="shared" ref="E305:J306" si="53">E197</f>
        <v>154.7925261136829</v>
      </c>
      <c r="F305" s="253">
        <f t="shared" si="53"/>
        <v>34.849287711388406</v>
      </c>
      <c r="G305" s="253">
        <f t="shared" si="53"/>
        <v>57.538176765414207</v>
      </c>
      <c r="H305" s="253">
        <f t="shared" si="53"/>
        <v>0.10067316794547772</v>
      </c>
      <c r="I305" s="253">
        <f t="shared" si="53"/>
        <v>1.1184498992265506</v>
      </c>
      <c r="J305" s="253">
        <f t="shared" si="53"/>
        <v>0.4948681597917774</v>
      </c>
      <c r="K305" s="253">
        <f>SUM(E305:J305)</f>
        <v>248.89398181744929</v>
      </c>
      <c r="L305" s="236"/>
    </row>
    <row r="306" spans="2:20" ht="15" customHeight="1" x14ac:dyDescent="0.25">
      <c r="B306" s="250" t="str">
        <f>B198</f>
        <v>2017 (Not Normalized)</v>
      </c>
      <c r="C306" s="264"/>
      <c r="D306" s="264"/>
      <c r="E306" s="253">
        <f t="shared" si="53"/>
        <v>157.96760504139587</v>
      </c>
      <c r="F306" s="253">
        <f t="shared" si="53"/>
        <v>35.489420323601877</v>
      </c>
      <c r="G306" s="253">
        <f t="shared" si="53"/>
        <v>60.594206411287097</v>
      </c>
      <c r="H306" s="253">
        <f t="shared" si="53"/>
        <v>9.8319642763457643E-2</v>
      </c>
      <c r="I306" s="253">
        <f t="shared" si="53"/>
        <v>1.1306583173472398</v>
      </c>
      <c r="J306" s="253">
        <f t="shared" si="53"/>
        <v>0.5287307031356332</v>
      </c>
      <c r="K306" s="253">
        <f t="shared" ref="K306" si="54">SUM(E306:J306)</f>
        <v>255.8089404395312</v>
      </c>
      <c r="L306" s="236"/>
    </row>
    <row r="307" spans="2:20" ht="15" customHeight="1" x14ac:dyDescent="0.25">
      <c r="B307" s="374" t="s">
        <v>321</v>
      </c>
      <c r="C307" s="374"/>
      <c r="D307" s="374"/>
      <c r="E307" s="374"/>
      <c r="F307" s="374"/>
      <c r="G307" s="374"/>
      <c r="H307" s="374"/>
      <c r="I307" s="374"/>
      <c r="J307" s="374"/>
      <c r="K307" s="374"/>
    </row>
    <row r="308" spans="2:20" ht="13.2" x14ac:dyDescent="0.25">
      <c r="B308" s="371">
        <f>B191</f>
        <v>2016</v>
      </c>
      <c r="C308" s="372"/>
      <c r="D308" s="373"/>
      <c r="E308" s="265">
        <f>[4]Summary!L56*[4]Summary!L58/1000000</f>
        <v>0.44189545783014467</v>
      </c>
      <c r="F308" s="265">
        <f>[4]Summary!L56*[4]Summary!L59/1000000</f>
        <v>9.8757173252614655E-2</v>
      </c>
      <c r="G308" s="265">
        <v>0</v>
      </c>
      <c r="H308" s="265">
        <v>0</v>
      </c>
      <c r="I308" s="265">
        <v>0</v>
      </c>
      <c r="J308" s="317">
        <f>[4]Summary!L56*[4]Summary!L60/1000000</f>
        <v>1.7920984669257034E-3</v>
      </c>
      <c r="K308" s="253">
        <f>SUM(E308:J308)</f>
        <v>0.54244472954968503</v>
      </c>
      <c r="L308" s="236"/>
      <c r="P308"/>
    </row>
    <row r="309" spans="2:20" ht="15" customHeight="1" x14ac:dyDescent="0.25">
      <c r="B309" s="367">
        <f>B192</f>
        <v>2017</v>
      </c>
      <c r="C309" s="368"/>
      <c r="D309" s="369"/>
      <c r="E309" s="265">
        <f>[4]Summary!M56*[4]Summary!M58/1000000</f>
        <v>0.40346030904718511</v>
      </c>
      <c r="F309" s="265">
        <f>[4]Summary!M56*[4]Summary!M59/1000000</f>
        <v>9.0167479513767121E-2</v>
      </c>
      <c r="G309" s="265">
        <v>0</v>
      </c>
      <c r="H309" s="265">
        <v>0</v>
      </c>
      <c r="I309" s="265">
        <v>0</v>
      </c>
      <c r="J309" s="317">
        <f>[4]Summary!M56*[4]Summary!M60/1000000</f>
        <v>1.6362254657678616E-3</v>
      </c>
      <c r="K309" s="253">
        <f t="shared" ref="K309" si="55">SUM(E309:J309)</f>
        <v>0.4952640140267201</v>
      </c>
      <c r="L309" s="236"/>
    </row>
    <row r="310" spans="2:20" ht="15" customHeight="1" x14ac:dyDescent="0.25">
      <c r="B310" s="370" t="s">
        <v>225</v>
      </c>
      <c r="C310" s="370"/>
      <c r="D310" s="370"/>
      <c r="E310" s="370"/>
      <c r="F310" s="370"/>
      <c r="G310" s="370"/>
      <c r="H310" s="370"/>
      <c r="I310" s="370"/>
      <c r="J310" s="370"/>
      <c r="K310" s="370"/>
    </row>
    <row r="311" spans="2:20" ht="15" customHeight="1" x14ac:dyDescent="0.25">
      <c r="B311" s="371">
        <f>B308</f>
        <v>2016</v>
      </c>
      <c r="C311" s="372"/>
      <c r="D311" s="373"/>
      <c r="E311" s="265">
        <f>'[4]Rate Class Energy Model'!H88/1000000</f>
        <v>-5.3180310279905552</v>
      </c>
      <c r="F311" s="265">
        <f>'[4]Rate Class Energy Model'!I88/1000000</f>
        <v>-1.1972774009542524</v>
      </c>
      <c r="G311" s="265">
        <f>'[4]Rate Class Energy Model'!J88/1000000</f>
        <v>-1.5574581417650477</v>
      </c>
      <c r="H311" s="265">
        <f>'[4]Rate Class Energy Model'!K88/1000000</f>
        <v>0</v>
      </c>
      <c r="I311" s="265">
        <f>'[4]Rate Class Energy Model'!L88/1000000</f>
        <v>0</v>
      </c>
      <c r="J311" s="265">
        <f>'[4]Rate Class Energy Model'!M88/1000000</f>
        <v>0</v>
      </c>
      <c r="K311" s="265">
        <f>SUM(E311:J311)</f>
        <v>-8.0727665707098559</v>
      </c>
      <c r="L311" s="237"/>
    </row>
    <row r="312" spans="2:20" ht="15" customHeight="1" x14ac:dyDescent="0.25">
      <c r="B312" s="371">
        <f>B309</f>
        <v>2017</v>
      </c>
      <c r="C312" s="372"/>
      <c r="D312" s="373"/>
      <c r="E312" s="265">
        <f>'[4]Rate Class Energy Model'!H89/1000000</f>
        <v>-7.9586541396459483</v>
      </c>
      <c r="F312" s="265">
        <f>'[4]Rate Class Energy Model'!I89/1000000</f>
        <v>-1.7880123073211929</v>
      </c>
      <c r="G312" s="265">
        <f>'[4]Rate Class Energy Model'!J89/1000000</f>
        <v>-2.4052604388847478</v>
      </c>
      <c r="H312" s="265">
        <f>'[4]Rate Class Energy Model'!K89/1000000</f>
        <v>0</v>
      </c>
      <c r="I312" s="265">
        <f>'[4]Rate Class Energy Model'!L89/1000000</f>
        <v>0</v>
      </c>
      <c r="J312" s="265">
        <f>'[4]Rate Class Energy Model'!M89/1000000</f>
        <v>0</v>
      </c>
      <c r="K312" s="265">
        <f t="shared" ref="K312" si="56">SUM(E312:J312)</f>
        <v>-12.151926885851889</v>
      </c>
      <c r="L312" s="237"/>
    </row>
    <row r="313" spans="2:20" ht="15" customHeight="1" x14ac:dyDescent="0.25">
      <c r="B313" s="374" t="s">
        <v>226</v>
      </c>
      <c r="C313" s="374"/>
      <c r="D313" s="374"/>
      <c r="E313" s="374"/>
      <c r="F313" s="374"/>
      <c r="G313" s="374"/>
      <c r="H313" s="374"/>
      <c r="I313" s="374"/>
      <c r="J313" s="374"/>
      <c r="K313" s="374"/>
    </row>
    <row r="314" spans="2:20" x14ac:dyDescent="0.25">
      <c r="B314" s="371">
        <f>B308</f>
        <v>2016</v>
      </c>
      <c r="C314" s="372"/>
      <c r="D314" s="373"/>
      <c r="E314" s="266">
        <f>-(Q244+Q245)/2/1000000</f>
        <v>-0.24221693312594555</v>
      </c>
      <c r="F314" s="266">
        <f>-(Q256*0.5+Q257*0.5)/1000000</f>
        <v>-0.62869835765462789</v>
      </c>
      <c r="G314" s="266">
        <f>-(Q268*0.5+Q269*0.5)/1000000</f>
        <v>-1.0908553730727364</v>
      </c>
      <c r="H314" s="266">
        <v>0</v>
      </c>
      <c r="I314" s="266">
        <f>'[4]Rate Class Energy Model'!L97/1000000</f>
        <v>-0.46103100000000002</v>
      </c>
      <c r="J314" s="266">
        <v>0</v>
      </c>
      <c r="K314" s="265">
        <f>SUM(E314:J314)</f>
        <v>-2.4228016638533099</v>
      </c>
    </row>
    <row r="315" spans="2:20" ht="15" customHeight="1" x14ac:dyDescent="0.25">
      <c r="B315" s="367">
        <f>B309</f>
        <v>2017</v>
      </c>
      <c r="C315" s="368"/>
      <c r="D315" s="369"/>
      <c r="E315" s="266">
        <f>-(R244*0.5+R245+R246*0.5)/1000000</f>
        <v>-0.48030976252380758</v>
      </c>
      <c r="F315" s="266">
        <f>-(R256*0.5+R257+R258*0.5)/1000000</f>
        <v>-1.4231425270550042</v>
      </c>
      <c r="G315" s="266">
        <f>-(R268*0.5+R269+R270*0.5)/1000000</f>
        <v>-2.2001269474505563</v>
      </c>
      <c r="H315" s="266">
        <v>0</v>
      </c>
      <c r="I315" s="266">
        <f>'[4]Rate Class Energy Model'!L98/1000000</f>
        <v>-0.46103100000000002</v>
      </c>
      <c r="J315" s="266">
        <v>0</v>
      </c>
      <c r="K315" s="265">
        <f t="shared" ref="K315" si="57">SUM(E315:J315)</f>
        <v>-4.5646102370293686</v>
      </c>
    </row>
    <row r="316" spans="2:20" ht="15" customHeight="1" x14ac:dyDescent="0.25">
      <c r="B316" s="374" t="s">
        <v>227</v>
      </c>
      <c r="C316" s="374"/>
      <c r="D316" s="374"/>
      <c r="E316" s="374"/>
      <c r="F316" s="374"/>
      <c r="G316" s="374"/>
      <c r="H316" s="374"/>
      <c r="I316" s="374"/>
      <c r="J316" s="374"/>
      <c r="K316" s="374"/>
    </row>
    <row r="317" spans="2:20" ht="11.25" customHeight="1" x14ac:dyDescent="0.25">
      <c r="B317" s="371" t="str">
        <f>B223</f>
        <v>2016 Bridge - Normalized</v>
      </c>
      <c r="C317" s="372"/>
      <c r="D317" s="373"/>
      <c r="E317" s="266">
        <f t="shared" ref="E317:J318" si="58">E305+E308+E311+E314</f>
        <v>149.67417361039656</v>
      </c>
      <c r="F317" s="266">
        <f t="shared" si="58"/>
        <v>33.122069126032144</v>
      </c>
      <c r="G317" s="266">
        <f t="shared" si="58"/>
        <v>54.889863250576425</v>
      </c>
      <c r="H317" s="266">
        <f t="shared" si="58"/>
        <v>0.10067316794547772</v>
      </c>
      <c r="I317" s="266">
        <f t="shared" si="58"/>
        <v>0.65741889922655061</v>
      </c>
      <c r="J317" s="266">
        <f t="shared" si="58"/>
        <v>0.49666025825870308</v>
      </c>
      <c r="K317" s="265">
        <f>SUM(E317:J317)</f>
        <v>238.94085831243586</v>
      </c>
      <c r="L317" s="236"/>
      <c r="N317"/>
      <c r="O317" s="236"/>
      <c r="P317" s="236"/>
      <c r="Q317" s="236"/>
      <c r="R317" s="236"/>
      <c r="S317" s="236"/>
      <c r="T317" s="236"/>
    </row>
    <row r="318" spans="2:20" ht="11.25" customHeight="1" x14ac:dyDescent="0.25">
      <c r="B318" s="367" t="str">
        <f>B224</f>
        <v>2017 Test - Normalized</v>
      </c>
      <c r="C318" s="368"/>
      <c r="D318" s="369"/>
      <c r="E318" s="266">
        <f t="shared" si="58"/>
        <v>149.9321014482733</v>
      </c>
      <c r="F318" s="266">
        <f t="shared" si="58"/>
        <v>32.368432968739441</v>
      </c>
      <c r="G318" s="266">
        <f t="shared" si="58"/>
        <v>55.988819024951795</v>
      </c>
      <c r="H318" s="266">
        <f t="shared" si="58"/>
        <v>9.8319642763457643E-2</v>
      </c>
      <c r="I318" s="266">
        <f t="shared" si="58"/>
        <v>0.66962731734723979</v>
      </c>
      <c r="J318" s="266">
        <f t="shared" si="58"/>
        <v>0.53036692860140111</v>
      </c>
      <c r="K318" s="265">
        <f t="shared" ref="K318" si="59">SUM(E318:J318)</f>
        <v>239.58766733067665</v>
      </c>
      <c r="L318" s="236"/>
      <c r="N318"/>
      <c r="O318" s="236"/>
      <c r="P318" s="236"/>
      <c r="Q318" s="236"/>
      <c r="R318" s="236"/>
      <c r="S318" s="236"/>
      <c r="T318" s="236"/>
    </row>
    <row r="319" spans="2:20" customFormat="1" ht="11.25" customHeight="1" x14ac:dyDescent="0.25"/>
    <row r="320" spans="2:20" ht="15" customHeight="1" x14ac:dyDescent="0.25">
      <c r="B320" s="229"/>
      <c r="C320" s="229"/>
      <c r="D320" s="229"/>
      <c r="E320" s="267"/>
    </row>
    <row r="321" spans="2:11" ht="15" customHeight="1" x14ac:dyDescent="0.25">
      <c r="B321" s="210" t="s">
        <v>322</v>
      </c>
      <c r="C321" s="210"/>
      <c r="D321" s="210"/>
      <c r="E321" s="211"/>
      <c r="F321" s="211"/>
      <c r="G321" s="211"/>
      <c r="H321" s="211"/>
      <c r="I321" s="211"/>
      <c r="J321" s="211"/>
    </row>
    <row r="322" spans="2:11" ht="30.6" x14ac:dyDescent="0.25">
      <c r="B322" s="345" t="s">
        <v>190</v>
      </c>
      <c r="C322" s="346"/>
      <c r="D322" s="346"/>
      <c r="E322" s="347" t="str">
        <f>G303</f>
        <v>General Service 50 to 4,999 kW</v>
      </c>
      <c r="F322" s="347" t="str">
        <f>H303</f>
        <v xml:space="preserve">Sentinel Lighting </v>
      </c>
      <c r="G322" s="347" t="str">
        <f>I303</f>
        <v>Street Lighting</v>
      </c>
      <c r="H322" s="347" t="s">
        <v>9</v>
      </c>
    </row>
    <row r="323" spans="2:11" ht="15" customHeight="1" x14ac:dyDescent="0.25">
      <c r="B323" s="375" t="s">
        <v>228</v>
      </c>
      <c r="C323" s="375"/>
      <c r="D323" s="375"/>
      <c r="E323" s="375"/>
      <c r="F323" s="375"/>
      <c r="G323" s="375"/>
      <c r="H323" s="375"/>
    </row>
    <row r="324" spans="2:11" ht="15" customHeight="1" x14ac:dyDescent="0.25">
      <c r="B324" s="250">
        <f>'[4]Exhibit 3 Tables'!B208</f>
        <v>2006</v>
      </c>
      <c r="C324" s="252"/>
      <c r="D324" s="252"/>
      <c r="E324" s="247">
        <f>'[4]Rate Class Load Model'!B2</f>
        <v>118310</v>
      </c>
      <c r="F324" s="247">
        <f>'[4]Rate Class Load Model'!C2</f>
        <v>367</v>
      </c>
      <c r="G324" s="247">
        <f>'[4]Rate Class Load Model'!D2</f>
        <v>4014</v>
      </c>
      <c r="H324" s="247">
        <f>SUM(E324:G324)</f>
        <v>122691</v>
      </c>
      <c r="I324"/>
      <c r="K324" s="239"/>
    </row>
    <row r="325" spans="2:11" ht="15" customHeight="1" x14ac:dyDescent="0.25">
      <c r="B325" s="250">
        <f>'[4]Exhibit 3 Tables'!B209</f>
        <v>2007</v>
      </c>
      <c r="C325" s="227"/>
      <c r="D325" s="227"/>
      <c r="E325" s="247">
        <f>'[4]Rate Class Load Model'!B3</f>
        <v>116956</v>
      </c>
      <c r="F325" s="247">
        <f>'[4]Rate Class Load Model'!C3</f>
        <v>351</v>
      </c>
      <c r="G325" s="247">
        <f>'[4]Rate Class Load Model'!D3</f>
        <v>4153</v>
      </c>
      <c r="H325" s="247">
        <f t="shared" ref="H325:H333" si="60">SUM(E325:G325)</f>
        <v>121460</v>
      </c>
      <c r="I325"/>
      <c r="K325" s="239"/>
    </row>
    <row r="326" spans="2:11" ht="15" customHeight="1" x14ac:dyDescent="0.25">
      <c r="B326" s="250">
        <f>'[4]Exhibit 3 Tables'!B210</f>
        <v>2008</v>
      </c>
      <c r="C326" s="227"/>
      <c r="D326" s="227"/>
      <c r="E326" s="247">
        <f>'[4]Rate Class Load Model'!B4</f>
        <v>134692.85</v>
      </c>
      <c r="F326" s="247">
        <f>'[4]Rate Class Load Model'!C4</f>
        <v>345.03227777777778</v>
      </c>
      <c r="G326" s="247">
        <f>'[4]Rate Class Load Model'!D4</f>
        <v>4260.83</v>
      </c>
      <c r="H326" s="247">
        <f t="shared" si="60"/>
        <v>139298.71227777778</v>
      </c>
      <c r="I326"/>
      <c r="K326" s="239"/>
    </row>
    <row r="327" spans="2:11" ht="15" customHeight="1" x14ac:dyDescent="0.25">
      <c r="B327" s="250">
        <f>'[4]Exhibit 3 Tables'!B211</f>
        <v>2009</v>
      </c>
      <c r="C327" s="252"/>
      <c r="D327" s="252"/>
      <c r="E327" s="247">
        <f>'[4]Rate Class Load Model'!B5</f>
        <v>136122.29</v>
      </c>
      <c r="F327" s="247">
        <f>'[4]Rate Class Load Model'!C5</f>
        <v>338.94749999999999</v>
      </c>
      <c r="G327" s="247">
        <f>'[4]Rate Class Load Model'!D5</f>
        <v>4370.32</v>
      </c>
      <c r="H327" s="247">
        <f t="shared" si="60"/>
        <v>140831.55750000002</v>
      </c>
      <c r="I327"/>
      <c r="K327" s="239"/>
    </row>
    <row r="328" spans="2:11" ht="15" customHeight="1" x14ac:dyDescent="0.25">
      <c r="B328" s="250">
        <f>'[4]Exhibit 3 Tables'!B212</f>
        <v>2010</v>
      </c>
      <c r="C328" s="252"/>
      <c r="D328" s="252"/>
      <c r="E328" s="247">
        <f>'[4]Rate Class Load Model'!B6</f>
        <v>144502.21</v>
      </c>
      <c r="F328" s="247">
        <f>'[4]Rate Class Load Model'!C6</f>
        <v>324.17422222222223</v>
      </c>
      <c r="G328" s="247">
        <f>'[4]Rate Class Load Model'!D6</f>
        <v>4389.05</v>
      </c>
      <c r="H328" s="247">
        <f t="shared" si="60"/>
        <v>149215.43422222219</v>
      </c>
      <c r="I328"/>
      <c r="K328" s="239"/>
    </row>
    <row r="329" spans="2:11" ht="15" customHeight="1" x14ac:dyDescent="0.25">
      <c r="B329" s="250">
        <f>'[4]Exhibit 3 Tables'!B213</f>
        <v>2011</v>
      </c>
      <c r="C329" s="252"/>
      <c r="D329" s="252"/>
      <c r="E329" s="247">
        <f>'[4]Rate Class Load Model'!B7</f>
        <v>139425.35999999999</v>
      </c>
      <c r="F329" s="247">
        <f>'[4]Rate Class Load Model'!C7</f>
        <v>306.31894444444447</v>
      </c>
      <c r="G329" s="247">
        <f>'[4]Rate Class Load Model'!D7</f>
        <v>4416</v>
      </c>
      <c r="H329" s="247">
        <f t="shared" si="60"/>
        <v>144147.67894444443</v>
      </c>
      <c r="I329"/>
      <c r="K329" s="239"/>
    </row>
    <row r="330" spans="2:11" ht="15" customHeight="1" x14ac:dyDescent="0.25">
      <c r="B330" s="250">
        <f>'[4]Exhibit 3 Tables'!B214</f>
        <v>2012</v>
      </c>
      <c r="C330" s="252"/>
      <c r="D330" s="252"/>
      <c r="E330" s="247">
        <f>'[4]Rate Class Load Model'!B8</f>
        <v>144982</v>
      </c>
      <c r="F330" s="247">
        <f>'[4]Rate Class Load Model'!C8</f>
        <v>315</v>
      </c>
      <c r="G330" s="247">
        <f>'[4]Rate Class Load Model'!D8</f>
        <v>4424</v>
      </c>
      <c r="H330" s="247">
        <f t="shared" si="60"/>
        <v>149721</v>
      </c>
      <c r="I330"/>
      <c r="K330" s="239"/>
    </row>
    <row r="331" spans="2:11" ht="15" customHeight="1" x14ac:dyDescent="0.25">
      <c r="B331" s="250">
        <f>'[4]Exhibit 3 Tables'!B215</f>
        <v>2013</v>
      </c>
      <c r="C331" s="252"/>
      <c r="D331" s="252"/>
      <c r="E331" s="247">
        <f>'[4]Rate Class Load Model'!B9</f>
        <v>130935</v>
      </c>
      <c r="F331" s="247">
        <f>'[4]Rate Class Load Model'!C9</f>
        <v>283</v>
      </c>
      <c r="G331" s="247">
        <f>'[4]Rate Class Load Model'!D9</f>
        <v>4149</v>
      </c>
      <c r="H331" s="247">
        <f t="shared" si="60"/>
        <v>135367</v>
      </c>
      <c r="I331"/>
      <c r="K331" s="239"/>
    </row>
    <row r="332" spans="2:11" ht="15" customHeight="1" x14ac:dyDescent="0.25">
      <c r="B332" s="250">
        <f>'[4]Exhibit 3 Tables'!B216</f>
        <v>2014</v>
      </c>
      <c r="C332" s="252"/>
      <c r="D332" s="252"/>
      <c r="E332" s="247">
        <f>'[4]Rate Class Load Model'!B10</f>
        <v>135393.63999999998</v>
      </c>
      <c r="F332" s="247">
        <f>'[4]Rate Class Load Model'!C10</f>
        <v>299.94344444444442</v>
      </c>
      <c r="G332" s="247">
        <f>'[4]Rate Class Load Model'!D10</f>
        <v>4581.3899999999994</v>
      </c>
      <c r="H332" s="247">
        <f t="shared" si="60"/>
        <v>140274.97344444442</v>
      </c>
      <c r="I332"/>
      <c r="K332" s="239"/>
    </row>
    <row r="333" spans="2:11" ht="15" customHeight="1" x14ac:dyDescent="0.25">
      <c r="B333" s="250">
        <f>'[4]Exhibit 3 Tables'!B217</f>
        <v>2015</v>
      </c>
      <c r="C333" s="252"/>
      <c r="D333" s="252"/>
      <c r="E333" s="247">
        <f>'[4]Rate Class Load Model'!B11</f>
        <v>141986.79999999999</v>
      </c>
      <c r="F333" s="247">
        <f>'[4]Rate Class Load Model'!C11</f>
        <v>287.601</v>
      </c>
      <c r="G333" s="247">
        <f>'[4]Rate Class Load Model'!D11</f>
        <v>3139.7699999999995</v>
      </c>
      <c r="H333" s="247">
        <f t="shared" si="60"/>
        <v>145414.17099999997</v>
      </c>
      <c r="I333"/>
      <c r="K333" s="239"/>
    </row>
    <row r="334" spans="2:11" ht="12" customHeight="1" x14ac:dyDescent="0.25">
      <c r="B334" s="229"/>
      <c r="C334" s="229"/>
      <c r="D334" s="229"/>
      <c r="E334" s="251"/>
      <c r="F334" s="251"/>
      <c r="G334" s="251"/>
      <c r="H334" s="251"/>
      <c r="I334" s="239"/>
    </row>
    <row r="335" spans="2:11" ht="15.75" customHeight="1" x14ac:dyDescent="0.25">
      <c r="B335" s="210" t="s">
        <v>323</v>
      </c>
      <c r="C335" s="210"/>
      <c r="D335" s="210"/>
      <c r="E335" s="211"/>
      <c r="F335" s="211"/>
      <c r="G335" s="211"/>
      <c r="H335" s="211"/>
    </row>
    <row r="336" spans="2:11" ht="30.6" x14ac:dyDescent="0.25">
      <c r="B336" s="337" t="s">
        <v>190</v>
      </c>
      <c r="C336" s="338"/>
      <c r="D336" s="338"/>
      <c r="E336" s="336" t="str">
        <f>E322</f>
        <v>General Service 50 to 4,999 kW</v>
      </c>
      <c r="F336" s="336" t="str">
        <f t="shared" ref="F336:G336" si="61">F322</f>
        <v xml:space="preserve">Sentinel Lighting </v>
      </c>
      <c r="G336" s="336" t="str">
        <f t="shared" si="61"/>
        <v>Street Lighting</v>
      </c>
    </row>
    <row r="337" spans="2:8" ht="15" customHeight="1" x14ac:dyDescent="0.25">
      <c r="B337" s="376" t="s">
        <v>229</v>
      </c>
      <c r="C337" s="377"/>
      <c r="D337" s="377"/>
      <c r="E337" s="377"/>
      <c r="F337" s="377"/>
      <c r="G337" s="378"/>
    </row>
    <row r="338" spans="2:8" ht="15" customHeight="1" x14ac:dyDescent="0.25">
      <c r="B338" s="250">
        <f>B324</f>
        <v>2006</v>
      </c>
      <c r="C338" s="252"/>
      <c r="D338" s="252"/>
      <c r="E338" s="268">
        <f>'[4]Rate Class Load Model'!B20</f>
        <v>2.9703058541336548E-3</v>
      </c>
      <c r="F338" s="268">
        <f>'[4]Rate Class Load Model'!C20</f>
        <v>2.7830650114886745E-3</v>
      </c>
      <c r="G338" s="268">
        <f>'[4]Rate Class Load Model'!D20</f>
        <v>2.7768592297017403E-3</v>
      </c>
    </row>
    <row r="339" spans="2:8" ht="15" customHeight="1" x14ac:dyDescent="0.25">
      <c r="B339" s="226">
        <f t="shared" ref="B339:B347" si="62">B325</f>
        <v>2007</v>
      </c>
      <c r="C339" s="227"/>
      <c r="D339" s="227"/>
      <c r="E339" s="268">
        <f>'[4]Rate Class Load Model'!B21</f>
        <v>2.9744228021109562E-3</v>
      </c>
      <c r="F339" s="268">
        <f>'[4]Rate Class Load Model'!C21</f>
        <v>2.7775359853130861E-3</v>
      </c>
      <c r="G339" s="268">
        <f>'[4]Rate Class Load Model'!D21</f>
        <v>2.7761678722575066E-3</v>
      </c>
    </row>
    <row r="340" spans="2:8" ht="15" customHeight="1" x14ac:dyDescent="0.25">
      <c r="B340" s="226">
        <f t="shared" si="62"/>
        <v>2008</v>
      </c>
      <c r="C340" s="227"/>
      <c r="D340" s="227"/>
      <c r="E340" s="268">
        <f>'[4]Rate Class Load Model'!B22</f>
        <v>2.9753615781794329E-3</v>
      </c>
      <c r="F340" s="268">
        <f>'[4]Rate Class Load Model'!C22</f>
        <v>2.7777777777777779E-3</v>
      </c>
      <c r="G340" s="268">
        <f>'[4]Rate Class Load Model'!D22</f>
        <v>2.7777777777777775E-3</v>
      </c>
    </row>
    <row r="341" spans="2:8" ht="15" customHeight="1" x14ac:dyDescent="0.25">
      <c r="B341" s="226">
        <f t="shared" si="62"/>
        <v>2009</v>
      </c>
      <c r="C341" s="227"/>
      <c r="D341" s="227"/>
      <c r="E341" s="268">
        <f>'[4]Rate Class Load Model'!B23</f>
        <v>2.8673466943822815E-3</v>
      </c>
      <c r="F341" s="268">
        <f>'[4]Rate Class Load Model'!C23</f>
        <v>2.7777777777777775E-3</v>
      </c>
      <c r="G341" s="268">
        <f>'[4]Rate Class Load Model'!D23</f>
        <v>2.7714426097188959E-3</v>
      </c>
    </row>
    <row r="342" spans="2:8" ht="15" customHeight="1" x14ac:dyDescent="0.25">
      <c r="B342" s="226">
        <f t="shared" si="62"/>
        <v>2010</v>
      </c>
      <c r="C342" s="252"/>
      <c r="D342" s="252"/>
      <c r="E342" s="268">
        <f>'[4]Rate Class Load Model'!B24</f>
        <v>2.8262406241067509E-3</v>
      </c>
      <c r="F342" s="268">
        <f>'[4]Rate Class Load Model'!C24</f>
        <v>2.7777777777777779E-3</v>
      </c>
      <c r="G342" s="268">
        <f>'[4]Rate Class Load Model'!D24</f>
        <v>2.7777777777777779E-3</v>
      </c>
    </row>
    <row r="343" spans="2:8" ht="15" customHeight="1" x14ac:dyDescent="0.25">
      <c r="B343" s="226">
        <f t="shared" si="62"/>
        <v>2011</v>
      </c>
      <c r="C343" s="252"/>
      <c r="D343" s="252"/>
      <c r="E343" s="268">
        <f>'[4]Rate Class Load Model'!B25</f>
        <v>2.7928816654166065E-3</v>
      </c>
      <c r="F343" s="268">
        <f>'[4]Rate Class Load Model'!C25</f>
        <v>2.7786344880638991E-3</v>
      </c>
      <c r="G343" s="268">
        <f>'[4]Rate Class Load Model'!D25</f>
        <v>3.0301171204080647E-3</v>
      </c>
    </row>
    <row r="344" spans="2:8" ht="15" customHeight="1" x14ac:dyDescent="0.25">
      <c r="B344" s="226">
        <f t="shared" si="62"/>
        <v>2012</v>
      </c>
      <c r="C344" s="252"/>
      <c r="D344" s="252"/>
      <c r="E344" s="268">
        <f>'[4]Rate Class Load Model'!B26</f>
        <v>2.8351067335104876E-3</v>
      </c>
      <c r="F344" s="268">
        <f>'[4]Rate Class Load Model'!C26</f>
        <v>2.7787614696998322E-3</v>
      </c>
      <c r="G344" s="268">
        <f>'[4]Rate Class Load Model'!D26</f>
        <v>2.8183570646069605E-3</v>
      </c>
    </row>
    <row r="345" spans="2:8" ht="15" customHeight="1" x14ac:dyDescent="0.25">
      <c r="B345" s="226">
        <f t="shared" si="62"/>
        <v>2013</v>
      </c>
      <c r="C345" s="252"/>
      <c r="D345" s="252"/>
      <c r="E345" s="268">
        <f>'[4]Rate Class Load Model'!B27</f>
        <v>2.5712995330362158E-3</v>
      </c>
      <c r="F345" s="268">
        <f>'[4]Rate Class Load Model'!C27</f>
        <v>2.7787614696998322E-3</v>
      </c>
      <c r="G345" s="268">
        <f>'[4]Rate Class Load Model'!D27</f>
        <v>2.8183570646069605E-3</v>
      </c>
    </row>
    <row r="346" spans="2:8" ht="15" customHeight="1" x14ac:dyDescent="0.25">
      <c r="B346" s="226">
        <f t="shared" si="62"/>
        <v>2014</v>
      </c>
      <c r="C346" s="252"/>
      <c r="D346" s="252"/>
      <c r="E346" s="268">
        <f>'[4]Rate Class Load Model'!B28</f>
        <v>2.6761726332885198E-3</v>
      </c>
      <c r="F346" s="268">
        <f>'[4]Rate Class Load Model'!C28</f>
        <v>2.7777685168035231E-3</v>
      </c>
      <c r="G346" s="268">
        <f>'[4]Rate Class Load Model'!D28</f>
        <v>2.8183570646069605E-3</v>
      </c>
    </row>
    <row r="347" spans="2:8" ht="15" customHeight="1" x14ac:dyDescent="0.25">
      <c r="B347" s="226">
        <f t="shared" si="62"/>
        <v>2015</v>
      </c>
      <c r="C347" s="252"/>
      <c r="D347" s="252"/>
      <c r="E347" s="268">
        <f>'[4]Rate Class Load Model'!B29</f>
        <v>2.598764234956277E-3</v>
      </c>
      <c r="F347" s="268">
        <f>'[4]Rate Class Load Model'!C29</f>
        <v>2.7777874362540566E-3</v>
      </c>
      <c r="G347" s="268">
        <f>'[4]Rate Class Load Model'!D29</f>
        <v>2.8377125277013562E-3</v>
      </c>
    </row>
    <row r="348" spans="2:8" ht="15" customHeight="1" x14ac:dyDescent="0.25">
      <c r="B348" s="226" t="s">
        <v>324</v>
      </c>
      <c r="C348" s="227"/>
      <c r="D348" s="227"/>
      <c r="E348" s="268">
        <f>AVERAGE(E338:E347)</f>
        <v>2.8087902353121181E-3</v>
      </c>
      <c r="F348" s="268">
        <f t="shared" ref="F348:G348" si="63">AVERAGE(F338:F347)</f>
        <v>2.778564771065624E-3</v>
      </c>
      <c r="G348" s="268">
        <f t="shared" si="63"/>
        <v>2.8202926109163998E-3</v>
      </c>
    </row>
    <row r="349" spans="2:8" ht="15" customHeight="1" x14ac:dyDescent="0.25">
      <c r="B349" s="229"/>
      <c r="C349" s="229"/>
      <c r="D349" s="229"/>
      <c r="E349" s="269"/>
      <c r="F349" s="269"/>
    </row>
    <row r="350" spans="2:8" ht="15" customHeight="1" x14ac:dyDescent="0.25">
      <c r="B350" s="210" t="s">
        <v>325</v>
      </c>
      <c r="C350" s="210"/>
      <c r="D350" s="210"/>
      <c r="E350" s="211"/>
      <c r="F350" s="211"/>
      <c r="G350" s="211"/>
    </row>
    <row r="351" spans="2:8" ht="30.6" x14ac:dyDescent="0.25">
      <c r="B351" s="337" t="s">
        <v>190</v>
      </c>
      <c r="C351" s="338"/>
      <c r="D351" s="338"/>
      <c r="E351" s="336" t="str">
        <f>E336</f>
        <v>General Service 50 to 4,999 kW</v>
      </c>
      <c r="F351" s="336" t="str">
        <f>F336</f>
        <v xml:space="preserve">Sentinel Lighting </v>
      </c>
      <c r="G351" s="336" t="str">
        <f>G336</f>
        <v>Street Lighting</v>
      </c>
      <c r="H351" s="336" t="s">
        <v>9</v>
      </c>
    </row>
    <row r="352" spans="2:8" ht="15" customHeight="1" x14ac:dyDescent="0.25">
      <c r="B352" s="380" t="s">
        <v>230</v>
      </c>
      <c r="C352" s="381"/>
      <c r="D352" s="381"/>
      <c r="E352" s="381"/>
      <c r="F352" s="381"/>
      <c r="G352" s="381"/>
      <c r="H352" s="382"/>
    </row>
    <row r="353" spans="2:15" x14ac:dyDescent="0.25">
      <c r="B353" s="261" t="str">
        <f>B317</f>
        <v>2016 Bridge - Normalized</v>
      </c>
      <c r="C353" s="227"/>
      <c r="D353" s="228"/>
      <c r="E353" s="318">
        <f>E348*G317*1000000</f>
        <v>154174.11191583655</v>
      </c>
      <c r="F353" s="318">
        <f>F348*H317*1000000</f>
        <v>279.72691784487739</v>
      </c>
      <c r="G353" s="318">
        <f>G348*I317*1000000</f>
        <v>1854.113663765434</v>
      </c>
      <c r="H353" s="318">
        <f>SUM(E353:G353)</f>
        <v>156307.95249744685</v>
      </c>
      <c r="I353" s="239"/>
      <c r="J353" s="239"/>
      <c r="K353" s="239"/>
      <c r="L353" s="239"/>
    </row>
    <row r="354" spans="2:15" ht="15" customHeight="1" x14ac:dyDescent="0.25">
      <c r="B354" s="261" t="str">
        <f>B318</f>
        <v>2017 Test - Normalized</v>
      </c>
      <c r="C354" s="227"/>
      <c r="D354" s="228"/>
      <c r="E354" s="318">
        <f>E348*G318*1000000</f>
        <v>157260.84816394196</v>
      </c>
      <c r="F354" s="318">
        <f>F348*H318*1000000</f>
        <v>273.18749568630062</v>
      </c>
      <c r="G354" s="318">
        <f>G348*I318*1000000</f>
        <v>1888.5449751821916</v>
      </c>
      <c r="H354" s="318">
        <f t="shared" ref="H354" si="64">SUM(E354:G354)</f>
        <v>159422.58063481044</v>
      </c>
      <c r="I354" s="239"/>
      <c r="J354" s="239"/>
      <c r="K354" s="239"/>
      <c r="L354" s="239"/>
    </row>
    <row r="355" spans="2:15" ht="15" customHeight="1" x14ac:dyDescent="0.25">
      <c r="B355" s="229"/>
      <c r="C355" s="229"/>
      <c r="D355" s="229"/>
      <c r="E355" s="251"/>
      <c r="F355" s="251"/>
      <c r="G355" s="270"/>
    </row>
    <row r="356" spans="2:15" ht="15" customHeight="1" x14ac:dyDescent="0.25">
      <c r="B356" s="210" t="s">
        <v>326</v>
      </c>
      <c r="C356" s="210"/>
      <c r="D356" s="210"/>
      <c r="E356" s="211"/>
      <c r="F356" s="211"/>
      <c r="G356" s="211"/>
    </row>
    <row r="357" spans="2:15" ht="20.399999999999999" x14ac:dyDescent="0.25">
      <c r="B357" s="399"/>
      <c r="C357" s="400"/>
      <c r="D357" s="400"/>
      <c r="E357" s="401"/>
      <c r="F357" s="339" t="str">
        <f>[4]Summary!I3</f>
        <v>2013 Actual</v>
      </c>
      <c r="G357" s="339" t="str">
        <f>[4]Summary!J3</f>
        <v>2014 Actual</v>
      </c>
      <c r="H357" s="339" t="str">
        <f>[4]Summary!K3</f>
        <v>2015 Actual</v>
      </c>
      <c r="I357" s="339" t="str">
        <f>[4]Summary!L3</f>
        <v>2016 Weather Normal</v>
      </c>
      <c r="J357" s="339" t="str">
        <f>[4]Summary!M3</f>
        <v>2017 Weather Normal</v>
      </c>
      <c r="K357"/>
      <c r="L357"/>
      <c r="M357"/>
      <c r="N357"/>
      <c r="O357"/>
    </row>
    <row r="358" spans="2:15" ht="15" customHeight="1" x14ac:dyDescent="0.25">
      <c r="B358" s="380" t="s">
        <v>53</v>
      </c>
      <c r="C358" s="381"/>
      <c r="D358" s="381"/>
      <c r="E358" s="382"/>
      <c r="F358" s="220">
        <f>[4]Summary!I4</f>
        <v>245129838.10000002</v>
      </c>
      <c r="G358" s="220">
        <f>[4]Summary!J4</f>
        <v>253254985</v>
      </c>
      <c r="H358" s="220">
        <f>[4]Summary!K4</f>
        <v>255186387</v>
      </c>
      <c r="I358" s="220"/>
      <c r="J358" s="220"/>
      <c r="K358"/>
      <c r="L358"/>
      <c r="M358"/>
      <c r="N358"/>
    </row>
    <row r="359" spans="2:15" ht="15" customHeight="1" x14ac:dyDescent="0.25">
      <c r="B359" s="380" t="s">
        <v>231</v>
      </c>
      <c r="C359" s="381"/>
      <c r="D359" s="381"/>
      <c r="E359" s="382"/>
      <c r="F359" s="220">
        <f>[4]Summary!I5</f>
        <v>249473504.49720371</v>
      </c>
      <c r="G359" s="220">
        <f>[4]Summary!J5</f>
        <v>254225266.15011215</v>
      </c>
      <c r="H359" s="220">
        <f>[4]Summary!K5</f>
        <v>255095713.96550572</v>
      </c>
      <c r="I359" s="220">
        <f>[4]Summary!L5</f>
        <v>258773135.43857595</v>
      </c>
      <c r="J359" s="220">
        <f>[4]Summary!M5</f>
        <v>261762895.03097278</v>
      </c>
      <c r="K359"/>
      <c r="L359"/>
      <c r="M359"/>
      <c r="N359"/>
    </row>
    <row r="360" spans="2:15" ht="13.2" x14ac:dyDescent="0.25">
      <c r="B360" s="367" t="s">
        <v>232</v>
      </c>
      <c r="C360" s="368"/>
      <c r="D360" s="368"/>
      <c r="E360" s="369"/>
      <c r="F360" s="245">
        <f>F359/F358-1</f>
        <v>1.7719859935744431E-2</v>
      </c>
      <c r="G360" s="245">
        <f>G359/G358-1</f>
        <v>3.8312420587185425E-3</v>
      </c>
      <c r="H360" s="245">
        <f>H359/H358-1</f>
        <v>-3.553208129957186E-4</v>
      </c>
      <c r="I360" s="271"/>
      <c r="J360" s="271"/>
      <c r="K360"/>
      <c r="L360"/>
      <c r="M360"/>
      <c r="N360"/>
    </row>
    <row r="361" spans="2:15" ht="13.2" x14ac:dyDescent="0.25">
      <c r="B361" s="272"/>
      <c r="C361" s="273"/>
      <c r="D361" s="273"/>
      <c r="E361" s="274"/>
      <c r="F361" s="275"/>
      <c r="G361" s="275"/>
      <c r="H361" s="275"/>
      <c r="I361" s="271"/>
      <c r="J361" s="271"/>
      <c r="K361"/>
      <c r="L361"/>
      <c r="M361"/>
      <c r="N361"/>
    </row>
    <row r="362" spans="2:15" ht="13.2" x14ac:dyDescent="0.25">
      <c r="B362" s="272" t="s">
        <v>1</v>
      </c>
      <c r="C362" s="273"/>
      <c r="D362" s="273"/>
      <c r="E362" s="274"/>
      <c r="F362" s="275"/>
      <c r="G362" s="275"/>
      <c r="H362" s="275"/>
      <c r="I362" s="276">
        <f>'[4]Rate Class Energy Model'!F26</f>
        <v>1.0721296464596082</v>
      </c>
      <c r="J362" s="276">
        <f>I362</f>
        <v>1.0721296464596082</v>
      </c>
      <c r="K362"/>
      <c r="L362"/>
      <c r="M362"/>
      <c r="N362"/>
    </row>
    <row r="363" spans="2:15" ht="13.2" x14ac:dyDescent="0.25">
      <c r="B363" s="272"/>
      <c r="C363" s="273"/>
      <c r="D363" s="273"/>
      <c r="E363" s="274"/>
      <c r="F363" s="275"/>
      <c r="G363" s="275"/>
      <c r="H363" s="275"/>
      <c r="I363" s="220"/>
      <c r="J363" s="220"/>
      <c r="K363"/>
      <c r="L363"/>
      <c r="M363"/>
      <c r="N363"/>
    </row>
    <row r="364" spans="2:15" ht="13.2" x14ac:dyDescent="0.25">
      <c r="B364" s="402" t="s">
        <v>233</v>
      </c>
      <c r="C364" s="403"/>
      <c r="D364" s="403"/>
      <c r="E364" s="404"/>
      <c r="F364" s="275"/>
      <c r="G364" s="275"/>
      <c r="H364" s="275"/>
      <c r="I364" s="220">
        <f>I359/I362</f>
        <v>241363659.97628912</v>
      </c>
      <c r="J364" s="220">
        <f t="shared" ref="J364" si="65">J359/J362</f>
        <v>244152277.56770602</v>
      </c>
      <c r="K364"/>
      <c r="L364"/>
      <c r="M364"/>
      <c r="N364"/>
    </row>
    <row r="365" spans="2:15" ht="13.2" x14ac:dyDescent="0.25">
      <c r="B365" s="367" t="s">
        <v>138</v>
      </c>
      <c r="C365" s="368"/>
      <c r="D365" s="368"/>
      <c r="E365" s="369"/>
      <c r="F365" s="275"/>
      <c r="G365" s="275"/>
      <c r="H365" s="275"/>
      <c r="I365" s="224">
        <f>-'[4]Rate Class Energy Model'!G97</f>
        <v>2422801.66385331</v>
      </c>
      <c r="J365" s="224">
        <f>-'[4]Rate Class Energy Model'!G98</f>
        <v>4564610.2370293681</v>
      </c>
      <c r="K365"/>
      <c r="L365"/>
      <c r="M365"/>
      <c r="N365"/>
    </row>
    <row r="366" spans="2:15" ht="13.2" x14ac:dyDescent="0.25">
      <c r="B366" s="380" t="s">
        <v>234</v>
      </c>
      <c r="C366" s="381"/>
      <c r="D366" s="381"/>
      <c r="E366" s="382"/>
      <c r="F366" s="220"/>
      <c r="G366" s="220"/>
      <c r="H366" s="220"/>
      <c r="I366" s="220">
        <f>I364-I365</f>
        <v>238940858.31243581</v>
      </c>
      <c r="J366" s="220">
        <f t="shared" ref="J366" si="66">J364-J365</f>
        <v>239587667.33067665</v>
      </c>
      <c r="K366"/>
      <c r="L366"/>
      <c r="M366"/>
      <c r="N366"/>
    </row>
    <row r="367" spans="2:15" customFormat="1" ht="15" customHeight="1" x14ac:dyDescent="0.25">
      <c r="J367" s="212"/>
      <c r="N367" s="277"/>
    </row>
    <row r="368" spans="2:15" customFormat="1" ht="15" customHeight="1" x14ac:dyDescent="0.25"/>
    <row r="369" spans="2:14" customFormat="1" ht="15" customHeight="1" x14ac:dyDescent="0.25">
      <c r="B369" s="210" t="s">
        <v>327</v>
      </c>
    </row>
    <row r="370" spans="2:14" ht="20.399999999999999" x14ac:dyDescent="0.25">
      <c r="B370" s="349"/>
      <c r="C370" s="350"/>
      <c r="D370" s="350"/>
      <c r="E370" s="339" t="str">
        <f>B14</f>
        <v>2013 Board Approved</v>
      </c>
      <c r="F370" s="339" t="str">
        <f>F357</f>
        <v>2013 Actual</v>
      </c>
      <c r="G370" s="339" t="str">
        <f t="shared" ref="G370:J370" si="67">G357</f>
        <v>2014 Actual</v>
      </c>
      <c r="H370" s="339" t="str">
        <f t="shared" si="67"/>
        <v>2015 Actual</v>
      </c>
      <c r="I370" s="339" t="str">
        <f t="shared" si="67"/>
        <v>2016 Weather Normal</v>
      </c>
      <c r="J370" s="339" t="str">
        <f t="shared" si="67"/>
        <v>2017 Weather Normal</v>
      </c>
      <c r="K370"/>
      <c r="L370"/>
      <c r="M370"/>
      <c r="N370"/>
    </row>
    <row r="371" spans="2:14" ht="15" customHeight="1" x14ac:dyDescent="0.25">
      <c r="B371" s="355" t="s">
        <v>58</v>
      </c>
      <c r="C371" s="356"/>
      <c r="D371" s="356"/>
      <c r="E371" s="356"/>
      <c r="F371" s="356"/>
      <c r="G371" s="356"/>
      <c r="H371" s="356"/>
      <c r="I371" s="356"/>
      <c r="J371" s="357"/>
      <c r="K371"/>
      <c r="L371"/>
      <c r="M371"/>
      <c r="N371"/>
    </row>
    <row r="372" spans="2:14" ht="15" customHeight="1" x14ac:dyDescent="0.25">
      <c r="B372" s="334" t="s">
        <v>46</v>
      </c>
      <c r="C372" s="335"/>
      <c r="D372" s="335"/>
      <c r="E372" s="238">
        <f>E53</f>
        <v>14189</v>
      </c>
      <c r="F372" s="220">
        <f>[4]Summary!I14</f>
        <v>14181</v>
      </c>
      <c r="G372" s="220">
        <f>[4]Summary!J14</f>
        <v>14509.166666666666</v>
      </c>
      <c r="H372" s="220">
        <f>[4]Summary!K14</f>
        <v>14861.583333333334</v>
      </c>
      <c r="I372" s="220">
        <f>[4]Summary!L14</f>
        <v>15419</v>
      </c>
      <c r="J372" s="220">
        <f>[4]Summary!M14</f>
        <v>15930</v>
      </c>
      <c r="K372"/>
      <c r="L372"/>
      <c r="M372"/>
      <c r="N372"/>
    </row>
    <row r="373" spans="2:14" ht="15" customHeight="1" x14ac:dyDescent="0.25">
      <c r="B373" s="334" t="s">
        <v>47</v>
      </c>
      <c r="C373" s="335"/>
      <c r="D373" s="335"/>
      <c r="E373" s="238">
        <f>E34*1000000</f>
        <v>148148873</v>
      </c>
      <c r="F373" s="220">
        <f>[4]Summary!I15</f>
        <v>148570811.09520668</v>
      </c>
      <c r="G373" s="220">
        <f>[4]Summary!J15</f>
        <v>152923211.90943465</v>
      </c>
      <c r="H373" s="220">
        <f>[4]Summary!K15</f>
        <v>151526915.08366263</v>
      </c>
      <c r="I373" s="220">
        <f>[4]Summary!L15</f>
        <v>149674173.61039653</v>
      </c>
      <c r="J373" s="220">
        <f>[4]Summary!M15</f>
        <v>149932101.44827333</v>
      </c>
      <c r="K373"/>
      <c r="L373"/>
      <c r="M373"/>
      <c r="N373"/>
    </row>
    <row r="374" spans="2:14" ht="15" customHeight="1" x14ac:dyDescent="0.25">
      <c r="B374" s="355" t="s">
        <v>235</v>
      </c>
      <c r="C374" s="358"/>
      <c r="D374" s="358"/>
      <c r="E374" s="358"/>
      <c r="F374" s="358"/>
      <c r="G374" s="356"/>
      <c r="H374" s="356"/>
      <c r="I374" s="356"/>
      <c r="J374" s="357"/>
      <c r="K374"/>
      <c r="L374"/>
      <c r="M374"/>
      <c r="N374"/>
    </row>
    <row r="375" spans="2:14" ht="15" customHeight="1" x14ac:dyDescent="0.25">
      <c r="B375" s="334" t="str">
        <f>B372</f>
        <v xml:space="preserve">  Customers</v>
      </c>
      <c r="C375" s="335"/>
      <c r="D375" s="335"/>
      <c r="E375" s="238"/>
      <c r="F375" s="278">
        <f>IF(ISERROR((F372-$E372)/$E372),0,(F372-$E372)/$E372)</f>
        <v>-5.6381704137007543E-4</v>
      </c>
      <c r="G375" s="278">
        <f t="shared" ref="G375:J376" si="68">IF(ISERROR((G372-$E372)/$E372),0,(G372-$E372)/$E372)</f>
        <v>2.2564427843164852E-2</v>
      </c>
      <c r="H375" s="278">
        <f t="shared" si="68"/>
        <v>4.7401743134352949E-2</v>
      </c>
      <c r="I375" s="278">
        <f t="shared" si="68"/>
        <v>8.66868701106491E-2</v>
      </c>
      <c r="J375" s="278">
        <f t="shared" si="68"/>
        <v>0.12270068362816267</v>
      </c>
      <c r="K375"/>
      <c r="L375"/>
      <c r="M375"/>
      <c r="N375"/>
    </row>
    <row r="376" spans="2:14" ht="15" customHeight="1" x14ac:dyDescent="0.25">
      <c r="B376" s="334" t="str">
        <f>B373</f>
        <v xml:space="preserve">  kWh</v>
      </c>
      <c r="C376" s="335"/>
      <c r="D376" s="335"/>
      <c r="E376" s="238"/>
      <c r="F376" s="278">
        <f>IF(ISERROR((F373-$E373)/$E373),0,(F373-$E373)/$E373)</f>
        <v>2.8480682077593523E-3</v>
      </c>
      <c r="G376" s="278">
        <f t="shared" si="68"/>
        <v>3.2226629961840114E-2</v>
      </c>
      <c r="H376" s="278">
        <f t="shared" si="68"/>
        <v>2.2801672501839614E-2</v>
      </c>
      <c r="I376" s="278">
        <f t="shared" si="68"/>
        <v>1.0295728745749785E-2</v>
      </c>
      <c r="J376" s="278">
        <f t="shared" si="68"/>
        <v>1.2036733133118947E-2</v>
      </c>
      <c r="K376"/>
      <c r="L376"/>
      <c r="M376"/>
      <c r="N376"/>
    </row>
    <row r="377" spans="2:14" ht="9" customHeight="1" x14ac:dyDescent="0.25">
      <c r="B377" s="334"/>
      <c r="C377" s="335"/>
      <c r="D377" s="335"/>
      <c r="E377" s="319"/>
      <c r="F377" s="320"/>
      <c r="G377" s="320"/>
      <c r="H377" s="320"/>
      <c r="I377" s="320"/>
      <c r="J377" s="321"/>
      <c r="K377"/>
      <c r="L377"/>
      <c r="M377"/>
      <c r="N377"/>
    </row>
    <row r="378" spans="2:14" ht="15" customHeight="1" x14ac:dyDescent="0.25">
      <c r="B378" s="355" t="str">
        <f>F303</f>
        <v>General Service &lt; 50 kW</v>
      </c>
      <c r="C378" s="358"/>
      <c r="D378" s="356"/>
      <c r="E378" s="356"/>
      <c r="F378" s="356"/>
      <c r="G378" s="356"/>
      <c r="H378" s="356"/>
      <c r="I378" s="356"/>
      <c r="J378" s="357"/>
      <c r="K378"/>
      <c r="L378"/>
      <c r="M378"/>
      <c r="N378"/>
    </row>
    <row r="379" spans="2:14" ht="15" customHeight="1" x14ac:dyDescent="0.25">
      <c r="B379" s="334" t="s">
        <v>46</v>
      </c>
      <c r="C379" s="335"/>
      <c r="D379" s="335"/>
      <c r="E379" s="238">
        <f>F53</f>
        <v>910</v>
      </c>
      <c r="F379" s="220">
        <f>[4]Summary!I18</f>
        <v>949.25</v>
      </c>
      <c r="G379" s="220">
        <f>[4]Summary!J18</f>
        <v>991.25</v>
      </c>
      <c r="H379" s="220">
        <f>[4]Summary!K18</f>
        <v>1000.5833333333334</v>
      </c>
      <c r="I379" s="220">
        <f>[4]Summary!L18</f>
        <v>1026</v>
      </c>
      <c r="J379" s="220">
        <f>[4]Summary!M18</f>
        <v>1052</v>
      </c>
      <c r="K379"/>
      <c r="L379"/>
      <c r="M379"/>
      <c r="N379"/>
    </row>
    <row r="380" spans="2:14" ht="15" customHeight="1" x14ac:dyDescent="0.25">
      <c r="B380" s="334" t="s">
        <v>47</v>
      </c>
      <c r="C380" s="335"/>
      <c r="D380" s="335"/>
      <c r="E380" s="238">
        <f>F34*1000000</f>
        <v>31781016</v>
      </c>
      <c r="F380" s="220">
        <f>[4]Summary!I19</f>
        <v>30978542.255071979</v>
      </c>
      <c r="G380" s="220">
        <f>[4]Summary!J19</f>
        <v>32143896.404322214</v>
      </c>
      <c r="H380" s="220">
        <f>[4]Summary!K19</f>
        <v>34326840.153572448</v>
      </c>
      <c r="I380" s="220">
        <f>[4]Summary!L19</f>
        <v>33122069.126032144</v>
      </c>
      <c r="J380" s="220">
        <f>[4]Summary!M19</f>
        <v>32368432.968739454</v>
      </c>
      <c r="K380"/>
      <c r="L380"/>
      <c r="M380"/>
      <c r="N380"/>
    </row>
    <row r="381" spans="2:14" ht="15" customHeight="1" x14ac:dyDescent="0.25">
      <c r="B381" s="355" t="s">
        <v>235</v>
      </c>
      <c r="C381" s="358"/>
      <c r="D381" s="358"/>
      <c r="E381" s="358"/>
      <c r="F381" s="358"/>
      <c r="G381" s="356"/>
      <c r="H381" s="356"/>
      <c r="I381" s="356"/>
      <c r="J381" s="357"/>
      <c r="K381"/>
      <c r="L381"/>
      <c r="M381"/>
      <c r="N381"/>
    </row>
    <row r="382" spans="2:14" ht="15" customHeight="1" x14ac:dyDescent="0.25">
      <c r="B382" s="334" t="str">
        <f>B379</f>
        <v xml:space="preserve">  Customers</v>
      </c>
      <c r="C382" s="335"/>
      <c r="D382" s="335"/>
      <c r="E382" s="238"/>
      <c r="F382" s="278">
        <f>IF(ISERROR((F379-$E379)/$E379),0,(F379-$E379)/$E379)</f>
        <v>4.3131868131868131E-2</v>
      </c>
      <c r="G382" s="278">
        <f t="shared" ref="G382:J383" si="69">IF(ISERROR((G379-$E379)/$E379),0,(G379-$E379)/$E379)</f>
        <v>8.9285714285714288E-2</v>
      </c>
      <c r="H382" s="278">
        <f t="shared" si="69"/>
        <v>9.9542124542124577E-2</v>
      </c>
      <c r="I382" s="278">
        <f t="shared" si="69"/>
        <v>0.12747252747252746</v>
      </c>
      <c r="J382" s="278">
        <f t="shared" si="69"/>
        <v>0.15604395604395604</v>
      </c>
      <c r="K382"/>
      <c r="L382"/>
      <c r="M382"/>
      <c r="N382"/>
    </row>
    <row r="383" spans="2:14" ht="15" customHeight="1" x14ac:dyDescent="0.25">
      <c r="B383" s="334" t="str">
        <f>B380</f>
        <v xml:space="preserve">  kWh</v>
      </c>
      <c r="C383" s="335"/>
      <c r="D383" s="335"/>
      <c r="E383" s="238"/>
      <c r="F383" s="278">
        <f>IF(ISERROR((F380-$E380)/$E380),0,(F380-$E380)/$E380)</f>
        <v>-2.5250097257054998E-2</v>
      </c>
      <c r="G383" s="278">
        <f t="shared" si="69"/>
        <v>1.1418149889299147E-2</v>
      </c>
      <c r="H383" s="278">
        <f t="shared" si="69"/>
        <v>8.0105184603678103E-2</v>
      </c>
      <c r="I383" s="278">
        <f t="shared" si="69"/>
        <v>4.2196672568055843E-2</v>
      </c>
      <c r="J383" s="278">
        <f t="shared" si="69"/>
        <v>1.848326588235737E-2</v>
      </c>
      <c r="K383"/>
      <c r="L383"/>
      <c r="M383"/>
      <c r="N383"/>
    </row>
    <row r="384" spans="2:14" ht="9" customHeight="1" x14ac:dyDescent="0.25">
      <c r="B384" s="261"/>
      <c r="C384" s="262"/>
      <c r="D384" s="262"/>
      <c r="E384" s="262"/>
      <c r="F384" s="262"/>
      <c r="G384" s="262"/>
      <c r="H384" s="262"/>
      <c r="I384" s="262"/>
      <c r="J384" s="263"/>
      <c r="K384"/>
      <c r="L384"/>
      <c r="M384"/>
      <c r="N384"/>
    </row>
    <row r="385" spans="2:15" ht="15" customHeight="1" x14ac:dyDescent="0.25">
      <c r="B385" s="355" t="s">
        <v>202</v>
      </c>
      <c r="C385" s="358"/>
      <c r="D385" s="358"/>
      <c r="E385" s="356"/>
      <c r="F385" s="356"/>
      <c r="G385" s="356"/>
      <c r="H385" s="356"/>
      <c r="I385" s="356"/>
      <c r="J385" s="357"/>
      <c r="K385"/>
      <c r="L385"/>
      <c r="M385"/>
      <c r="N385"/>
    </row>
    <row r="386" spans="2:15" ht="15" customHeight="1" x14ac:dyDescent="0.25">
      <c r="B386" s="334" t="s">
        <v>46</v>
      </c>
      <c r="C386" s="335"/>
      <c r="D386" s="335"/>
      <c r="E386" s="238">
        <f>G53</f>
        <v>66</v>
      </c>
      <c r="F386" s="220">
        <f>[4]Summary!I22</f>
        <v>67</v>
      </c>
      <c r="G386" s="220">
        <f>[4]Summary!J22</f>
        <v>67.166666666666671</v>
      </c>
      <c r="H386" s="220">
        <f>[4]Summary!K22</f>
        <v>71.5</v>
      </c>
      <c r="I386" s="220">
        <f>[4]Summary!L22</f>
        <v>71.5</v>
      </c>
      <c r="J386" s="220">
        <f>[4]Summary!M22</f>
        <v>71.5</v>
      </c>
      <c r="K386"/>
      <c r="L386"/>
      <c r="M386"/>
      <c r="N386"/>
    </row>
    <row r="387" spans="2:15" ht="15" customHeight="1" x14ac:dyDescent="0.25">
      <c r="B387" s="334" t="s">
        <v>47</v>
      </c>
      <c r="C387" s="335"/>
      <c r="D387" s="335"/>
      <c r="E387" s="238">
        <f>G34*1000000</f>
        <v>51329341</v>
      </c>
      <c r="F387" s="322">
        <f>[4]Summary!I23</f>
        <v>50921722</v>
      </c>
      <c r="G387" s="322">
        <f>[4]Summary!J23</f>
        <v>50592266.850000001</v>
      </c>
      <c r="H387" s="322">
        <f>[4]Summary!K23</f>
        <v>54636276</v>
      </c>
      <c r="I387" s="322">
        <f>[4]Summary!L23</f>
        <v>54889863.250576422</v>
      </c>
      <c r="J387" s="322">
        <f>[4]Summary!M23</f>
        <v>55988819.024951793</v>
      </c>
      <c r="K387"/>
      <c r="L387"/>
      <c r="M387"/>
      <c r="N387"/>
    </row>
    <row r="388" spans="2:15" ht="15" customHeight="1" x14ac:dyDescent="0.25">
      <c r="B388" s="334" t="s">
        <v>48</v>
      </c>
      <c r="C388" s="335"/>
      <c r="D388" s="335"/>
      <c r="E388" s="238">
        <v>147666</v>
      </c>
      <c r="F388" s="322">
        <f>[4]Summary!I24</f>
        <v>130935</v>
      </c>
      <c r="G388" s="322">
        <f>[4]Summary!J24</f>
        <v>135393.63999999998</v>
      </c>
      <c r="H388" s="322">
        <f>[4]Summary!K24</f>
        <v>141986.79999999999</v>
      </c>
      <c r="I388" s="322">
        <f>[4]Summary!L24</f>
        <v>154174.11191583652</v>
      </c>
      <c r="J388" s="322">
        <f>[4]Summary!M24</f>
        <v>157260.84816394193</v>
      </c>
      <c r="K388"/>
      <c r="L388"/>
      <c r="M388"/>
      <c r="N388"/>
    </row>
    <row r="389" spans="2:15" ht="15" customHeight="1" x14ac:dyDescent="0.25">
      <c r="B389" s="355" t="s">
        <v>235</v>
      </c>
      <c r="C389" s="358"/>
      <c r="D389" s="358"/>
      <c r="E389" s="358"/>
      <c r="F389" s="356"/>
      <c r="G389" s="356"/>
      <c r="H389" s="356"/>
      <c r="I389" s="356"/>
      <c r="J389" s="357"/>
      <c r="K389"/>
      <c r="L389"/>
      <c r="M389"/>
      <c r="N389"/>
    </row>
    <row r="390" spans="2:15" ht="15" customHeight="1" x14ac:dyDescent="0.25">
      <c r="B390" s="334" t="str">
        <f>B386</f>
        <v xml:space="preserve">  Customers</v>
      </c>
      <c r="C390" s="335"/>
      <c r="D390" s="335"/>
      <c r="E390" s="238"/>
      <c r="F390" s="278">
        <f>IF(ISERROR((F386-$E386)/$E386),0,(F386-$E386)/$E386)</f>
        <v>1.5151515151515152E-2</v>
      </c>
      <c r="G390" s="278">
        <f t="shared" ref="G390:J392" si="70">IF(ISERROR((G386-$E386)/$E386),0,(G386-$E386)/$E386)</f>
        <v>1.7676767676767749E-2</v>
      </c>
      <c r="H390" s="278">
        <f t="shared" si="70"/>
        <v>8.3333333333333329E-2</v>
      </c>
      <c r="I390" s="278">
        <f t="shared" si="70"/>
        <v>8.3333333333333329E-2</v>
      </c>
      <c r="J390" s="278">
        <f t="shared" si="70"/>
        <v>8.3333333333333329E-2</v>
      </c>
      <c r="K390"/>
      <c r="L390"/>
      <c r="M390"/>
      <c r="N390"/>
    </row>
    <row r="391" spans="2:15" ht="15" customHeight="1" x14ac:dyDescent="0.25">
      <c r="B391" s="334" t="str">
        <f>B387</f>
        <v xml:space="preserve">  kWh</v>
      </c>
      <c r="C391" s="335"/>
      <c r="D391" s="335"/>
      <c r="E391" s="238"/>
      <c r="F391" s="278">
        <f t="shared" ref="F391:F392" si="71">IF(ISERROR((F387-$E387)/$E387),0,(F387-$E387)/$E387)</f>
        <v>-7.9412474826045399E-3</v>
      </c>
      <c r="G391" s="278">
        <f t="shared" si="70"/>
        <v>-1.4359704131015408E-2</v>
      </c>
      <c r="H391" s="278">
        <f t="shared" si="70"/>
        <v>6.4425822260215648E-2</v>
      </c>
      <c r="I391" s="278">
        <f t="shared" si="70"/>
        <v>6.936621786312086E-2</v>
      </c>
      <c r="J391" s="278">
        <f t="shared" si="70"/>
        <v>9.0776112339953738E-2</v>
      </c>
      <c r="K391"/>
      <c r="L391"/>
      <c r="M391"/>
      <c r="N391"/>
    </row>
    <row r="392" spans="2:15" ht="15" customHeight="1" x14ac:dyDescent="0.25">
      <c r="B392" s="334" t="str">
        <f>B388</f>
        <v xml:space="preserve">  kW</v>
      </c>
      <c r="C392" s="335"/>
      <c r="D392" s="335"/>
      <c r="E392" s="238"/>
      <c r="F392" s="278">
        <f t="shared" si="71"/>
        <v>-0.11330299459591239</v>
      </c>
      <c r="G392" s="278">
        <f t="shared" si="70"/>
        <v>-8.3108907940893748E-2</v>
      </c>
      <c r="H392" s="278">
        <f t="shared" si="70"/>
        <v>-3.8459767312719322E-2</v>
      </c>
      <c r="I392" s="278">
        <f t="shared" si="70"/>
        <v>4.4073191634069579E-2</v>
      </c>
      <c r="J392" s="278">
        <f t="shared" si="70"/>
        <v>6.4976691749908125E-2</v>
      </c>
      <c r="K392"/>
      <c r="L392"/>
      <c r="M392"/>
      <c r="N392"/>
    </row>
    <row r="393" spans="2:15" ht="9" customHeight="1" x14ac:dyDescent="0.25">
      <c r="B393" s="261"/>
      <c r="C393" s="262"/>
      <c r="D393" s="262"/>
      <c r="E393" s="262"/>
      <c r="F393" s="262"/>
      <c r="G393" s="262"/>
      <c r="H393" s="262"/>
      <c r="I393" s="262"/>
      <c r="J393" s="263"/>
      <c r="K393"/>
      <c r="L393"/>
      <c r="M393"/>
      <c r="N393"/>
      <c r="O393"/>
    </row>
    <row r="394" spans="2:15" ht="15" customHeight="1" x14ac:dyDescent="0.25">
      <c r="B394" s="355" t="s">
        <v>259</v>
      </c>
      <c r="C394" s="358"/>
      <c r="D394" s="356"/>
      <c r="E394" s="356"/>
      <c r="F394" s="356"/>
      <c r="G394" s="356"/>
      <c r="H394" s="356"/>
      <c r="I394" s="356"/>
      <c r="J394" s="357"/>
      <c r="K394"/>
      <c r="L394"/>
      <c r="M394"/>
      <c r="N394"/>
    </row>
    <row r="395" spans="2:15" ht="15" customHeight="1" x14ac:dyDescent="0.25">
      <c r="B395" s="334" t="s">
        <v>65</v>
      </c>
      <c r="C395" s="335"/>
      <c r="D395" s="335"/>
      <c r="E395" s="238">
        <f>H53</f>
        <v>237</v>
      </c>
      <c r="F395" s="220">
        <f>[4]Summary!I27</f>
        <v>168</v>
      </c>
      <c r="G395" s="220">
        <f>[4]Summary!J27</f>
        <v>169.41666666666666</v>
      </c>
      <c r="H395" s="220">
        <f>[4]Summary!K27</f>
        <v>165.75</v>
      </c>
      <c r="I395" s="220">
        <f>[4]Summary!L27</f>
        <v>163</v>
      </c>
      <c r="J395" s="220">
        <f>[4]Summary!M27</f>
        <v>161</v>
      </c>
      <c r="K395"/>
      <c r="L395"/>
      <c r="M395"/>
      <c r="N395"/>
    </row>
    <row r="396" spans="2:15" ht="15" customHeight="1" x14ac:dyDescent="0.25">
      <c r="B396" s="334" t="s">
        <v>47</v>
      </c>
      <c r="C396" s="335"/>
      <c r="D396" s="335"/>
      <c r="E396" s="238">
        <f>H34*1000000</f>
        <v>104942</v>
      </c>
      <c r="F396" s="220">
        <f>[4]Summary!I28</f>
        <v>101843.93410009757</v>
      </c>
      <c r="G396" s="220">
        <f>[4]Summary!J28</f>
        <v>107980</v>
      </c>
      <c r="H396" s="220">
        <f>[4]Summary!K28</f>
        <v>103536</v>
      </c>
      <c r="I396" s="220">
        <f>[4]Summary!L28</f>
        <v>100673.16794547772</v>
      </c>
      <c r="J396" s="220">
        <f>[4]Summary!M28</f>
        <v>98319.642763457639</v>
      </c>
      <c r="K396"/>
      <c r="L396"/>
      <c r="M396"/>
      <c r="N396"/>
    </row>
    <row r="397" spans="2:15" ht="15" customHeight="1" x14ac:dyDescent="0.25">
      <c r="B397" s="334" t="s">
        <v>48</v>
      </c>
      <c r="C397" s="335"/>
      <c r="D397" s="335"/>
      <c r="E397" s="238">
        <v>292</v>
      </c>
      <c r="F397" s="220">
        <f>[4]Summary!I29</f>
        <v>283</v>
      </c>
      <c r="G397" s="220">
        <f>[4]Summary!J29</f>
        <v>299.94344444444442</v>
      </c>
      <c r="H397" s="220">
        <f>[4]Summary!K29</f>
        <v>287.601</v>
      </c>
      <c r="I397" s="220">
        <f>[4]Summary!L29</f>
        <v>279.72691784487739</v>
      </c>
      <c r="J397" s="220">
        <f>[4]Summary!M29</f>
        <v>273.18749568630062</v>
      </c>
      <c r="K397"/>
      <c r="L397"/>
      <c r="M397"/>
      <c r="N397"/>
    </row>
    <row r="398" spans="2:15" ht="15" customHeight="1" x14ac:dyDescent="0.25">
      <c r="B398" s="355" t="s">
        <v>235</v>
      </c>
      <c r="C398" s="358"/>
      <c r="D398" s="358"/>
      <c r="E398" s="358"/>
      <c r="F398" s="356"/>
      <c r="G398" s="356"/>
      <c r="H398" s="356"/>
      <c r="I398" s="356"/>
      <c r="J398" s="357"/>
      <c r="K398"/>
      <c r="L398"/>
      <c r="M398"/>
      <c r="N398"/>
    </row>
    <row r="399" spans="2:15" ht="15" customHeight="1" x14ac:dyDescent="0.25">
      <c r="B399" s="334" t="str">
        <f>B395</f>
        <v xml:space="preserve">  Connections</v>
      </c>
      <c r="C399" s="335"/>
      <c r="D399" s="335"/>
      <c r="E399" s="238"/>
      <c r="F399" s="278">
        <f>IF(ISERROR((F395-$E395)/$E395),0,(F395-$E395)/$E395)</f>
        <v>-0.29113924050632911</v>
      </c>
      <c r="G399" s="278">
        <f t="shared" ref="G399:J401" si="72">IF(ISERROR((G395-$E395)/$E395),0,(G395-$E395)/$E395)</f>
        <v>-0.28516174402250355</v>
      </c>
      <c r="H399" s="278">
        <f t="shared" si="72"/>
        <v>-0.30063291139240506</v>
      </c>
      <c r="I399" s="278">
        <f t="shared" si="72"/>
        <v>-0.31223628691983124</v>
      </c>
      <c r="J399" s="278">
        <f t="shared" si="72"/>
        <v>-0.32067510548523209</v>
      </c>
      <c r="K399"/>
      <c r="L399"/>
      <c r="M399"/>
      <c r="N399"/>
    </row>
    <row r="400" spans="2:15" ht="15" customHeight="1" x14ac:dyDescent="0.25">
      <c r="B400" s="334" t="str">
        <f>B396</f>
        <v xml:space="preserve">  kWh</v>
      </c>
      <c r="C400" s="335"/>
      <c r="D400" s="335"/>
      <c r="E400" s="238"/>
      <c r="F400" s="278">
        <f>IF(ISERROR((F396-$E396)/$E396),0,(F396-$E396)/$E396)</f>
        <v>-2.9521696745844664E-2</v>
      </c>
      <c r="G400" s="278">
        <f t="shared" si="72"/>
        <v>2.8949324388709955E-2</v>
      </c>
      <c r="H400" s="278">
        <f t="shared" si="72"/>
        <v>-1.3397876922490519E-2</v>
      </c>
      <c r="I400" s="278">
        <f t="shared" si="72"/>
        <v>-4.0678013136039727E-2</v>
      </c>
      <c r="J400" s="278">
        <f t="shared" si="72"/>
        <v>-6.3104926879060441E-2</v>
      </c>
      <c r="K400"/>
      <c r="L400"/>
      <c r="M400"/>
      <c r="N400"/>
    </row>
    <row r="401" spans="2:15" ht="15" customHeight="1" x14ac:dyDescent="0.25">
      <c r="B401" s="334" t="str">
        <f>B397</f>
        <v xml:space="preserve">  kW</v>
      </c>
      <c r="C401" s="335"/>
      <c r="D401" s="335"/>
      <c r="E401" s="238"/>
      <c r="F401" s="278">
        <f>IF(ISERROR((F397-$E397)/$E397),0,(F397-$E397)/$E397)</f>
        <v>-3.0821917808219176E-2</v>
      </c>
      <c r="G401" s="278">
        <f t="shared" si="72"/>
        <v>2.7203576864535697E-2</v>
      </c>
      <c r="H401" s="278">
        <f t="shared" si="72"/>
        <v>-1.5065068493150688E-2</v>
      </c>
      <c r="I401" s="278">
        <f t="shared" si="72"/>
        <v>-4.2031103270967839E-2</v>
      </c>
      <c r="J401" s="278">
        <f t="shared" si="72"/>
        <v>-6.4426384635956777E-2</v>
      </c>
      <c r="K401"/>
      <c r="L401"/>
      <c r="M401"/>
      <c r="N401"/>
    </row>
    <row r="402" spans="2:15" ht="9" customHeight="1" x14ac:dyDescent="0.25">
      <c r="B402" s="96"/>
      <c r="C402" s="356"/>
      <c r="D402" s="356"/>
      <c r="E402" s="356"/>
      <c r="F402" s="356"/>
      <c r="G402" s="356"/>
      <c r="H402" s="356"/>
      <c r="I402" s="356"/>
      <c r="J402" s="357"/>
      <c r="K402"/>
      <c r="L402"/>
      <c r="M402"/>
      <c r="N402"/>
    </row>
    <row r="403" spans="2:15" ht="15" customHeight="1" x14ac:dyDescent="0.25">
      <c r="B403" s="355" t="s">
        <v>96</v>
      </c>
      <c r="C403" s="356"/>
      <c r="D403" s="356"/>
      <c r="E403" s="356"/>
      <c r="F403" s="356"/>
      <c r="G403" s="356"/>
      <c r="H403" s="356"/>
      <c r="I403" s="356"/>
      <c r="J403" s="357"/>
      <c r="K403"/>
      <c r="L403"/>
      <c r="M403"/>
      <c r="N403"/>
    </row>
    <row r="404" spans="2:15" ht="15" customHeight="1" x14ac:dyDescent="0.25">
      <c r="B404" s="334" t="s">
        <v>65</v>
      </c>
      <c r="C404" s="335"/>
      <c r="D404" s="335"/>
      <c r="E404" s="238">
        <f>I53</f>
        <v>2889</v>
      </c>
      <c r="F404" s="220">
        <f>[4]Summary!I32</f>
        <v>2843.3333333333335</v>
      </c>
      <c r="G404" s="220">
        <f>[4]Summary!J32</f>
        <v>2923.3333333333335</v>
      </c>
      <c r="H404" s="220">
        <f>[4]Summary!K32</f>
        <v>2897.6666666666665</v>
      </c>
      <c r="I404" s="220">
        <f>[4]Summary!L32</f>
        <v>2963</v>
      </c>
      <c r="J404" s="220">
        <f>[4]Summary!M32</f>
        <v>3030</v>
      </c>
      <c r="K404"/>
      <c r="L404"/>
      <c r="M404"/>
      <c r="N404"/>
      <c r="O404"/>
    </row>
    <row r="405" spans="2:15" ht="15" customHeight="1" x14ac:dyDescent="0.25">
      <c r="B405" s="334" t="s">
        <v>47</v>
      </c>
      <c r="C405" s="335"/>
      <c r="D405" s="335"/>
      <c r="E405" s="238">
        <f>I34*1000000</f>
        <v>1516831</v>
      </c>
      <c r="F405" s="322">
        <f>[4]Summary!I33</f>
        <v>1472134.2629375483</v>
      </c>
      <c r="G405" s="322">
        <f>[4]Summary!J33</f>
        <v>1625553.4323642934</v>
      </c>
      <c r="H405" s="322">
        <f>[4]Summary!K33</f>
        <v>1106444</v>
      </c>
      <c r="I405" s="322">
        <f>[4]Summary!L33</f>
        <v>657418.89922655048</v>
      </c>
      <c r="J405" s="322">
        <f>[4]Summary!M33</f>
        <v>669627.3173472397</v>
      </c>
      <c r="K405"/>
      <c r="L405"/>
      <c r="M405"/>
      <c r="N405"/>
      <c r="O405"/>
    </row>
    <row r="406" spans="2:15" ht="15" customHeight="1" x14ac:dyDescent="0.25">
      <c r="B406" s="334" t="s">
        <v>48</v>
      </c>
      <c r="C406" s="335"/>
      <c r="D406" s="335"/>
      <c r="E406" s="238">
        <v>4432</v>
      </c>
      <c r="F406" s="322">
        <f>[4]Summary!I34</f>
        <v>4149</v>
      </c>
      <c r="G406" s="322">
        <f>[4]Summary!J34</f>
        <v>4581.3899999999994</v>
      </c>
      <c r="H406" s="322">
        <f>[4]Summary!K34</f>
        <v>3139.7699999999995</v>
      </c>
      <c r="I406" s="322">
        <f>[4]Summary!L34</f>
        <v>1854.1136637654336</v>
      </c>
      <c r="J406" s="322">
        <f>[4]Summary!M34</f>
        <v>1888.5449751821914</v>
      </c>
      <c r="K406"/>
      <c r="L406"/>
      <c r="M406"/>
      <c r="N406"/>
      <c r="O406"/>
    </row>
    <row r="407" spans="2:15" ht="15" customHeight="1" x14ac:dyDescent="0.25">
      <c r="B407" s="355" t="s">
        <v>235</v>
      </c>
      <c r="C407" s="358"/>
      <c r="D407" s="358"/>
      <c r="E407" s="358"/>
      <c r="F407" s="358"/>
      <c r="G407" s="356"/>
      <c r="H407" s="356"/>
      <c r="I407" s="356"/>
      <c r="J407" s="357"/>
      <c r="K407"/>
      <c r="L407"/>
      <c r="M407"/>
      <c r="N407"/>
    </row>
    <row r="408" spans="2:15" ht="15" customHeight="1" x14ac:dyDescent="0.25">
      <c r="B408" s="334" t="str">
        <f>B404</f>
        <v xml:space="preserve">  Connections</v>
      </c>
      <c r="C408" s="335"/>
      <c r="D408" s="335"/>
      <c r="E408" s="238"/>
      <c r="F408" s="278">
        <f>IF(ISERROR((F404-$E404)/$E404),0,(F404-$E404)/$E404)</f>
        <v>-1.5807084342909835E-2</v>
      </c>
      <c r="G408" s="278">
        <f t="shared" ref="G408:J408" si="73">IF(ISERROR((G404-$E404)/$E404),0,(G404-$E404)/$E404)</f>
        <v>1.1884158301603836E-2</v>
      </c>
      <c r="H408" s="278">
        <f t="shared" si="73"/>
        <v>2.9998846198222621E-3</v>
      </c>
      <c r="I408" s="278">
        <f t="shared" si="73"/>
        <v>2.5614399446175148E-2</v>
      </c>
      <c r="J408" s="278">
        <f t="shared" si="73"/>
        <v>4.8805815160955349E-2</v>
      </c>
      <c r="K408"/>
      <c r="L408"/>
      <c r="M408"/>
      <c r="N408"/>
    </row>
    <row r="409" spans="2:15" ht="15" customHeight="1" x14ac:dyDescent="0.25">
      <c r="B409" s="334" t="str">
        <f>B405</f>
        <v xml:space="preserve">  kWh</v>
      </c>
      <c r="C409" s="335"/>
      <c r="D409" s="335"/>
      <c r="E409" s="238"/>
      <c r="F409" s="278">
        <f t="shared" ref="F409:J410" si="74">IF(ISERROR((F405-$E405)/$E405),0,(F405-$E405)/$E405)</f>
        <v>-2.9467183267253678E-2</v>
      </c>
      <c r="G409" s="278">
        <f t="shared" si="74"/>
        <v>7.1677353880750971E-2</v>
      </c>
      <c r="H409" s="278">
        <f t="shared" si="74"/>
        <v>-0.27055552002826949</v>
      </c>
      <c r="I409" s="278">
        <f t="shared" si="74"/>
        <v>-0.56658395086430169</v>
      </c>
      <c r="J409" s="278">
        <f t="shared" si="74"/>
        <v>-0.55853531649390098</v>
      </c>
      <c r="K409"/>
      <c r="L409"/>
      <c r="M409"/>
      <c r="N409"/>
    </row>
    <row r="410" spans="2:15" ht="15" customHeight="1" x14ac:dyDescent="0.25">
      <c r="B410" s="334" t="str">
        <f>B406</f>
        <v xml:space="preserve">  kW</v>
      </c>
      <c r="C410" s="335"/>
      <c r="D410" s="335"/>
      <c r="E410" s="238"/>
      <c r="F410" s="278">
        <f t="shared" si="74"/>
        <v>-6.3853790613718417E-2</v>
      </c>
      <c r="G410" s="278">
        <f t="shared" si="74"/>
        <v>3.3707129963898783E-2</v>
      </c>
      <c r="H410" s="278">
        <f t="shared" si="74"/>
        <v>-0.29156814079422394</v>
      </c>
      <c r="I410" s="278">
        <f t="shared" si="74"/>
        <v>-0.58165305420455016</v>
      </c>
      <c r="J410" s="278">
        <f t="shared" si="74"/>
        <v>-0.57388425650221309</v>
      </c>
      <c r="K410"/>
      <c r="L410"/>
      <c r="M410"/>
      <c r="N410"/>
    </row>
    <row r="411" spans="2:15" ht="9" customHeight="1" x14ac:dyDescent="0.25">
      <c r="B411" s="96"/>
      <c r="C411" s="356"/>
      <c r="D411" s="356"/>
      <c r="E411" s="356"/>
      <c r="F411" s="356"/>
      <c r="G411" s="356"/>
      <c r="H411" s="356"/>
      <c r="I411" s="356"/>
      <c r="J411" s="357"/>
      <c r="K411"/>
      <c r="L411"/>
      <c r="M411"/>
      <c r="N411"/>
    </row>
    <row r="412" spans="2:15" ht="15" customHeight="1" x14ac:dyDescent="0.25">
      <c r="B412" s="355" t="s">
        <v>98</v>
      </c>
      <c r="C412" s="358"/>
      <c r="D412" s="356"/>
      <c r="E412" s="356"/>
      <c r="F412" s="356"/>
      <c r="G412" s="356"/>
      <c r="H412" s="356"/>
      <c r="I412" s="356"/>
      <c r="J412" s="357"/>
      <c r="K412"/>
      <c r="L412"/>
      <c r="M412"/>
      <c r="N412"/>
    </row>
    <row r="413" spans="2:15" ht="15" customHeight="1" x14ac:dyDescent="0.25">
      <c r="B413" s="334" t="s">
        <v>65</v>
      </c>
      <c r="C413" s="335"/>
      <c r="D413" s="335"/>
      <c r="E413" s="238">
        <f>J53</f>
        <v>78</v>
      </c>
      <c r="F413" s="220">
        <f>[4]Summary!I37</f>
        <v>77.583333333333329</v>
      </c>
      <c r="G413" s="220">
        <f>[4]Summary!J37</f>
        <v>75.583333333333329</v>
      </c>
      <c r="H413" s="220">
        <f>[4]Summary!K37</f>
        <v>76</v>
      </c>
      <c r="I413" s="220">
        <f>[4]Summary!L37</f>
        <v>75</v>
      </c>
      <c r="J413" s="220">
        <f>[4]Summary!M37</f>
        <v>74</v>
      </c>
      <c r="K413"/>
      <c r="L413"/>
      <c r="M413"/>
      <c r="N413"/>
    </row>
    <row r="414" spans="2:15" ht="15" customHeight="1" x14ac:dyDescent="0.25">
      <c r="B414" s="334" t="s">
        <v>47</v>
      </c>
      <c r="C414" s="335"/>
      <c r="D414" s="335"/>
      <c r="E414" s="238">
        <f>J34*1000000</f>
        <v>474652</v>
      </c>
      <c r="F414" s="220">
        <f>[4]Summary!I38</f>
        <v>473256.31021658465</v>
      </c>
      <c r="G414" s="220">
        <f>[4]Summary!J38</f>
        <v>465477.96536694834</v>
      </c>
      <c r="H414" s="220">
        <f>[4]Summary!K38</f>
        <v>465054.82051731192</v>
      </c>
      <c r="I414" s="220">
        <f>[4]Summary!L38</f>
        <v>496660.25825870311</v>
      </c>
      <c r="J414" s="220">
        <f>[4]Summary!M38</f>
        <v>530366.92860140104</v>
      </c>
      <c r="K414"/>
      <c r="L414"/>
      <c r="M414"/>
      <c r="N414"/>
    </row>
    <row r="415" spans="2:15" ht="15" customHeight="1" x14ac:dyDescent="0.2">
      <c r="B415" s="355" t="s">
        <v>235</v>
      </c>
      <c r="C415" s="358"/>
      <c r="D415" s="358"/>
      <c r="E415" s="358"/>
      <c r="F415" s="359"/>
      <c r="G415" s="359"/>
      <c r="H415" s="359"/>
      <c r="I415" s="359"/>
      <c r="J415" s="360"/>
      <c r="K415" s="354"/>
      <c r="L415" s="354"/>
      <c r="M415" s="354"/>
      <c r="N415" s="354"/>
    </row>
    <row r="416" spans="2:15" ht="15" customHeight="1" x14ac:dyDescent="0.25">
      <c r="B416" s="334" t="str">
        <f>B413</f>
        <v xml:space="preserve">  Connections</v>
      </c>
      <c r="C416" s="335"/>
      <c r="D416" s="335"/>
      <c r="E416" s="238"/>
      <c r="F416" s="278">
        <f t="shared" ref="F416:J417" si="75">IF(ISERROR((F413-$E413)/$E413),0,(F413-$E413)/$E413)</f>
        <v>-5.3418803418804027E-3</v>
      </c>
      <c r="G416" s="278">
        <f t="shared" si="75"/>
        <v>-3.0982905982906043E-2</v>
      </c>
      <c r="H416" s="278">
        <f t="shared" si="75"/>
        <v>-2.564102564102564E-2</v>
      </c>
      <c r="I416" s="278">
        <f t="shared" si="75"/>
        <v>-3.8461538461538464E-2</v>
      </c>
      <c r="J416" s="278">
        <f t="shared" si="75"/>
        <v>-5.128205128205128E-2</v>
      </c>
      <c r="K416"/>
      <c r="L416"/>
      <c r="M416"/>
      <c r="N416"/>
    </row>
    <row r="417" spans="2:14" ht="15" customHeight="1" x14ac:dyDescent="0.25">
      <c r="B417" s="334" t="str">
        <f>B414</f>
        <v xml:space="preserve">  kWh</v>
      </c>
      <c r="C417" s="335"/>
      <c r="D417" s="335"/>
      <c r="E417" s="238"/>
      <c r="F417" s="278">
        <f t="shared" si="75"/>
        <v>-2.9404485463357358E-3</v>
      </c>
      <c r="G417" s="278">
        <f t="shared" si="75"/>
        <v>-1.9327917364830787E-2</v>
      </c>
      <c r="H417" s="278">
        <f t="shared" si="75"/>
        <v>-2.021940175684097E-2</v>
      </c>
      <c r="I417" s="278">
        <f t="shared" si="75"/>
        <v>4.6367145316364634E-2</v>
      </c>
      <c r="J417" s="278">
        <f t="shared" si="75"/>
        <v>0.11738058325131052</v>
      </c>
      <c r="K417"/>
      <c r="L417"/>
      <c r="M417"/>
      <c r="N417"/>
    </row>
    <row r="418" spans="2:14" ht="9" customHeight="1" x14ac:dyDescent="0.25">
      <c r="B418" s="96"/>
      <c r="C418" s="356"/>
      <c r="D418" s="356"/>
      <c r="E418" s="356"/>
      <c r="F418" s="356"/>
      <c r="G418" s="356"/>
      <c r="H418" s="356"/>
      <c r="I418" s="356"/>
      <c r="J418" s="357"/>
      <c r="K418"/>
      <c r="L418"/>
      <c r="M418"/>
      <c r="N418"/>
    </row>
    <row r="419" spans="2:14" ht="15" customHeight="1" x14ac:dyDescent="0.25">
      <c r="B419" s="355" t="s">
        <v>9</v>
      </c>
      <c r="C419" s="356"/>
      <c r="D419" s="356"/>
      <c r="E419" s="356"/>
      <c r="F419" s="356"/>
      <c r="G419" s="356"/>
      <c r="H419" s="356"/>
      <c r="I419" s="356"/>
      <c r="J419" s="357"/>
      <c r="K419"/>
      <c r="L419"/>
      <c r="M419"/>
      <c r="N419"/>
    </row>
    <row r="420" spans="2:14" ht="15" customHeight="1" x14ac:dyDescent="0.25">
      <c r="B420" s="334" t="s">
        <v>52</v>
      </c>
      <c r="C420" s="335"/>
      <c r="D420" s="335"/>
      <c r="E420" s="238">
        <f>E372+E379+E386+E404+E413+E395</f>
        <v>18369</v>
      </c>
      <c r="F420" s="238">
        <f t="shared" ref="F420:J420" si="76">F372+F379+F386+F404+F413+F395</f>
        <v>18286.166666666664</v>
      </c>
      <c r="G420" s="238">
        <f t="shared" si="76"/>
        <v>18735.916666666664</v>
      </c>
      <c r="H420" s="238">
        <f t="shared" si="76"/>
        <v>19073.083333333336</v>
      </c>
      <c r="I420" s="238">
        <f t="shared" si="76"/>
        <v>19717.5</v>
      </c>
      <c r="J420" s="238">
        <f t="shared" si="76"/>
        <v>20318.5</v>
      </c>
      <c r="K420"/>
      <c r="L420"/>
      <c r="M420"/>
      <c r="N420"/>
    </row>
    <row r="421" spans="2:14" ht="15" customHeight="1" x14ac:dyDescent="0.25">
      <c r="B421" s="334" t="s">
        <v>47</v>
      </c>
      <c r="C421" s="335"/>
      <c r="D421" s="335"/>
      <c r="E421" s="238">
        <f t="shared" ref="E421:J422" si="77">E373+E380+E387+E405+E414+E396</f>
        <v>233355655</v>
      </c>
      <c r="F421" s="238">
        <f t="shared" si="77"/>
        <v>232518309.85753286</v>
      </c>
      <c r="G421" s="238">
        <f t="shared" si="77"/>
        <v>237858386.56148809</v>
      </c>
      <c r="H421" s="238">
        <f t="shared" si="77"/>
        <v>242165066.05775237</v>
      </c>
      <c r="I421" s="238">
        <f t="shared" si="77"/>
        <v>238940858.31243584</v>
      </c>
      <c r="J421" s="238">
        <f t="shared" si="77"/>
        <v>239587667.33067667</v>
      </c>
      <c r="K421"/>
      <c r="L421"/>
      <c r="M421"/>
      <c r="N421"/>
    </row>
    <row r="422" spans="2:14" ht="15" customHeight="1" x14ac:dyDescent="0.25">
      <c r="B422" s="334" t="s">
        <v>51</v>
      </c>
      <c r="C422" s="335"/>
      <c r="D422" s="335"/>
      <c r="E422" s="238">
        <f t="shared" si="77"/>
        <v>152390</v>
      </c>
      <c r="F422" s="238">
        <f t="shared" si="77"/>
        <v>135367</v>
      </c>
      <c r="G422" s="238">
        <f t="shared" si="77"/>
        <v>140274.97344444442</v>
      </c>
      <c r="H422" s="238">
        <f t="shared" si="77"/>
        <v>145414.17099999997</v>
      </c>
      <c r="I422" s="238">
        <f t="shared" si="77"/>
        <v>156307.95249744682</v>
      </c>
      <c r="J422" s="238">
        <f t="shared" si="77"/>
        <v>159422.58063481041</v>
      </c>
      <c r="K422"/>
      <c r="L422"/>
      <c r="M422"/>
      <c r="N422"/>
    </row>
    <row r="423" spans="2:14" ht="15" customHeight="1" x14ac:dyDescent="0.25">
      <c r="B423" s="410" t="s">
        <v>339</v>
      </c>
      <c r="C423" s="411"/>
      <c r="D423" s="411"/>
      <c r="E423" s="411"/>
      <c r="F423" s="411"/>
      <c r="G423" s="356"/>
      <c r="H423" s="356"/>
      <c r="I423" s="356"/>
      <c r="J423" s="357"/>
      <c r="K423"/>
      <c r="L423"/>
      <c r="M423"/>
      <c r="N423"/>
    </row>
    <row r="424" spans="2:14" ht="15" customHeight="1" x14ac:dyDescent="0.25">
      <c r="B424" s="334" t="str">
        <f>B420</f>
        <v xml:space="preserve">  Customer/Connections</v>
      </c>
      <c r="C424" s="335"/>
      <c r="D424" s="335"/>
      <c r="E424" s="238"/>
      <c r="F424" s="278">
        <f>IF(ISERROR((F420-$E420)/$E420),0,(F420-$E420)/$E420)</f>
        <v>-4.5094089680078261E-3</v>
      </c>
      <c r="G424" s="278">
        <f t="shared" ref="G424:J424" si="78">IF(ISERROR((G420-$E420)/$E420),0,(G420-$E420)/$E420)</f>
        <v>1.9974776344202964E-2</v>
      </c>
      <c r="H424" s="278">
        <f t="shared" si="78"/>
        <v>3.8329976228065533E-2</v>
      </c>
      <c r="I424" s="278">
        <f t="shared" si="78"/>
        <v>7.3411726277968312E-2</v>
      </c>
      <c r="J424" s="278">
        <f t="shared" si="78"/>
        <v>0.10612989275409658</v>
      </c>
      <c r="K424"/>
      <c r="L424"/>
      <c r="M424"/>
      <c r="N424"/>
    </row>
    <row r="425" spans="2:14" ht="15" customHeight="1" x14ac:dyDescent="0.25">
      <c r="B425" s="334" t="str">
        <f>B421</f>
        <v xml:space="preserve">  kWh</v>
      </c>
      <c r="C425" s="335"/>
      <c r="D425" s="335"/>
      <c r="E425" s="238"/>
      <c r="F425" s="278">
        <f t="shared" ref="F425:J426" si="79">IF(ISERROR((F421-$E421)/$E421),0,(F421-$E421)/$E421)</f>
        <v>-3.5882787690195085E-3</v>
      </c>
      <c r="G425" s="278">
        <f t="shared" si="79"/>
        <v>1.9295575080398596E-2</v>
      </c>
      <c r="H425" s="278">
        <f t="shared" si="79"/>
        <v>3.7751007395781223E-2</v>
      </c>
      <c r="I425" s="278">
        <f t="shared" si="79"/>
        <v>2.3934295967397216E-2</v>
      </c>
      <c r="J425" s="278">
        <f t="shared" si="79"/>
        <v>2.6706069457269742E-2</v>
      </c>
      <c r="K425"/>
      <c r="L425"/>
      <c r="M425"/>
      <c r="N425"/>
    </row>
    <row r="426" spans="2:14" ht="15" customHeight="1" x14ac:dyDescent="0.25">
      <c r="B426" s="334" t="str">
        <f>B422</f>
        <v xml:space="preserve">  kW from applicable classes</v>
      </c>
      <c r="C426" s="335"/>
      <c r="D426" s="335"/>
      <c r="E426" s="238"/>
      <c r="F426" s="278">
        <f t="shared" si="79"/>
        <v>-0.11170680490845857</v>
      </c>
      <c r="G426" s="278">
        <f t="shared" si="79"/>
        <v>-7.9500141449934919E-2</v>
      </c>
      <c r="H426" s="278">
        <f t="shared" si="79"/>
        <v>-4.5776159853008903E-2</v>
      </c>
      <c r="I426" s="278">
        <f t="shared" si="79"/>
        <v>2.5710036731063864E-2</v>
      </c>
      <c r="J426" s="278">
        <f t="shared" si="79"/>
        <v>4.6148570344579101E-2</v>
      </c>
      <c r="K426"/>
      <c r="L426"/>
      <c r="M426"/>
      <c r="N426"/>
    </row>
    <row r="427" spans="2:14" ht="15" customHeight="1" x14ac:dyDescent="0.25">
      <c r="E427" s="239"/>
      <c r="F427" s="239"/>
      <c r="G427" s="239"/>
      <c r="H427" s="239"/>
      <c r="I427" s="239"/>
      <c r="J427" s="239"/>
      <c r="K427" s="239"/>
    </row>
    <row r="428" spans="2:14" ht="15" customHeight="1" x14ac:dyDescent="0.25">
      <c r="B428" s="405" t="s">
        <v>328</v>
      </c>
      <c r="C428" s="405"/>
      <c r="D428" s="405"/>
      <c r="E428" s="405"/>
      <c r="F428" s="405"/>
      <c r="G428" s="405"/>
      <c r="H428" s="405"/>
      <c r="I428" s="405"/>
      <c r="J428" s="405"/>
      <c r="K428" s="405"/>
      <c r="L428" s="405"/>
    </row>
    <row r="429" spans="2:14" ht="15" customHeight="1" x14ac:dyDescent="0.2">
      <c r="B429" s="406"/>
      <c r="C429" s="407"/>
      <c r="D429" s="408"/>
      <c r="E429" s="406" t="s">
        <v>236</v>
      </c>
      <c r="F429" s="407"/>
      <c r="G429" s="408"/>
      <c r="H429" s="409" t="s">
        <v>91</v>
      </c>
      <c r="I429" s="409"/>
      <c r="J429" s="409" t="s">
        <v>237</v>
      </c>
      <c r="K429" s="409"/>
      <c r="L429" s="351"/>
    </row>
    <row r="430" spans="2:14" ht="20.399999999999999" x14ac:dyDescent="0.2">
      <c r="B430" s="412" t="s">
        <v>238</v>
      </c>
      <c r="C430" s="413"/>
      <c r="D430" s="414"/>
      <c r="E430" s="352" t="s">
        <v>329</v>
      </c>
      <c r="F430" s="353" t="s">
        <v>200</v>
      </c>
      <c r="G430" s="353" t="s">
        <v>39</v>
      </c>
      <c r="H430" s="352" t="str">
        <f>E430</f>
        <v xml:space="preserve">2013 Board Approved </v>
      </c>
      <c r="I430" s="353" t="str">
        <f>F430</f>
        <v xml:space="preserve">2013 Actual </v>
      </c>
      <c r="J430" s="352" t="str">
        <f>E430</f>
        <v xml:space="preserve">2013 Board Approved </v>
      </c>
      <c r="K430" s="353" t="str">
        <f>F430</f>
        <v xml:space="preserve">2013 Actual </v>
      </c>
      <c r="L430" s="352" t="s">
        <v>239</v>
      </c>
    </row>
    <row r="431" spans="2:14" ht="15" customHeight="1" x14ac:dyDescent="0.25">
      <c r="B431" s="279" t="s">
        <v>58</v>
      </c>
      <c r="C431" s="280"/>
      <c r="D431" s="281"/>
      <c r="E431" s="282">
        <f>E372</f>
        <v>14189</v>
      </c>
      <c r="F431" s="282">
        <f>$F$372</f>
        <v>14181</v>
      </c>
      <c r="G431" s="283">
        <f>F431-E431</f>
        <v>-8</v>
      </c>
      <c r="H431" s="284">
        <f>E373</f>
        <v>148148873</v>
      </c>
      <c r="I431" s="284">
        <f>F373</f>
        <v>148570811.09520668</v>
      </c>
      <c r="J431" s="282"/>
      <c r="K431" s="285"/>
      <c r="L431" s="286">
        <f>I431-H431</f>
        <v>421938.09520667791</v>
      </c>
      <c r="N431"/>
    </row>
    <row r="432" spans="2:14" ht="15" customHeight="1" x14ac:dyDescent="0.2">
      <c r="B432" s="279" t="s">
        <v>94</v>
      </c>
      <c r="C432" s="280"/>
      <c r="D432" s="281"/>
      <c r="E432" s="282">
        <f>E379</f>
        <v>910</v>
      </c>
      <c r="F432" s="282">
        <f>$F$379</f>
        <v>949.25</v>
      </c>
      <c r="G432" s="283">
        <f t="shared" ref="G432:G436" si="80">F432-E432</f>
        <v>39.25</v>
      </c>
      <c r="H432" s="284">
        <f>E380</f>
        <v>31781016</v>
      </c>
      <c r="I432" s="284">
        <f>F380</f>
        <v>30978542.255071979</v>
      </c>
      <c r="J432" s="282"/>
      <c r="K432" s="285"/>
      <c r="L432" s="286">
        <f>I432-H432</f>
        <v>-802473.74492802098</v>
      </c>
    </row>
    <row r="433" spans="2:12" ht="15" customHeight="1" x14ac:dyDescent="0.2">
      <c r="B433" s="279" t="s">
        <v>202</v>
      </c>
      <c r="C433" s="280"/>
      <c r="D433" s="281"/>
      <c r="E433" s="282">
        <f>E386</f>
        <v>66</v>
      </c>
      <c r="F433" s="282">
        <f>$F$386</f>
        <v>67</v>
      </c>
      <c r="G433" s="283">
        <f t="shared" si="80"/>
        <v>1</v>
      </c>
      <c r="H433" s="284"/>
      <c r="I433" s="284"/>
      <c r="J433" s="282">
        <f>E388</f>
        <v>147666</v>
      </c>
      <c r="K433" s="282">
        <f>F388</f>
        <v>130935</v>
      </c>
      <c r="L433" s="286">
        <f>K433-J433</f>
        <v>-16731</v>
      </c>
    </row>
    <row r="434" spans="2:12" ht="15" customHeight="1" x14ac:dyDescent="0.2">
      <c r="B434" s="279" t="s">
        <v>97</v>
      </c>
      <c r="C434" s="280"/>
      <c r="D434" s="281"/>
      <c r="E434" s="282">
        <f>E395</f>
        <v>237</v>
      </c>
      <c r="F434" s="282">
        <f>F395</f>
        <v>168</v>
      </c>
      <c r="G434" s="283">
        <f t="shared" si="80"/>
        <v>-69</v>
      </c>
      <c r="H434" s="284"/>
      <c r="I434" s="284"/>
      <c r="J434" s="282">
        <f>E397</f>
        <v>292</v>
      </c>
      <c r="K434" s="282">
        <f>F397</f>
        <v>283</v>
      </c>
      <c r="L434" s="286">
        <f t="shared" ref="L434:L435" si="81">K434-J434</f>
        <v>-9</v>
      </c>
    </row>
    <row r="435" spans="2:12" ht="15" customHeight="1" x14ac:dyDescent="0.2">
      <c r="B435" s="279" t="s">
        <v>96</v>
      </c>
      <c r="C435" s="280"/>
      <c r="D435" s="281"/>
      <c r="E435" s="282">
        <f>E404</f>
        <v>2889</v>
      </c>
      <c r="F435" s="282">
        <f>F404</f>
        <v>2843.3333333333335</v>
      </c>
      <c r="G435" s="283">
        <f t="shared" si="80"/>
        <v>-45.666666666666515</v>
      </c>
      <c r="H435" s="284"/>
      <c r="I435" s="284"/>
      <c r="J435" s="282">
        <f>E406</f>
        <v>4432</v>
      </c>
      <c r="K435" s="282">
        <f>$F$406</f>
        <v>4149</v>
      </c>
      <c r="L435" s="286">
        <f t="shared" si="81"/>
        <v>-283</v>
      </c>
    </row>
    <row r="436" spans="2:12" ht="15" customHeight="1" x14ac:dyDescent="0.2">
      <c r="B436" s="279" t="s">
        <v>98</v>
      </c>
      <c r="C436" s="280"/>
      <c r="D436" s="281"/>
      <c r="E436" s="282">
        <f>E413</f>
        <v>78</v>
      </c>
      <c r="F436" s="282">
        <f>F413</f>
        <v>77.583333333333329</v>
      </c>
      <c r="G436" s="283">
        <f t="shared" si="80"/>
        <v>-0.4166666666666714</v>
      </c>
      <c r="H436" s="284">
        <f>E414</f>
        <v>474652</v>
      </c>
      <c r="I436" s="284">
        <f>F414</f>
        <v>473256.31021658465</v>
      </c>
      <c r="J436" s="282"/>
      <c r="K436" s="282"/>
      <c r="L436" s="286">
        <f>I436-H436</f>
        <v>-1395.6897834153497</v>
      </c>
    </row>
    <row r="437" spans="2:12" ht="15" customHeight="1" x14ac:dyDescent="0.2">
      <c r="B437" s="279" t="s">
        <v>240</v>
      </c>
      <c r="C437" s="280"/>
      <c r="D437" s="281"/>
      <c r="E437" s="282">
        <f t="shared" ref="E437:K437" si="82">SUM(E431:E436)</f>
        <v>18369</v>
      </c>
      <c r="F437" s="282">
        <f t="shared" si="82"/>
        <v>18286.166666666664</v>
      </c>
      <c r="G437" s="282">
        <f t="shared" si="82"/>
        <v>-82.833333333333186</v>
      </c>
      <c r="H437" s="282">
        <f t="shared" si="82"/>
        <v>180404541</v>
      </c>
      <c r="I437" s="282">
        <f t="shared" si="82"/>
        <v>180022609.66049522</v>
      </c>
      <c r="J437" s="282">
        <f t="shared" si="82"/>
        <v>152390</v>
      </c>
      <c r="K437" s="282">
        <f t="shared" si="82"/>
        <v>135367</v>
      </c>
      <c r="L437" s="286"/>
    </row>
    <row r="439" spans="2:12" ht="15" customHeight="1" x14ac:dyDescent="0.25">
      <c r="B439" s="405" t="s">
        <v>330</v>
      </c>
      <c r="C439" s="405"/>
      <c r="D439" s="405"/>
      <c r="E439" s="405"/>
      <c r="F439" s="405"/>
      <c r="G439" s="405"/>
      <c r="H439" s="405"/>
      <c r="I439" s="405"/>
      <c r="J439" s="405"/>
      <c r="K439" s="405"/>
      <c r="L439" s="405"/>
    </row>
    <row r="440" spans="2:12" ht="15" customHeight="1" x14ac:dyDescent="0.2">
      <c r="B440" s="406"/>
      <c r="C440" s="407"/>
      <c r="D440" s="408"/>
      <c r="E440" s="406" t="s">
        <v>236</v>
      </c>
      <c r="F440" s="407"/>
      <c r="G440" s="408"/>
      <c r="H440" s="409" t="s">
        <v>91</v>
      </c>
      <c r="I440" s="409"/>
      <c r="J440" s="409" t="s">
        <v>237</v>
      </c>
      <c r="K440" s="409"/>
      <c r="L440" s="351"/>
    </row>
    <row r="441" spans="2:12" ht="20.399999999999999" x14ac:dyDescent="0.2">
      <c r="B441" s="412" t="s">
        <v>238</v>
      </c>
      <c r="C441" s="413"/>
      <c r="D441" s="414"/>
      <c r="E441" s="353" t="str">
        <f>F430</f>
        <v xml:space="preserve">2013 Actual </v>
      </c>
      <c r="F441" s="353" t="s">
        <v>201</v>
      </c>
      <c r="G441" s="353" t="s">
        <v>39</v>
      </c>
      <c r="H441" s="352" t="str">
        <f>E441</f>
        <v xml:space="preserve">2013 Actual </v>
      </c>
      <c r="I441" s="353" t="str">
        <f>F441</f>
        <v xml:space="preserve">2014 Actual </v>
      </c>
      <c r="J441" s="352" t="str">
        <f>E441</f>
        <v xml:space="preserve">2013 Actual </v>
      </c>
      <c r="K441" s="353" t="str">
        <f>F441</f>
        <v xml:space="preserve">2014 Actual </v>
      </c>
      <c r="L441" s="352" t="s">
        <v>239</v>
      </c>
    </row>
    <row r="442" spans="2:12" ht="15" customHeight="1" x14ac:dyDescent="0.2">
      <c r="B442" s="279" t="str">
        <f>B431</f>
        <v>Residential</v>
      </c>
      <c r="C442" s="280"/>
      <c r="D442" s="281"/>
      <c r="E442" s="282">
        <f>F372</f>
        <v>14181</v>
      </c>
      <c r="F442" s="282">
        <f>$G$372</f>
        <v>14509.166666666666</v>
      </c>
      <c r="G442" s="283">
        <f>F442-E442</f>
        <v>328.16666666666606</v>
      </c>
      <c r="H442" s="284">
        <f>F373</f>
        <v>148570811.09520668</v>
      </c>
      <c r="I442" s="284">
        <f>$G$373</f>
        <v>152923211.90943465</v>
      </c>
      <c r="J442" s="282"/>
      <c r="K442" s="285"/>
      <c r="L442" s="286">
        <f>I442-H442</f>
        <v>4352400.8142279685</v>
      </c>
    </row>
    <row r="443" spans="2:12" ht="15" customHeight="1" x14ac:dyDescent="0.2">
      <c r="B443" s="279" t="str">
        <f t="shared" ref="B443:B447" si="83">B432</f>
        <v>General Service &lt; 50 kW</v>
      </c>
      <c r="C443" s="280"/>
      <c r="D443" s="281"/>
      <c r="E443" s="282">
        <f>F379</f>
        <v>949.25</v>
      </c>
      <c r="F443" s="282">
        <f>$G$379</f>
        <v>991.25</v>
      </c>
      <c r="G443" s="283">
        <f t="shared" ref="G443:G447" si="84">F443-E443</f>
        <v>42</v>
      </c>
      <c r="H443" s="284">
        <f>F380</f>
        <v>30978542.255071979</v>
      </c>
      <c r="I443" s="284">
        <f>$G$380</f>
        <v>32143896.404322214</v>
      </c>
      <c r="J443" s="282"/>
      <c r="K443" s="285"/>
      <c r="L443" s="286">
        <f>I443-H443</f>
        <v>1165354.1492502354</v>
      </c>
    </row>
    <row r="444" spans="2:12" ht="15" customHeight="1" x14ac:dyDescent="0.2">
      <c r="B444" s="279" t="str">
        <f t="shared" si="83"/>
        <v>General Service 50 to 4,999 kW</v>
      </c>
      <c r="C444" s="280"/>
      <c r="D444" s="281"/>
      <c r="E444" s="282">
        <f>F386</f>
        <v>67</v>
      </c>
      <c r="F444" s="282">
        <f>$G$386</f>
        <v>67.166666666666671</v>
      </c>
      <c r="G444" s="283">
        <f t="shared" si="84"/>
        <v>0.1666666666666714</v>
      </c>
      <c r="H444" s="284"/>
      <c r="I444" s="284"/>
      <c r="J444" s="282">
        <f>F388</f>
        <v>130935</v>
      </c>
      <c r="K444" s="282">
        <f>$G$388</f>
        <v>135393.63999999998</v>
      </c>
      <c r="L444" s="286">
        <f>K444-J444</f>
        <v>4458.6399999999849</v>
      </c>
    </row>
    <row r="445" spans="2:12" ht="15" customHeight="1" x14ac:dyDescent="0.2">
      <c r="B445" s="279" t="str">
        <f t="shared" si="83"/>
        <v>Sentinel Lighting</v>
      </c>
      <c r="C445" s="280"/>
      <c r="D445" s="281"/>
      <c r="E445" s="282">
        <f>F395</f>
        <v>168</v>
      </c>
      <c r="F445" s="282">
        <f>G395</f>
        <v>169.41666666666666</v>
      </c>
      <c r="G445" s="283">
        <f t="shared" si="84"/>
        <v>1.4166666666666572</v>
      </c>
      <c r="H445" s="284"/>
      <c r="I445" s="284"/>
      <c r="J445" s="282">
        <f>K434</f>
        <v>283</v>
      </c>
      <c r="K445" s="282">
        <f>G397</f>
        <v>299.94344444444442</v>
      </c>
      <c r="L445" s="286">
        <f>K445-J445</f>
        <v>16.943444444444424</v>
      </c>
    </row>
    <row r="446" spans="2:12" ht="15" customHeight="1" x14ac:dyDescent="0.2">
      <c r="B446" s="279" t="str">
        <f t="shared" si="83"/>
        <v>Street Lighting</v>
      </c>
      <c r="C446" s="280"/>
      <c r="D446" s="281"/>
      <c r="E446" s="282">
        <f>F404</f>
        <v>2843.3333333333335</v>
      </c>
      <c r="F446" s="282">
        <f>$G$404</f>
        <v>2923.3333333333335</v>
      </c>
      <c r="G446" s="283">
        <f t="shared" si="84"/>
        <v>80</v>
      </c>
      <c r="H446" s="284"/>
      <c r="I446" s="284"/>
      <c r="J446" s="282">
        <f>F406</f>
        <v>4149</v>
      </c>
      <c r="K446" s="282">
        <f>$G$406</f>
        <v>4581.3899999999994</v>
      </c>
      <c r="L446" s="286">
        <f>K446-J446</f>
        <v>432.38999999999942</v>
      </c>
    </row>
    <row r="447" spans="2:12" ht="15" customHeight="1" x14ac:dyDescent="0.2">
      <c r="B447" s="279" t="str">
        <f t="shared" si="83"/>
        <v>Unmetered Scattered Load</v>
      </c>
      <c r="C447" s="280"/>
      <c r="D447" s="281"/>
      <c r="E447" s="282">
        <f>F413</f>
        <v>77.583333333333329</v>
      </c>
      <c r="F447" s="282">
        <f>$G$413</f>
        <v>75.583333333333329</v>
      </c>
      <c r="G447" s="283">
        <f t="shared" si="84"/>
        <v>-2</v>
      </c>
      <c r="H447" s="284">
        <f>I436</f>
        <v>473256.31021658465</v>
      </c>
      <c r="I447" s="284">
        <f>G414</f>
        <v>465477.96536694834</v>
      </c>
      <c r="J447" s="282"/>
      <c r="K447" s="282"/>
      <c r="L447" s="286">
        <f>I447-H447</f>
        <v>-7778.3448496363126</v>
      </c>
    </row>
    <row r="448" spans="2:12" ht="15" customHeight="1" x14ac:dyDescent="0.2">
      <c r="B448" s="279" t="s">
        <v>240</v>
      </c>
      <c r="C448" s="280"/>
      <c r="D448" s="281"/>
      <c r="E448" s="282">
        <f>SUM(E442:E447)</f>
        <v>18286.166666666664</v>
      </c>
      <c r="F448" s="282">
        <f t="shared" ref="F448:K448" si="85">SUM(F442:F447)</f>
        <v>18735.916666666664</v>
      </c>
      <c r="G448" s="282">
        <f t="shared" si="85"/>
        <v>449.74999999999943</v>
      </c>
      <c r="H448" s="282">
        <f t="shared" si="85"/>
        <v>180022609.66049522</v>
      </c>
      <c r="I448" s="282">
        <f t="shared" si="85"/>
        <v>185532586.27912381</v>
      </c>
      <c r="J448" s="282">
        <f t="shared" si="85"/>
        <v>135367</v>
      </c>
      <c r="K448" s="282">
        <f t="shared" si="85"/>
        <v>140274.97344444442</v>
      </c>
      <c r="L448" s="286"/>
    </row>
    <row r="450" spans="2:12" ht="15" customHeight="1" x14ac:dyDescent="0.25">
      <c r="B450" s="405" t="s">
        <v>331</v>
      </c>
      <c r="C450" s="405"/>
      <c r="D450" s="405"/>
      <c r="E450" s="405"/>
      <c r="F450" s="405"/>
      <c r="G450" s="405"/>
      <c r="H450" s="405"/>
      <c r="I450" s="405"/>
      <c r="J450" s="405"/>
      <c r="K450" s="405"/>
      <c r="L450" s="405"/>
    </row>
    <row r="451" spans="2:12" ht="15" customHeight="1" x14ac:dyDescent="0.2">
      <c r="B451" s="406"/>
      <c r="C451" s="407"/>
      <c r="D451" s="408"/>
      <c r="E451" s="406" t="s">
        <v>236</v>
      </c>
      <c r="F451" s="407"/>
      <c r="G451" s="408"/>
      <c r="H451" s="409" t="s">
        <v>91</v>
      </c>
      <c r="I451" s="409"/>
      <c r="J451" s="409" t="s">
        <v>237</v>
      </c>
      <c r="K451" s="409"/>
      <c r="L451" s="351"/>
    </row>
    <row r="452" spans="2:12" ht="20.399999999999999" x14ac:dyDescent="0.2">
      <c r="B452" s="412" t="s">
        <v>238</v>
      </c>
      <c r="C452" s="413"/>
      <c r="D452" s="414"/>
      <c r="E452" s="353" t="str">
        <f>F441</f>
        <v xml:space="preserve">2014 Actual </v>
      </c>
      <c r="F452" s="353" t="s">
        <v>128</v>
      </c>
      <c r="G452" s="353" t="s">
        <v>39</v>
      </c>
      <c r="H452" s="352" t="str">
        <f>E452</f>
        <v xml:space="preserve">2014 Actual </v>
      </c>
      <c r="I452" s="353" t="str">
        <f>F452</f>
        <v>2015 Actual</v>
      </c>
      <c r="J452" s="352" t="str">
        <f>E452</f>
        <v xml:space="preserve">2014 Actual </v>
      </c>
      <c r="K452" s="353" t="str">
        <f>F452</f>
        <v>2015 Actual</v>
      </c>
      <c r="L452" s="352" t="s">
        <v>239</v>
      </c>
    </row>
    <row r="453" spans="2:12" ht="15" customHeight="1" x14ac:dyDescent="0.2">
      <c r="B453" s="279" t="str">
        <f>B442</f>
        <v>Residential</v>
      </c>
      <c r="C453" s="280"/>
      <c r="D453" s="281"/>
      <c r="E453" s="282">
        <f>G372</f>
        <v>14509.166666666666</v>
      </c>
      <c r="F453" s="282">
        <f>$H$372</f>
        <v>14861.583333333334</v>
      </c>
      <c r="G453" s="283">
        <f>F453-E453</f>
        <v>352.41666666666788</v>
      </c>
      <c r="H453" s="284">
        <f>G373</f>
        <v>152923211.90943465</v>
      </c>
      <c r="I453" s="284">
        <f>$H$373</f>
        <v>151526915.08366263</v>
      </c>
      <c r="J453" s="282"/>
      <c r="K453" s="285"/>
      <c r="L453" s="286">
        <f>I453-H453</f>
        <v>-1396296.8257720172</v>
      </c>
    </row>
    <row r="454" spans="2:12" ht="15" customHeight="1" x14ac:dyDescent="0.2">
      <c r="B454" s="279" t="str">
        <f t="shared" ref="B454:B458" si="86">B443</f>
        <v>General Service &lt; 50 kW</v>
      </c>
      <c r="C454" s="280"/>
      <c r="D454" s="281"/>
      <c r="E454" s="282">
        <f>G379</f>
        <v>991.25</v>
      </c>
      <c r="F454" s="282">
        <f>$H$379</f>
        <v>1000.5833333333334</v>
      </c>
      <c r="G454" s="283">
        <f t="shared" ref="G454:G458" si="87">F454-E454</f>
        <v>9.3333333333333712</v>
      </c>
      <c r="H454" s="284">
        <f>G380</f>
        <v>32143896.404322214</v>
      </c>
      <c r="I454" s="284">
        <f>$H$380</f>
        <v>34326840.153572448</v>
      </c>
      <c r="J454" s="282"/>
      <c r="K454" s="285"/>
      <c r="L454" s="286">
        <f>I454-H454</f>
        <v>2182943.7492502332</v>
      </c>
    </row>
    <row r="455" spans="2:12" ht="15" customHeight="1" x14ac:dyDescent="0.2">
      <c r="B455" s="279" t="str">
        <f t="shared" si="86"/>
        <v>General Service 50 to 4,999 kW</v>
      </c>
      <c r="C455" s="280"/>
      <c r="D455" s="281"/>
      <c r="E455" s="282">
        <f>G386</f>
        <v>67.166666666666671</v>
      </c>
      <c r="F455" s="282">
        <f>$H$386</f>
        <v>71.5</v>
      </c>
      <c r="G455" s="283">
        <f t="shared" si="87"/>
        <v>4.3333333333333286</v>
      </c>
      <c r="H455" s="284"/>
      <c r="I455" s="284"/>
      <c r="J455" s="282">
        <f>G388</f>
        <v>135393.63999999998</v>
      </c>
      <c r="K455" s="282">
        <f>$H$388</f>
        <v>141986.79999999999</v>
      </c>
      <c r="L455" s="286">
        <f>K455-J455</f>
        <v>6593.1600000000035</v>
      </c>
    </row>
    <row r="456" spans="2:12" ht="15" customHeight="1" x14ac:dyDescent="0.2">
      <c r="B456" s="279" t="str">
        <f t="shared" si="86"/>
        <v>Sentinel Lighting</v>
      </c>
      <c r="C456" s="280"/>
      <c r="D456" s="281"/>
      <c r="E456" s="282">
        <f>G395</f>
        <v>169.41666666666666</v>
      </c>
      <c r="F456" s="282">
        <f>H395</f>
        <v>165.75</v>
      </c>
      <c r="G456" s="283">
        <f t="shared" si="87"/>
        <v>-3.6666666666666572</v>
      </c>
      <c r="H456" s="284"/>
      <c r="I456" s="284"/>
      <c r="J456" s="282">
        <f>G397</f>
        <v>299.94344444444442</v>
      </c>
      <c r="K456" s="282">
        <f>H397</f>
        <v>287.601</v>
      </c>
      <c r="L456" s="286">
        <f>K456-J456</f>
        <v>-12.342444444444425</v>
      </c>
    </row>
    <row r="457" spans="2:12" ht="15" customHeight="1" x14ac:dyDescent="0.2">
      <c r="B457" s="279" t="str">
        <f t="shared" si="86"/>
        <v>Street Lighting</v>
      </c>
      <c r="C457" s="280"/>
      <c r="D457" s="281"/>
      <c r="E457" s="282">
        <f>G404</f>
        <v>2923.3333333333335</v>
      </c>
      <c r="F457" s="282">
        <f>$H$404</f>
        <v>2897.6666666666665</v>
      </c>
      <c r="G457" s="283">
        <f t="shared" si="87"/>
        <v>-25.66666666666697</v>
      </c>
      <c r="H457" s="284"/>
      <c r="I457" s="284"/>
      <c r="J457" s="282">
        <f>G406</f>
        <v>4581.3899999999994</v>
      </c>
      <c r="K457" s="282">
        <f>$H$406</f>
        <v>3139.7699999999995</v>
      </c>
      <c r="L457" s="286">
        <f>K457-J457</f>
        <v>-1441.62</v>
      </c>
    </row>
    <row r="458" spans="2:12" ht="15" customHeight="1" x14ac:dyDescent="0.2">
      <c r="B458" s="279" t="str">
        <f t="shared" si="86"/>
        <v>Unmetered Scattered Load</v>
      </c>
      <c r="C458" s="280"/>
      <c r="D458" s="281"/>
      <c r="E458" s="282">
        <f>G413</f>
        <v>75.583333333333329</v>
      </c>
      <c r="F458" s="282">
        <f>$H$413</f>
        <v>76</v>
      </c>
      <c r="G458" s="283">
        <f t="shared" si="87"/>
        <v>0.4166666666666714</v>
      </c>
      <c r="H458" s="284">
        <f>I447</f>
        <v>465477.96536694834</v>
      </c>
      <c r="I458" s="284">
        <f>H414</f>
        <v>465054.82051731192</v>
      </c>
      <c r="J458" s="282"/>
      <c r="K458" s="282"/>
      <c r="L458" s="286">
        <f>I458-H458</f>
        <v>-423.14484963641735</v>
      </c>
    </row>
    <row r="459" spans="2:12" ht="15" customHeight="1" x14ac:dyDescent="0.2">
      <c r="B459" s="279" t="s">
        <v>240</v>
      </c>
      <c r="C459" s="280"/>
      <c r="D459" s="281"/>
      <c r="E459" s="282">
        <f>SUM(E453:E458)</f>
        <v>18735.916666666664</v>
      </c>
      <c r="F459" s="282">
        <f t="shared" ref="F459:K459" si="88">SUM(F453:F458)</f>
        <v>19073.083333333336</v>
      </c>
      <c r="G459" s="282">
        <f t="shared" si="88"/>
        <v>337.1666666666676</v>
      </c>
      <c r="H459" s="282">
        <f t="shared" si="88"/>
        <v>185532586.27912381</v>
      </c>
      <c r="I459" s="282">
        <f t="shared" si="88"/>
        <v>186318810.05775237</v>
      </c>
      <c r="J459" s="282">
        <f t="shared" si="88"/>
        <v>140274.97344444442</v>
      </c>
      <c r="K459" s="282">
        <f t="shared" si="88"/>
        <v>145414.17099999997</v>
      </c>
      <c r="L459" s="286"/>
    </row>
    <row r="462" spans="2:12" ht="15" customHeight="1" x14ac:dyDescent="0.25">
      <c r="B462" s="405" t="s">
        <v>332</v>
      </c>
      <c r="C462" s="405"/>
      <c r="D462" s="405"/>
      <c r="E462" s="405"/>
      <c r="F462" s="405"/>
      <c r="G462" s="405"/>
      <c r="H462" s="405"/>
      <c r="I462" s="405"/>
      <c r="J462" s="405"/>
      <c r="K462" s="405"/>
      <c r="L462" s="405"/>
    </row>
    <row r="463" spans="2:12" ht="15" customHeight="1" x14ac:dyDescent="0.2">
      <c r="B463" s="406"/>
      <c r="C463" s="407"/>
      <c r="D463" s="408"/>
      <c r="E463" s="406" t="s">
        <v>236</v>
      </c>
      <c r="F463" s="407"/>
      <c r="G463" s="408"/>
      <c r="H463" s="409" t="s">
        <v>91</v>
      </c>
      <c r="I463" s="409"/>
      <c r="J463" s="409" t="s">
        <v>237</v>
      </c>
      <c r="K463" s="409"/>
      <c r="L463" s="351"/>
    </row>
    <row r="464" spans="2:12" ht="20.399999999999999" x14ac:dyDescent="0.2">
      <c r="B464" s="412" t="s">
        <v>238</v>
      </c>
      <c r="C464" s="413"/>
      <c r="D464" s="414"/>
      <c r="E464" s="353" t="str">
        <f>F452</f>
        <v>2015 Actual</v>
      </c>
      <c r="F464" s="353" t="s">
        <v>333</v>
      </c>
      <c r="G464" s="353" t="s">
        <v>39</v>
      </c>
      <c r="H464" s="352" t="str">
        <f>E464</f>
        <v>2015 Actual</v>
      </c>
      <c r="I464" s="353" t="str">
        <f>F464</f>
        <v>2016 Bridge</v>
      </c>
      <c r="J464" s="352" t="str">
        <f>E464</f>
        <v>2015 Actual</v>
      </c>
      <c r="K464" s="353" t="str">
        <f>F464</f>
        <v>2016 Bridge</v>
      </c>
      <c r="L464" s="352" t="s">
        <v>239</v>
      </c>
    </row>
    <row r="465" spans="2:12" ht="15" customHeight="1" x14ac:dyDescent="0.2">
      <c r="B465" s="279" t="str">
        <f>B453</f>
        <v>Residential</v>
      </c>
      <c r="C465" s="280"/>
      <c r="D465" s="281"/>
      <c r="E465" s="282">
        <f>F453</f>
        <v>14861.583333333334</v>
      </c>
      <c r="F465" s="282">
        <f>$I$372</f>
        <v>15419</v>
      </c>
      <c r="G465" s="283">
        <f>F465-E465</f>
        <v>557.41666666666606</v>
      </c>
      <c r="H465" s="284">
        <f>I453</f>
        <v>151526915.08366263</v>
      </c>
      <c r="I465" s="284">
        <f>$I$373</f>
        <v>149674173.61039653</v>
      </c>
      <c r="J465" s="282"/>
      <c r="K465" s="285"/>
      <c r="L465" s="286">
        <f>I465-H465</f>
        <v>-1852741.4732660949</v>
      </c>
    </row>
    <row r="466" spans="2:12" ht="15" customHeight="1" x14ac:dyDescent="0.2">
      <c r="B466" s="279" t="str">
        <f t="shared" ref="B466:B470" si="89">B454</f>
        <v>General Service &lt; 50 kW</v>
      </c>
      <c r="C466" s="280"/>
      <c r="D466" s="281"/>
      <c r="E466" s="282">
        <f>F454</f>
        <v>1000.5833333333334</v>
      </c>
      <c r="F466" s="282">
        <f>$I$379</f>
        <v>1026</v>
      </c>
      <c r="G466" s="283">
        <f t="shared" ref="G466:G470" si="90">F466-E466</f>
        <v>25.416666666666629</v>
      </c>
      <c r="H466" s="284">
        <f>I454</f>
        <v>34326840.153572448</v>
      </c>
      <c r="I466" s="284">
        <f>$I$380</f>
        <v>33122069.126032144</v>
      </c>
      <c r="J466" s="282"/>
      <c r="K466" s="285"/>
      <c r="L466" s="286">
        <f>I466-H466</f>
        <v>-1204771.0275403038</v>
      </c>
    </row>
    <row r="467" spans="2:12" ht="15" customHeight="1" x14ac:dyDescent="0.2">
      <c r="B467" s="279" t="str">
        <f t="shared" si="89"/>
        <v>General Service 50 to 4,999 kW</v>
      </c>
      <c r="C467" s="280"/>
      <c r="D467" s="281"/>
      <c r="E467" s="282">
        <f>F455</f>
        <v>71.5</v>
      </c>
      <c r="F467" s="282">
        <f>$I$386</f>
        <v>71.5</v>
      </c>
      <c r="G467" s="283">
        <f t="shared" si="90"/>
        <v>0</v>
      </c>
      <c r="H467" s="284"/>
      <c r="I467" s="284"/>
      <c r="J467" s="282">
        <f>K455</f>
        <v>141986.79999999999</v>
      </c>
      <c r="K467" s="282">
        <f>$I$388</f>
        <v>154174.11191583652</v>
      </c>
      <c r="L467" s="286">
        <f>K467-J467</f>
        <v>12187.31191583653</v>
      </c>
    </row>
    <row r="468" spans="2:12" ht="15" customHeight="1" x14ac:dyDescent="0.2">
      <c r="B468" s="279" t="str">
        <f t="shared" si="89"/>
        <v>Sentinel Lighting</v>
      </c>
      <c r="C468" s="280"/>
      <c r="D468" s="281"/>
      <c r="E468" s="282">
        <f>H395</f>
        <v>165.75</v>
      </c>
      <c r="F468" s="282">
        <f>I395</f>
        <v>163</v>
      </c>
      <c r="G468" s="283">
        <f t="shared" si="90"/>
        <v>-2.75</v>
      </c>
      <c r="H468" s="284"/>
      <c r="I468" s="284"/>
      <c r="J468" s="282">
        <f>H397</f>
        <v>287.601</v>
      </c>
      <c r="K468" s="282">
        <f>I397</f>
        <v>279.72691784487739</v>
      </c>
      <c r="L468" s="286">
        <f>K468-J468</f>
        <v>-7.8740821551226077</v>
      </c>
    </row>
    <row r="469" spans="2:12" ht="15" customHeight="1" x14ac:dyDescent="0.2">
      <c r="B469" s="279" t="str">
        <f t="shared" si="89"/>
        <v>Street Lighting</v>
      </c>
      <c r="C469" s="280"/>
      <c r="D469" s="281"/>
      <c r="E469" s="282">
        <f>F457</f>
        <v>2897.6666666666665</v>
      </c>
      <c r="F469" s="282">
        <f>$I$404</f>
        <v>2963</v>
      </c>
      <c r="G469" s="283">
        <f t="shared" si="90"/>
        <v>65.333333333333485</v>
      </c>
      <c r="H469" s="284"/>
      <c r="I469" s="284"/>
      <c r="J469" s="282">
        <f>K457</f>
        <v>3139.7699999999995</v>
      </c>
      <c r="K469" s="282">
        <f>$I$406</f>
        <v>1854.1136637654336</v>
      </c>
      <c r="L469" s="286">
        <f>K469-J469</f>
        <v>-1285.656336234566</v>
      </c>
    </row>
    <row r="470" spans="2:12" ht="15" customHeight="1" x14ac:dyDescent="0.2">
      <c r="B470" s="279" t="str">
        <f t="shared" si="89"/>
        <v>Unmetered Scattered Load</v>
      </c>
      <c r="C470" s="280"/>
      <c r="D470" s="281"/>
      <c r="E470" s="282">
        <f>F458</f>
        <v>76</v>
      </c>
      <c r="F470" s="282">
        <f>$I$413</f>
        <v>75</v>
      </c>
      <c r="G470" s="283">
        <f t="shared" si="90"/>
        <v>-1</v>
      </c>
      <c r="H470" s="284">
        <f>I458</f>
        <v>465054.82051731192</v>
      </c>
      <c r="I470" s="284">
        <f>I414</f>
        <v>496660.25825870311</v>
      </c>
      <c r="J470" s="282"/>
      <c r="K470" s="282"/>
      <c r="L470" s="286">
        <f>K470-J470</f>
        <v>0</v>
      </c>
    </row>
    <row r="471" spans="2:12" ht="15" customHeight="1" x14ac:dyDescent="0.2">
      <c r="B471" s="279" t="s">
        <v>240</v>
      </c>
      <c r="C471" s="280"/>
      <c r="D471" s="281"/>
      <c r="E471" s="282">
        <f>SUM(E465:E470)</f>
        <v>19073.083333333336</v>
      </c>
      <c r="F471" s="282">
        <f t="shared" ref="F471:K471" si="91">SUM(F465:F470)</f>
        <v>19717.5</v>
      </c>
      <c r="G471" s="282">
        <f t="shared" si="91"/>
        <v>644.41666666666617</v>
      </c>
      <c r="H471" s="282">
        <f t="shared" si="91"/>
        <v>186318810.05775237</v>
      </c>
      <c r="I471" s="282">
        <f t="shared" si="91"/>
        <v>183292902.99468738</v>
      </c>
      <c r="J471" s="282">
        <f t="shared" si="91"/>
        <v>145414.17099999997</v>
      </c>
      <c r="K471" s="282">
        <f t="shared" si="91"/>
        <v>156307.95249744682</v>
      </c>
      <c r="L471" s="286"/>
    </row>
    <row r="473" spans="2:12" ht="15" customHeight="1" x14ac:dyDescent="0.25">
      <c r="B473" s="405" t="s">
        <v>334</v>
      </c>
      <c r="C473" s="405"/>
      <c r="D473" s="405"/>
      <c r="E473" s="405"/>
      <c r="F473" s="405"/>
      <c r="G473" s="405"/>
      <c r="H473" s="405"/>
      <c r="I473" s="405"/>
      <c r="J473" s="405"/>
      <c r="K473" s="405"/>
      <c r="L473" s="405"/>
    </row>
    <row r="474" spans="2:12" s="287" customFormat="1" ht="15" customHeight="1" x14ac:dyDescent="0.2">
      <c r="B474" s="406"/>
      <c r="C474" s="407"/>
      <c r="D474" s="408"/>
      <c r="E474" s="406" t="s">
        <v>236</v>
      </c>
      <c r="F474" s="407"/>
      <c r="G474" s="408"/>
      <c r="H474" s="409" t="s">
        <v>91</v>
      </c>
      <c r="I474" s="409"/>
      <c r="J474" s="409" t="s">
        <v>237</v>
      </c>
      <c r="K474" s="409"/>
      <c r="L474" s="351"/>
    </row>
    <row r="475" spans="2:12" ht="20.399999999999999" x14ac:dyDescent="0.2">
      <c r="B475" s="412" t="s">
        <v>238</v>
      </c>
      <c r="C475" s="413"/>
      <c r="D475" s="414"/>
      <c r="E475" s="353" t="str">
        <f>F464</f>
        <v>2016 Bridge</v>
      </c>
      <c r="F475" s="353" t="s">
        <v>335</v>
      </c>
      <c r="G475" s="353" t="s">
        <v>39</v>
      </c>
      <c r="H475" s="352" t="str">
        <f>E475</f>
        <v>2016 Bridge</v>
      </c>
      <c r="I475" s="353" t="str">
        <f>F475</f>
        <v>2017 Test</v>
      </c>
      <c r="J475" s="352" t="str">
        <f>E475</f>
        <v>2016 Bridge</v>
      </c>
      <c r="K475" s="353" t="str">
        <f>F475</f>
        <v>2017 Test</v>
      </c>
      <c r="L475" s="352" t="s">
        <v>239</v>
      </c>
    </row>
    <row r="476" spans="2:12" ht="15" customHeight="1" x14ac:dyDescent="0.2">
      <c r="B476" s="279" t="str">
        <f>B465</f>
        <v>Residential</v>
      </c>
      <c r="C476" s="280"/>
      <c r="D476" s="281"/>
      <c r="E476" s="282">
        <f>I372</f>
        <v>15419</v>
      </c>
      <c r="F476" s="282">
        <f>J372</f>
        <v>15930</v>
      </c>
      <c r="G476" s="283">
        <f>F476-E476</f>
        <v>511</v>
      </c>
      <c r="H476" s="284">
        <f>I373</f>
        <v>149674173.61039653</v>
      </c>
      <c r="I476" s="284">
        <f>J373</f>
        <v>149932101.44827333</v>
      </c>
      <c r="J476" s="282"/>
      <c r="K476" s="285"/>
      <c r="L476" s="286">
        <f>I476-H476</f>
        <v>257927.83787679672</v>
      </c>
    </row>
    <row r="477" spans="2:12" ht="15" customHeight="1" x14ac:dyDescent="0.2">
      <c r="B477" s="279" t="str">
        <f t="shared" ref="B477:B481" si="92">B466</f>
        <v>General Service &lt; 50 kW</v>
      </c>
      <c r="C477" s="280"/>
      <c r="D477" s="281"/>
      <c r="E477" s="282">
        <f>I379</f>
        <v>1026</v>
      </c>
      <c r="F477" s="282">
        <f>J379</f>
        <v>1052</v>
      </c>
      <c r="G477" s="283">
        <f t="shared" ref="G477:G481" si="93">F477-E477</f>
        <v>26</v>
      </c>
      <c r="H477" s="284">
        <f>I380</f>
        <v>33122069.126032144</v>
      </c>
      <c r="I477" s="284">
        <f>J380</f>
        <v>32368432.968739454</v>
      </c>
      <c r="J477" s="282"/>
      <c r="K477" s="285"/>
      <c r="L477" s="286">
        <f>I477-H477</f>
        <v>-753636.15729269013</v>
      </c>
    </row>
    <row r="478" spans="2:12" ht="15" customHeight="1" x14ac:dyDescent="0.2">
      <c r="B478" s="279" t="str">
        <f t="shared" si="92"/>
        <v>General Service 50 to 4,999 kW</v>
      </c>
      <c r="C478" s="280"/>
      <c r="D478" s="281"/>
      <c r="E478" s="282">
        <f>I386</f>
        <v>71.5</v>
      </c>
      <c r="F478" s="282">
        <f>J386</f>
        <v>71.5</v>
      </c>
      <c r="G478" s="283">
        <f t="shared" si="93"/>
        <v>0</v>
      </c>
      <c r="H478" s="284"/>
      <c r="I478" s="284"/>
      <c r="J478" s="282">
        <f>I388</f>
        <v>154174.11191583652</v>
      </c>
      <c r="K478" s="282">
        <f>J388</f>
        <v>157260.84816394193</v>
      </c>
      <c r="L478" s="286">
        <f>K478-J478</f>
        <v>3086.7362481054151</v>
      </c>
    </row>
    <row r="479" spans="2:12" ht="15" customHeight="1" x14ac:dyDescent="0.2">
      <c r="B479" s="279" t="str">
        <f t="shared" si="92"/>
        <v>Sentinel Lighting</v>
      </c>
      <c r="C479" s="280"/>
      <c r="D479" s="281"/>
      <c r="E479" s="282">
        <f>I395</f>
        <v>163</v>
      </c>
      <c r="F479" s="282">
        <f>J395</f>
        <v>161</v>
      </c>
      <c r="G479" s="283">
        <f t="shared" si="93"/>
        <v>-2</v>
      </c>
      <c r="H479" s="284"/>
      <c r="I479" s="284"/>
      <c r="J479" s="282">
        <f>I397</f>
        <v>279.72691784487739</v>
      </c>
      <c r="K479" s="282">
        <f>J397</f>
        <v>273.18749568630062</v>
      </c>
      <c r="L479" s="286">
        <f>K479-J479</f>
        <v>-6.5394221585767696</v>
      </c>
    </row>
    <row r="480" spans="2:12" ht="15" customHeight="1" x14ac:dyDescent="0.2">
      <c r="B480" s="279" t="str">
        <f t="shared" si="92"/>
        <v>Street Lighting</v>
      </c>
      <c r="C480" s="280"/>
      <c r="D480" s="281"/>
      <c r="E480" s="282">
        <f>I404</f>
        <v>2963</v>
      </c>
      <c r="F480" s="282">
        <f>J404</f>
        <v>3030</v>
      </c>
      <c r="G480" s="283">
        <f t="shared" si="93"/>
        <v>67</v>
      </c>
      <c r="H480" s="284"/>
      <c r="I480" s="284"/>
      <c r="J480" s="282">
        <f>I406</f>
        <v>1854.1136637654336</v>
      </c>
      <c r="K480" s="282">
        <f>J406</f>
        <v>1888.5449751821914</v>
      </c>
      <c r="L480" s="286">
        <f>K480-J480</f>
        <v>34.431311416757808</v>
      </c>
    </row>
    <row r="481" spans="2:12" ht="15" customHeight="1" x14ac:dyDescent="0.2">
      <c r="B481" s="279" t="str">
        <f t="shared" si="92"/>
        <v>Unmetered Scattered Load</v>
      </c>
      <c r="C481" s="280"/>
      <c r="D481" s="281"/>
      <c r="E481" s="282">
        <f>I413</f>
        <v>75</v>
      </c>
      <c r="F481" s="282">
        <f>J413</f>
        <v>74</v>
      </c>
      <c r="G481" s="283">
        <f t="shared" si="93"/>
        <v>-1</v>
      </c>
      <c r="H481" s="284">
        <f>I470</f>
        <v>496660.25825870311</v>
      </c>
      <c r="I481" s="284">
        <f>J414</f>
        <v>530366.92860140104</v>
      </c>
      <c r="J481" s="282"/>
      <c r="K481" s="282"/>
      <c r="L481" s="286">
        <f>K481-J481</f>
        <v>0</v>
      </c>
    </row>
    <row r="482" spans="2:12" ht="15" customHeight="1" x14ac:dyDescent="0.2">
      <c r="B482" s="279" t="s">
        <v>240</v>
      </c>
      <c r="C482" s="280"/>
      <c r="D482" s="281"/>
      <c r="E482" s="282">
        <f>SUM(E476:E481)</f>
        <v>19717.5</v>
      </c>
      <c r="F482" s="282">
        <f t="shared" ref="F482:K482" si="94">SUM(F476:F481)</f>
        <v>20318.5</v>
      </c>
      <c r="G482" s="282">
        <f t="shared" si="94"/>
        <v>601</v>
      </c>
      <c r="H482" s="282">
        <f t="shared" si="94"/>
        <v>183292902.99468738</v>
      </c>
      <c r="I482" s="282">
        <f t="shared" si="94"/>
        <v>182830901.34561419</v>
      </c>
      <c r="J482" s="282">
        <f t="shared" si="94"/>
        <v>156307.95249744682</v>
      </c>
      <c r="K482" s="282">
        <f t="shared" si="94"/>
        <v>159422.58063481041</v>
      </c>
      <c r="L482" s="286"/>
    </row>
  </sheetData>
  <mergeCells count="118">
    <mergeCell ref="B475:D475"/>
    <mergeCell ref="B464:D464"/>
    <mergeCell ref="B473:L473"/>
    <mergeCell ref="B474:D474"/>
    <mergeCell ref="E474:G474"/>
    <mergeCell ref="H474:I474"/>
    <mergeCell ref="J474:K474"/>
    <mergeCell ref="B452:D452"/>
    <mergeCell ref="B462:L462"/>
    <mergeCell ref="B463:D463"/>
    <mergeCell ref="E463:G463"/>
    <mergeCell ref="H463:I463"/>
    <mergeCell ref="J463:K463"/>
    <mergeCell ref="B429:D429"/>
    <mergeCell ref="E429:G429"/>
    <mergeCell ref="H429:I429"/>
    <mergeCell ref="J429:K429"/>
    <mergeCell ref="B423:F423"/>
    <mergeCell ref="B441:D441"/>
    <mergeCell ref="B450:L450"/>
    <mergeCell ref="B451:D451"/>
    <mergeCell ref="E451:G451"/>
    <mergeCell ref="H451:I451"/>
    <mergeCell ref="J451:K451"/>
    <mergeCell ref="B430:D430"/>
    <mergeCell ref="B439:L439"/>
    <mergeCell ref="B440:D440"/>
    <mergeCell ref="E440:G440"/>
    <mergeCell ref="H440:I440"/>
    <mergeCell ref="J440:K440"/>
    <mergeCell ref="B364:E364"/>
    <mergeCell ref="B365:E365"/>
    <mergeCell ref="B366:E366"/>
    <mergeCell ref="B352:H352"/>
    <mergeCell ref="B357:E357"/>
    <mergeCell ref="B358:E358"/>
    <mergeCell ref="B359:E359"/>
    <mergeCell ref="B360:E360"/>
    <mergeCell ref="B428:L428"/>
    <mergeCell ref="O227:V227"/>
    <mergeCell ref="O242:V242"/>
    <mergeCell ref="O254:V254"/>
    <mergeCell ref="O266:V266"/>
    <mergeCell ref="A281:D281"/>
    <mergeCell ref="B308:D308"/>
    <mergeCell ref="B309:D309"/>
    <mergeCell ref="A296:D296"/>
    <mergeCell ref="A297:D297"/>
    <mergeCell ref="A298:D298"/>
    <mergeCell ref="B304:K304"/>
    <mergeCell ref="B307:K307"/>
    <mergeCell ref="A288:D288"/>
    <mergeCell ref="A289:D289"/>
    <mergeCell ref="A290:D290"/>
    <mergeCell ref="A291:D291"/>
    <mergeCell ref="A292:D292"/>
    <mergeCell ref="A293:K293"/>
    <mergeCell ref="A294:D294"/>
    <mergeCell ref="A295:D295"/>
    <mergeCell ref="B175:J175"/>
    <mergeCell ref="B190:J190"/>
    <mergeCell ref="B191:D191"/>
    <mergeCell ref="B192:D192"/>
    <mergeCell ref="B126:K126"/>
    <mergeCell ref="B140:J140"/>
    <mergeCell ref="B154:D154"/>
    <mergeCell ref="B156:D156"/>
    <mergeCell ref="B157:D157"/>
    <mergeCell ref="B161:J161"/>
    <mergeCell ref="B117:E117"/>
    <mergeCell ref="B99:D99"/>
    <mergeCell ref="B100:D100"/>
    <mergeCell ref="B115:E115"/>
    <mergeCell ref="B116:E116"/>
    <mergeCell ref="B70:J70"/>
    <mergeCell ref="B95:D95"/>
    <mergeCell ref="B96:D96"/>
    <mergeCell ref="B97:D97"/>
    <mergeCell ref="B98:D98"/>
    <mergeCell ref="B51:K51"/>
    <mergeCell ref="B45:D45"/>
    <mergeCell ref="B46:D46"/>
    <mergeCell ref="B47:D47"/>
    <mergeCell ref="A3:E3"/>
    <mergeCell ref="A4:E4"/>
    <mergeCell ref="A5:E5"/>
    <mergeCell ref="A6:E6"/>
    <mergeCell ref="A7:E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96:K196"/>
    <mergeCell ref="E202:J202"/>
    <mergeCell ref="B222:H222"/>
    <mergeCell ref="A282:D282"/>
    <mergeCell ref="A283:D283"/>
    <mergeCell ref="A284:D284"/>
    <mergeCell ref="A285:D285"/>
    <mergeCell ref="A286:D286"/>
    <mergeCell ref="A287:K287"/>
    <mergeCell ref="B315:D315"/>
    <mergeCell ref="B310:K310"/>
    <mergeCell ref="B311:D311"/>
    <mergeCell ref="B312:D312"/>
    <mergeCell ref="B313:K313"/>
    <mergeCell ref="B314:D314"/>
    <mergeCell ref="B323:H323"/>
    <mergeCell ref="B337:G337"/>
    <mergeCell ref="B316:K316"/>
    <mergeCell ref="B317:D317"/>
    <mergeCell ref="B318:D31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"/>
  <sheetViews>
    <sheetView workbookViewId="0">
      <selection activeCell="F20" sqref="F20"/>
    </sheetView>
  </sheetViews>
  <sheetFormatPr defaultRowHeight="13.2" x14ac:dyDescent="0.25"/>
  <cols>
    <col min="2" max="2" width="9.33203125" style="69" customWidth="1"/>
    <col min="3" max="3" width="9.5546875" style="69" customWidth="1"/>
    <col min="22" max="22" width="9.88671875" bestFit="1" customWidth="1"/>
    <col min="23" max="23" width="11" bestFit="1" customWidth="1"/>
  </cols>
  <sheetData>
    <row r="1" spans="1:27" x14ac:dyDescent="0.25">
      <c r="A1" s="20" t="s">
        <v>73</v>
      </c>
      <c r="B1" s="85"/>
      <c r="C1" s="20" t="s">
        <v>116</v>
      </c>
      <c r="D1" s="20"/>
      <c r="E1" s="20"/>
      <c r="F1" s="20"/>
    </row>
    <row r="2" spans="1:27" x14ac:dyDescent="0.25">
      <c r="A2" s="70"/>
    </row>
    <row r="3" spans="1:27" x14ac:dyDescent="0.25">
      <c r="A3" s="71" t="s">
        <v>74</v>
      </c>
      <c r="B3" s="72"/>
      <c r="C3" s="72"/>
    </row>
    <row r="4" spans="1:27" x14ac:dyDescent="0.25">
      <c r="A4" s="73"/>
      <c r="B4" s="74"/>
      <c r="C4" s="74"/>
    </row>
    <row r="5" spans="1:27" x14ac:dyDescent="0.25">
      <c r="A5" s="75" t="s">
        <v>75</v>
      </c>
      <c r="B5" s="75">
        <v>1996</v>
      </c>
      <c r="C5" s="75">
        <v>1997</v>
      </c>
      <c r="D5" s="75">
        <v>1998</v>
      </c>
      <c r="E5" s="75">
        <v>1999</v>
      </c>
      <c r="F5" s="75">
        <v>2000</v>
      </c>
      <c r="G5" s="75">
        <f t="shared" ref="G5:M5" si="0">G25</f>
        <v>2001</v>
      </c>
      <c r="H5" s="75">
        <f t="shared" si="0"/>
        <v>2002</v>
      </c>
      <c r="I5" s="75">
        <f t="shared" si="0"/>
        <v>2003</v>
      </c>
      <c r="J5" s="75">
        <f t="shared" si="0"/>
        <v>2004</v>
      </c>
      <c r="K5" s="75">
        <f t="shared" si="0"/>
        <v>2005</v>
      </c>
      <c r="L5" s="75">
        <f t="shared" si="0"/>
        <v>2006</v>
      </c>
      <c r="M5" s="75">
        <f t="shared" si="0"/>
        <v>2007</v>
      </c>
      <c r="N5" s="75">
        <v>2008</v>
      </c>
      <c r="O5" s="75">
        <v>2009</v>
      </c>
      <c r="P5" s="75">
        <v>2010</v>
      </c>
      <c r="Q5" s="75">
        <v>2011</v>
      </c>
      <c r="R5" s="75">
        <v>2012</v>
      </c>
      <c r="S5" s="75">
        <v>2013</v>
      </c>
      <c r="T5" s="75">
        <v>2014</v>
      </c>
      <c r="U5" s="75">
        <v>2015</v>
      </c>
      <c r="V5" s="80" t="s">
        <v>89</v>
      </c>
      <c r="W5" s="423" t="s">
        <v>90</v>
      </c>
      <c r="X5" s="423"/>
      <c r="Y5" s="423"/>
      <c r="Z5" s="423"/>
      <c r="AA5" s="423"/>
    </row>
    <row r="6" spans="1:27" x14ac:dyDescent="0.25">
      <c r="A6" s="73"/>
      <c r="B6" s="72"/>
      <c r="C6" s="72"/>
      <c r="W6" s="75">
        <v>2017</v>
      </c>
      <c r="X6" s="75">
        <v>2018</v>
      </c>
      <c r="Y6" s="75">
        <v>2019</v>
      </c>
      <c r="Z6" s="75">
        <v>2020</v>
      </c>
      <c r="AA6" s="75">
        <v>2021</v>
      </c>
    </row>
    <row r="7" spans="1:27" x14ac:dyDescent="0.25">
      <c r="A7" s="76"/>
      <c r="B7" s="72"/>
      <c r="C7" s="72"/>
      <c r="D7" s="72"/>
      <c r="E7" s="72"/>
    </row>
    <row r="8" spans="1:27" x14ac:dyDescent="0.25">
      <c r="A8" s="76" t="s">
        <v>76</v>
      </c>
      <c r="B8" s="77">
        <v>765.2</v>
      </c>
      <c r="C8" s="77">
        <v>756.6</v>
      </c>
      <c r="D8" s="77">
        <v>624.79999999999995</v>
      </c>
      <c r="E8" s="77">
        <v>749.8</v>
      </c>
      <c r="F8" s="77">
        <v>738.9</v>
      </c>
      <c r="G8" s="77">
        <v>684.9</v>
      </c>
      <c r="H8" s="77">
        <v>572.20000000000005</v>
      </c>
      <c r="I8" s="77">
        <v>814.5</v>
      </c>
      <c r="J8" s="77">
        <v>849.1</v>
      </c>
      <c r="K8" s="77">
        <v>770</v>
      </c>
      <c r="L8" s="77">
        <v>551.79999999999995</v>
      </c>
      <c r="M8" s="77">
        <v>647.1</v>
      </c>
      <c r="N8" s="77">
        <v>623.5</v>
      </c>
      <c r="O8" s="77">
        <v>830.2</v>
      </c>
      <c r="P8" s="77">
        <v>720</v>
      </c>
      <c r="Q8" s="77">
        <v>775.3</v>
      </c>
      <c r="R8" s="77">
        <v>611.1</v>
      </c>
      <c r="S8" s="77">
        <f>'[11]eng-daily-01012013-12312013'!$M$57</f>
        <v>624.40000000000009</v>
      </c>
      <c r="T8" s="77">
        <f>'[12]eng-daily-01012014-12312014'!$M$57</f>
        <v>825.90000000000009</v>
      </c>
      <c r="U8" s="77">
        <f>'[13]eng-daily-01012015-12312015'!$M$57</f>
        <v>792.39999999999975</v>
      </c>
      <c r="V8" s="78">
        <f>AVERAGE(L8:U8)</f>
        <v>700.17000000000007</v>
      </c>
      <c r="W8" s="79">
        <f>TREND($B$8:$U$8,$B$25:$U$25,2017)</f>
        <v>721.82285714285717</v>
      </c>
      <c r="X8" s="79">
        <f>TREND($B$8:$U$8,$B$25:$U$25,2018)</f>
        <v>722.29571428571433</v>
      </c>
      <c r="Y8" s="79">
        <f>TREND($B$8:$U$8,$B$25:$U$25,2019)</f>
        <v>722.76857142857148</v>
      </c>
      <c r="Z8" s="79">
        <f>TREND($B$8:$U$8,$B$25:$U$25,2020)</f>
        <v>723.24142857142851</v>
      </c>
      <c r="AA8" s="79">
        <f>TREND($B$8:$U$8,$B$25:$U$25,2021)</f>
        <v>723.71428571428567</v>
      </c>
    </row>
    <row r="9" spans="1:27" x14ac:dyDescent="0.25">
      <c r="A9" s="76" t="s">
        <v>77</v>
      </c>
      <c r="B9" s="77">
        <v>689.8</v>
      </c>
      <c r="C9" s="77">
        <v>593</v>
      </c>
      <c r="D9" s="77">
        <v>512.20000000000005</v>
      </c>
      <c r="E9" s="77">
        <v>548.1</v>
      </c>
      <c r="F9" s="77">
        <v>612.70000000000005</v>
      </c>
      <c r="G9" s="77">
        <v>587.6</v>
      </c>
      <c r="H9" s="77">
        <v>540.20000000000005</v>
      </c>
      <c r="I9" s="77">
        <v>699</v>
      </c>
      <c r="J9" s="77">
        <v>631.70000000000005</v>
      </c>
      <c r="K9" s="77">
        <v>616.4</v>
      </c>
      <c r="L9" s="77">
        <v>604.29999999999995</v>
      </c>
      <c r="M9" s="77">
        <v>740.1</v>
      </c>
      <c r="N9" s="77">
        <v>674.7</v>
      </c>
      <c r="O9" s="77">
        <v>606.4</v>
      </c>
      <c r="P9" s="77">
        <v>598.29999999999995</v>
      </c>
      <c r="Q9" s="77">
        <v>654.20000000000005</v>
      </c>
      <c r="R9" s="77">
        <v>531.70000000000005</v>
      </c>
      <c r="S9" s="77">
        <f>'[11]eng-daily-01012013-12312013'!$M$86</f>
        <v>631.49999999999989</v>
      </c>
      <c r="T9" s="77">
        <f>'[12]eng-daily-01012014-12312014'!$M$86</f>
        <v>737.09999999999991</v>
      </c>
      <c r="U9" s="77">
        <f>'[13]eng-daily-01012015-12312015'!$M$86</f>
        <v>856.8</v>
      </c>
      <c r="V9" s="78">
        <f t="shared" ref="V9:V19" si="1">AVERAGE(L9:U9)</f>
        <v>663.51</v>
      </c>
      <c r="W9" s="79">
        <f>TREND($B$9:$U$9,$B$25:$U$25,2017)</f>
        <v>705.980375939851</v>
      </c>
      <c r="X9" s="79">
        <f>TREND($B$9:$U$9,$B$25:$U$25,2018)</f>
        <v>712.30127819548943</v>
      </c>
      <c r="Y9" s="79">
        <f>TREND($B$9:$U$9,$B$25:$U$25,2019)</f>
        <v>718.62218045112786</v>
      </c>
      <c r="Z9" s="79">
        <f>TREND($B$9:$U$9,$B$25:$U$25,2020)</f>
        <v>724.94308270676811</v>
      </c>
      <c r="AA9" s="79">
        <f>TREND($B$9:$U$9,$B$25:$U$25,2021)</f>
        <v>731.26398496240654</v>
      </c>
    </row>
    <row r="10" spans="1:27" x14ac:dyDescent="0.25">
      <c r="A10" s="76" t="s">
        <v>78</v>
      </c>
      <c r="B10" s="77">
        <v>645.6</v>
      </c>
      <c r="C10" s="77">
        <v>600</v>
      </c>
      <c r="D10" s="77">
        <v>492.3</v>
      </c>
      <c r="E10" s="77">
        <v>550.6</v>
      </c>
      <c r="F10" s="77">
        <v>418.6</v>
      </c>
      <c r="G10" s="77">
        <v>566.6</v>
      </c>
      <c r="H10" s="77">
        <v>545.6</v>
      </c>
      <c r="I10" s="77">
        <v>581.1</v>
      </c>
      <c r="J10" s="77">
        <v>487.3</v>
      </c>
      <c r="K10" s="77">
        <v>608.6</v>
      </c>
      <c r="L10" s="77">
        <v>516.6</v>
      </c>
      <c r="M10" s="77">
        <v>546.70000000000005</v>
      </c>
      <c r="N10" s="77">
        <v>610.20000000000005</v>
      </c>
      <c r="O10" s="77">
        <v>533.79999999999995</v>
      </c>
      <c r="P10" s="77">
        <v>422.8</v>
      </c>
      <c r="Q10" s="77">
        <v>572.79999999999995</v>
      </c>
      <c r="R10" s="77">
        <v>349.40000000000009</v>
      </c>
      <c r="S10" s="77">
        <f>'[11]eng-daily-01012013-12312013'!$M$117</f>
        <v>554.79999999999995</v>
      </c>
      <c r="T10" s="77">
        <f>'[12]eng-daily-01012014-12312014'!$M$117</f>
        <v>690.6</v>
      </c>
      <c r="U10" s="77">
        <f>'[13]eng-daily-01012015-12312015'!$M$117</f>
        <v>615.49999999999989</v>
      </c>
      <c r="V10" s="78">
        <f t="shared" si="1"/>
        <v>541.32000000000005</v>
      </c>
      <c r="W10" s="79">
        <f>TREND($B$10:$U$10,$B$25:$U$25,2017)</f>
        <v>544.10278195488718</v>
      </c>
      <c r="X10" s="79">
        <f>TREND($B$10:$U$10,$B$25:$U$25,2018)</f>
        <v>543.98345864661655</v>
      </c>
      <c r="Y10" s="79">
        <f>TREND($B$10:$U$10,$B$25:$U$25,2019)</f>
        <v>543.86413533834582</v>
      </c>
      <c r="Z10" s="79">
        <f>TREND($B$10:$U$10,$B$25:$U$25,2020)</f>
        <v>543.7448120300752</v>
      </c>
      <c r="AA10" s="79">
        <f>TREND($B$10:$U$10,$B$25:$U$25,2021)</f>
        <v>543.62548872180446</v>
      </c>
    </row>
    <row r="11" spans="1:27" x14ac:dyDescent="0.25">
      <c r="A11" s="76" t="s">
        <v>79</v>
      </c>
      <c r="B11" s="77">
        <v>408.2</v>
      </c>
      <c r="C11" s="77">
        <v>366.8</v>
      </c>
      <c r="D11" s="77">
        <v>282</v>
      </c>
      <c r="E11" s="77">
        <v>296.7</v>
      </c>
      <c r="F11" s="77">
        <v>339.2</v>
      </c>
      <c r="G11" s="77">
        <v>293.8</v>
      </c>
      <c r="H11" s="77">
        <v>329.5</v>
      </c>
      <c r="I11" s="77">
        <v>372.5</v>
      </c>
      <c r="J11" s="77">
        <v>331.5</v>
      </c>
      <c r="K11" s="77">
        <v>306.8</v>
      </c>
      <c r="L11" s="77">
        <v>293.3</v>
      </c>
      <c r="M11" s="77">
        <v>356.4</v>
      </c>
      <c r="N11" s="77">
        <v>253.9</v>
      </c>
      <c r="O11" s="77">
        <v>305.8</v>
      </c>
      <c r="P11" s="77">
        <v>225.1</v>
      </c>
      <c r="Q11" s="77">
        <v>332.3</v>
      </c>
      <c r="R11" s="77">
        <v>321.70000000000005</v>
      </c>
      <c r="S11" s="77">
        <f>'[11]eng-daily-01012013-12312013'!$M$147</f>
        <v>358.6</v>
      </c>
      <c r="T11" s="77">
        <f>'[12]eng-daily-01012014-12312014'!$M$147</f>
        <v>356.90000000000003</v>
      </c>
      <c r="U11" s="77">
        <f>'[13]eng-daily-01012015-12312015'!$M$147</f>
        <v>313.7</v>
      </c>
      <c r="V11" s="78">
        <f t="shared" si="1"/>
        <v>311.77</v>
      </c>
      <c r="W11" s="79">
        <f>TREND($B$11:$U$11,$B$25:$U$25,2017)</f>
        <v>305.9646616541354</v>
      </c>
      <c r="X11" s="79">
        <f>TREND($B$11:$U$11,$B$25:$U$25,2018)</f>
        <v>304.54984962406024</v>
      </c>
      <c r="Y11" s="79">
        <f>TREND($B$11:$U$11,$B$25:$U$25,2019)</f>
        <v>303.13503759398509</v>
      </c>
      <c r="Z11" s="79">
        <f>TREND($B$11:$U$11,$B$25:$U$25,2020)</f>
        <v>301.72022556390993</v>
      </c>
      <c r="AA11" s="79">
        <f>TREND($B$11:$U$11,$B$25:$U$25,2021)</f>
        <v>300.30541353383478</v>
      </c>
    </row>
    <row r="12" spans="1:27" x14ac:dyDescent="0.25">
      <c r="A12" s="76" t="s">
        <v>80</v>
      </c>
      <c r="B12" s="77">
        <v>205.9</v>
      </c>
      <c r="C12" s="77">
        <v>260.8</v>
      </c>
      <c r="D12" s="77">
        <v>59.1</v>
      </c>
      <c r="E12" s="77">
        <v>97.1</v>
      </c>
      <c r="F12" s="77">
        <v>139.6</v>
      </c>
      <c r="G12" s="77">
        <v>111.5</v>
      </c>
      <c r="H12" s="77">
        <v>227.5</v>
      </c>
      <c r="I12" s="77">
        <v>177.9</v>
      </c>
      <c r="J12" s="77">
        <v>158.9</v>
      </c>
      <c r="K12" s="77">
        <v>189.4</v>
      </c>
      <c r="L12" s="77">
        <v>136.9</v>
      </c>
      <c r="M12" s="77">
        <v>136.4</v>
      </c>
      <c r="N12" s="77">
        <v>193.5</v>
      </c>
      <c r="O12" s="77">
        <v>158.80000000000001</v>
      </c>
      <c r="P12" s="77">
        <v>107.9</v>
      </c>
      <c r="Q12" s="77">
        <v>134.1</v>
      </c>
      <c r="R12" s="77">
        <v>80.7</v>
      </c>
      <c r="S12" s="77">
        <f>'[11]eng-daily-01012013-12312013'!$M$178</f>
        <v>109.10000000000001</v>
      </c>
      <c r="T12" s="77">
        <f>'[12]eng-daily-01012014-12312014'!$M$178</f>
        <v>132.10000000000005</v>
      </c>
      <c r="U12" s="77">
        <f>'[13]eng-daily-01012015-12312015'!$M$178</f>
        <v>89.3</v>
      </c>
      <c r="V12" s="78">
        <f>AVERAGE(L12:U12)</f>
        <v>127.88000000000002</v>
      </c>
      <c r="W12" s="79">
        <f>TREND($B$12:$U$12,$B$25:$U$25,2017)</f>
        <v>106.5682706766911</v>
      </c>
      <c r="X12" s="79">
        <f>TREND($B$12:$U$12,$B$25:$U$25,2018)</f>
        <v>103.19812030075173</v>
      </c>
      <c r="Y12" s="79">
        <f>TREND($B$12:$U$12,$B$25:$U$25,2019)</f>
        <v>99.827969924811441</v>
      </c>
      <c r="Z12" s="79">
        <f>TREND($B$12:$U$12,$B$25:$U$25,2020)</f>
        <v>96.457819548872067</v>
      </c>
      <c r="AA12" s="79">
        <f>TREND($B$12:$U$12,$B$25:$U$25,2021)</f>
        <v>93.087669172931783</v>
      </c>
    </row>
    <row r="13" spans="1:27" x14ac:dyDescent="0.25">
      <c r="A13" s="76" t="s">
        <v>81</v>
      </c>
      <c r="B13" s="77">
        <v>20.9</v>
      </c>
      <c r="C13" s="77">
        <v>20.6</v>
      </c>
      <c r="D13" s="77">
        <v>54.7</v>
      </c>
      <c r="E13" s="77">
        <v>25</v>
      </c>
      <c r="F13" s="77">
        <v>34.5</v>
      </c>
      <c r="G13" s="77">
        <v>29.8</v>
      </c>
      <c r="H13" s="77">
        <v>36.200000000000003</v>
      </c>
      <c r="I13" s="77">
        <v>43.4</v>
      </c>
      <c r="J13" s="77">
        <v>44.2</v>
      </c>
      <c r="K13" s="77">
        <v>8.9</v>
      </c>
      <c r="L13" s="77">
        <v>19.5</v>
      </c>
      <c r="M13" s="77">
        <v>16.5</v>
      </c>
      <c r="N13" s="77">
        <v>22.7</v>
      </c>
      <c r="O13" s="77">
        <v>49.3</v>
      </c>
      <c r="P13" s="77">
        <v>21.7</v>
      </c>
      <c r="Q13" s="77">
        <v>19</v>
      </c>
      <c r="R13" s="77">
        <v>23.2</v>
      </c>
      <c r="S13" s="77">
        <f>'[11]eng-daily-01012013-12312013'!$M$208</f>
        <v>32.999999999999993</v>
      </c>
      <c r="T13" s="77">
        <f>'[12]eng-daily-01012014-12312014'!$M$208</f>
        <v>14.1</v>
      </c>
      <c r="U13" s="77">
        <f>'[13]eng-daily-01012015-12312015'!$M$208</f>
        <v>33.800000000000004</v>
      </c>
      <c r="V13" s="78">
        <f t="shared" si="1"/>
        <v>25.279999999999998</v>
      </c>
      <c r="W13" s="79">
        <f>TREND($B$13:$U$13,$B$25:$U$25,2017)</f>
        <v>23.863533834586406</v>
      </c>
      <c r="X13" s="79">
        <f>TREND($B$13:$U$13,$B$25:$U$25,2018)</f>
        <v>23.456015037593943</v>
      </c>
      <c r="Y13" s="79">
        <f>TREND($B$13:$U$13,$B$25:$U$25,2019)</f>
        <v>23.04849624060148</v>
      </c>
      <c r="Z13" s="79">
        <f>TREND($B$13:$U$13,$B$25:$U$25,2020)</f>
        <v>22.640977443609017</v>
      </c>
      <c r="AA13" s="79">
        <f>TREND($B$13:$U$13,$B$25:$U$25,2021)</f>
        <v>22.233458646616441</v>
      </c>
    </row>
    <row r="14" spans="1:27" x14ac:dyDescent="0.25">
      <c r="A14" s="76" t="s">
        <v>82</v>
      </c>
      <c r="B14" s="77">
        <v>10.3</v>
      </c>
      <c r="C14" s="77">
        <v>12.4</v>
      </c>
      <c r="D14" s="77">
        <v>1</v>
      </c>
      <c r="E14" s="77">
        <v>0</v>
      </c>
      <c r="F14" s="77">
        <v>6.6</v>
      </c>
      <c r="G14" s="77">
        <v>9.3000000000000007</v>
      </c>
      <c r="H14" s="77">
        <v>0</v>
      </c>
      <c r="I14" s="77">
        <v>0.2</v>
      </c>
      <c r="J14" s="77">
        <v>3.6</v>
      </c>
      <c r="K14" s="77">
        <v>0</v>
      </c>
      <c r="L14" s="77">
        <v>0</v>
      </c>
      <c r="M14" s="77">
        <v>3.2</v>
      </c>
      <c r="N14" s="77">
        <v>1</v>
      </c>
      <c r="O14" s="77">
        <v>6.2</v>
      </c>
      <c r="P14" s="77">
        <v>1.8</v>
      </c>
      <c r="Q14" s="77">
        <v>0</v>
      </c>
      <c r="R14" s="77">
        <v>0</v>
      </c>
      <c r="S14" s="77">
        <f>'[11]eng-daily-01012013-12312013'!$M$239</f>
        <v>1.2999999999999998</v>
      </c>
      <c r="T14" s="77">
        <f>'[12]eng-daily-01012014-12312014'!$M$239</f>
        <v>4</v>
      </c>
      <c r="U14" s="77">
        <f>'[13]eng-daily-01012015-12312015'!$M$239</f>
        <v>4</v>
      </c>
      <c r="V14" s="78">
        <f t="shared" si="1"/>
        <v>2.15</v>
      </c>
      <c r="W14" s="79">
        <f>TREND($B$14:$U$14,$B$25:$U$25,2017)</f>
        <v>0.20225563909775701</v>
      </c>
      <c r="X14" s="79">
        <f>TREND($B$14:$U$14,$B$25:$U$25,2018)</f>
        <v>-6.233082706762616E-2</v>
      </c>
      <c r="Y14" s="79">
        <f>TREND($B$14:$U$14,$B$25:$U$25,2019)</f>
        <v>-0.32691729323300933</v>
      </c>
      <c r="Z14" s="79">
        <f>TREND($B$14:$U$14,$B$25:$U$25,2020)</f>
        <v>-0.59150375939850619</v>
      </c>
      <c r="AA14" s="79">
        <f>TREND($B$14:$U$14,$B$25:$U$25,2021)</f>
        <v>-0.85609022556388936</v>
      </c>
    </row>
    <row r="15" spans="1:27" x14ac:dyDescent="0.25">
      <c r="A15" s="76" t="s">
        <v>83</v>
      </c>
      <c r="B15" s="77">
        <v>2.5</v>
      </c>
      <c r="C15" s="77">
        <v>17</v>
      </c>
      <c r="D15" s="77">
        <v>3.4</v>
      </c>
      <c r="E15" s="77">
        <v>8.4</v>
      </c>
      <c r="F15" s="77">
        <v>11.5</v>
      </c>
      <c r="G15" s="77">
        <v>0</v>
      </c>
      <c r="H15" s="77">
        <v>0.2</v>
      </c>
      <c r="I15" s="77">
        <v>2</v>
      </c>
      <c r="J15" s="77">
        <v>12.8</v>
      </c>
      <c r="K15" s="77">
        <v>0.2</v>
      </c>
      <c r="L15" s="77">
        <v>4.2</v>
      </c>
      <c r="M15" s="77">
        <v>5.2</v>
      </c>
      <c r="N15" s="77">
        <v>12.7</v>
      </c>
      <c r="O15" s="77">
        <v>9.8000000000000007</v>
      </c>
      <c r="P15" s="77">
        <v>2.1</v>
      </c>
      <c r="Q15" s="77">
        <v>0</v>
      </c>
      <c r="R15" s="77">
        <v>2</v>
      </c>
      <c r="S15" s="77">
        <f>'[11]eng-daily-01012013-12312013'!$M$270</f>
        <v>4.4000000000000004</v>
      </c>
      <c r="T15" s="77">
        <f>'[12]eng-daily-01012014-12312014'!$M$270</f>
        <v>8.7999999999999989</v>
      </c>
      <c r="U15" s="77">
        <f>'[13]eng-daily-01012015-12312015'!$M$270</f>
        <v>4.4000000000000004</v>
      </c>
      <c r="V15" s="78">
        <f t="shared" si="1"/>
        <v>5.3599999999999994</v>
      </c>
      <c r="W15" s="79">
        <f>TREND($B$15:$U$15,$B$25:$U$25,2017)</f>
        <v>4.0478195488721553</v>
      </c>
      <c r="X15" s="79">
        <f>TREND($B$15:$U$15,$B$25:$U$25,2018)</f>
        <v>3.9145864661653604</v>
      </c>
      <c r="Y15" s="79">
        <f>TREND($B$15:$U$15,$B$25:$U$25,2019)</f>
        <v>3.7813533834586224</v>
      </c>
      <c r="Z15" s="79">
        <f>TREND($B$15:$U$15,$B$25:$U$25,2020)</f>
        <v>3.6481203007518275</v>
      </c>
      <c r="AA15" s="79">
        <f>TREND($B$15:$U$15,$B$25:$U$25,2021)</f>
        <v>3.5148872180450894</v>
      </c>
    </row>
    <row r="16" spans="1:27" x14ac:dyDescent="0.25">
      <c r="A16" s="76" t="s">
        <v>84</v>
      </c>
      <c r="B16" s="77">
        <v>71.599999999999994</v>
      </c>
      <c r="C16" s="77">
        <v>87.1</v>
      </c>
      <c r="D16" s="77">
        <v>39.700000000000003</v>
      </c>
      <c r="E16" s="77">
        <v>49.3</v>
      </c>
      <c r="F16" s="77">
        <v>99.5</v>
      </c>
      <c r="G16" s="77">
        <v>73.599999999999994</v>
      </c>
      <c r="H16" s="77">
        <v>21.8</v>
      </c>
      <c r="I16" s="77">
        <v>54.9</v>
      </c>
      <c r="J16" s="77">
        <v>30</v>
      </c>
      <c r="K16" s="77">
        <v>22.6</v>
      </c>
      <c r="L16" s="77">
        <v>80.900000000000006</v>
      </c>
      <c r="M16" s="77">
        <v>36.9</v>
      </c>
      <c r="N16" s="77">
        <v>59</v>
      </c>
      <c r="O16" s="77">
        <v>55.2</v>
      </c>
      <c r="P16" s="77">
        <v>78.099999999999994</v>
      </c>
      <c r="Q16" s="77">
        <v>48.2</v>
      </c>
      <c r="R16" s="77">
        <v>85</v>
      </c>
      <c r="S16" s="77">
        <f>'[11]eng-daily-01012013-12312013'!$M$300</f>
        <v>82.999999999999986</v>
      </c>
      <c r="T16" s="77">
        <f>'[12]eng-daily-01012014-12312014'!$M$300</f>
        <v>69.700000000000017</v>
      </c>
      <c r="U16" s="77">
        <f>'[13]eng-daily-01012015-12312015'!$M$300</f>
        <v>31.099999999999994</v>
      </c>
      <c r="V16" s="78">
        <f t="shared" si="1"/>
        <v>62.71</v>
      </c>
      <c r="W16" s="79">
        <f>TREND($B$16:$U$16,$B$25:$U$25,2017)</f>
        <v>57.630451127819555</v>
      </c>
      <c r="X16" s="79">
        <f>TREND($B$16:$U$16,$B$25:$U$25,2018)</f>
        <v>57.523533834586459</v>
      </c>
      <c r="Y16" s="79">
        <f>TREND($B$16:$U$16,$B$25:$U$25,2019)</f>
        <v>57.416616541353392</v>
      </c>
      <c r="Z16" s="79">
        <f>TREND($B$16:$U$16,$B$25:$U$25,2020)</f>
        <v>57.309699248120296</v>
      </c>
      <c r="AA16" s="79">
        <f>TREND($B$16:$U$16,$B$25:$U$25,2021)</f>
        <v>57.202781954887229</v>
      </c>
    </row>
    <row r="17" spans="1:27" x14ac:dyDescent="0.25">
      <c r="A17" s="76" t="s">
        <v>85</v>
      </c>
      <c r="B17" s="77">
        <v>273.10000000000002</v>
      </c>
      <c r="C17" s="77">
        <v>266.89999999999998</v>
      </c>
      <c r="D17" s="77">
        <v>223.4</v>
      </c>
      <c r="E17" s="77">
        <v>267.60000000000002</v>
      </c>
      <c r="F17" s="77">
        <v>212.7</v>
      </c>
      <c r="G17" s="77">
        <v>232.5</v>
      </c>
      <c r="H17" s="77">
        <v>292.2</v>
      </c>
      <c r="I17" s="77">
        <v>276</v>
      </c>
      <c r="J17" s="77">
        <v>226.3</v>
      </c>
      <c r="K17" s="77">
        <v>220.2</v>
      </c>
      <c r="L17" s="77">
        <v>288.3</v>
      </c>
      <c r="M17" s="77">
        <v>137.69999999999999</v>
      </c>
      <c r="N17" s="77">
        <v>278.60000000000002</v>
      </c>
      <c r="O17" s="77">
        <v>287.8</v>
      </c>
      <c r="P17" s="77">
        <v>241.6</v>
      </c>
      <c r="Q17" s="77">
        <v>235.5</v>
      </c>
      <c r="R17" s="77">
        <v>242.50000000000003</v>
      </c>
      <c r="S17" s="77">
        <f>'[11]eng-daily-01012013-12312013'!$M$331</f>
        <v>208.5</v>
      </c>
      <c r="T17" s="77">
        <f>'[12]eng-daily-01012014-12312014'!$M$331</f>
        <v>224.30000000000004</v>
      </c>
      <c r="U17" s="77">
        <f>'[13]eng-daily-01012015-12312015'!$M$331</f>
        <v>249.8</v>
      </c>
      <c r="V17" s="78">
        <f t="shared" si="1"/>
        <v>239.46000000000004</v>
      </c>
      <c r="W17" s="79">
        <f>TREND($B$17:$U$17,$B$25:$U$25,2017)</f>
        <v>230.44473684210516</v>
      </c>
      <c r="X17" s="79">
        <f>TREND($B$17:$U$17,$B$25:$U$25,2018)</f>
        <v>229.24210526315801</v>
      </c>
      <c r="Y17" s="79">
        <f>TREND($B$17:$U$17,$B$25:$U$25,2019)</f>
        <v>228.03947368421041</v>
      </c>
      <c r="Z17" s="79">
        <f>TREND($B$17:$U$17,$B$25:$U$25,2020)</f>
        <v>226.83684210526326</v>
      </c>
      <c r="AA17" s="79">
        <f>TREND($B$17:$U$17,$B$25:$U$25,2021)</f>
        <v>225.63421052631566</v>
      </c>
    </row>
    <row r="18" spans="1:27" x14ac:dyDescent="0.25">
      <c r="A18" s="76" t="s">
        <v>86</v>
      </c>
      <c r="B18" s="77">
        <v>512.1</v>
      </c>
      <c r="C18" s="77">
        <v>466.5</v>
      </c>
      <c r="D18" s="77">
        <v>392.6</v>
      </c>
      <c r="E18" s="77">
        <v>367.5</v>
      </c>
      <c r="F18" s="77">
        <v>432</v>
      </c>
      <c r="G18" s="77">
        <v>325.8</v>
      </c>
      <c r="H18" s="77">
        <v>445</v>
      </c>
      <c r="I18" s="77">
        <v>398.5</v>
      </c>
      <c r="J18" s="77">
        <v>379.1</v>
      </c>
      <c r="K18" s="77">
        <v>388.4</v>
      </c>
      <c r="L18" s="77">
        <v>382.2</v>
      </c>
      <c r="M18" s="77">
        <v>462.5</v>
      </c>
      <c r="N18" s="77">
        <v>451.6</v>
      </c>
      <c r="O18" s="77">
        <v>361.2</v>
      </c>
      <c r="P18" s="77">
        <v>405.3</v>
      </c>
      <c r="Q18" s="77">
        <v>342.1</v>
      </c>
      <c r="R18" s="77">
        <v>433.99999999999994</v>
      </c>
      <c r="S18" s="77">
        <f>'[11]eng-daily-01012013-12312013'!$M$361</f>
        <v>478.20000000000005</v>
      </c>
      <c r="T18" s="77">
        <f>'[12]eng-daily-01012014-12312014'!$M$361</f>
        <v>482.1</v>
      </c>
      <c r="U18" s="77">
        <f>'[13]eng-daily-01012015-12312015'!$M$361</f>
        <v>345</v>
      </c>
      <c r="V18" s="78">
        <f t="shared" si="1"/>
        <v>414.42000000000007</v>
      </c>
      <c r="W18" s="79">
        <f>TREND($B$18:$U$18,$B$25:$U$25,2017)</f>
        <v>402.97255639097762</v>
      </c>
      <c r="X18" s="79">
        <f>TREND($B$18:$U$18,$B$25:$U$25,2018)</f>
        <v>402.1366917293235</v>
      </c>
      <c r="Y18" s="79">
        <f>TREND($B$18:$U$18,$B$25:$U$25,2019)</f>
        <v>401.30082706766939</v>
      </c>
      <c r="Z18" s="79">
        <f>TREND($B$18:$U$18,$B$25:$U$25,2020)</f>
        <v>400.46496240601527</v>
      </c>
      <c r="AA18" s="79">
        <f>TREND($B$18:$U$18,$B$25:$U$25,2021)</f>
        <v>399.62909774436116</v>
      </c>
    </row>
    <row r="19" spans="1:27" x14ac:dyDescent="0.25">
      <c r="A19" s="76" t="s">
        <v>87</v>
      </c>
      <c r="B19" s="77">
        <v>571.6</v>
      </c>
      <c r="C19" s="77">
        <v>586.20000000000005</v>
      </c>
      <c r="D19" s="77">
        <v>535.1</v>
      </c>
      <c r="E19" s="77">
        <v>579.29999999999995</v>
      </c>
      <c r="F19" s="77">
        <v>780.3</v>
      </c>
      <c r="G19" s="77">
        <v>505</v>
      </c>
      <c r="H19" s="77">
        <v>619.4</v>
      </c>
      <c r="I19" s="77">
        <v>561.5</v>
      </c>
      <c r="J19" s="77">
        <v>643.4</v>
      </c>
      <c r="K19" s="77">
        <v>665.3</v>
      </c>
      <c r="L19" s="77">
        <v>500.5</v>
      </c>
      <c r="M19" s="77">
        <v>630.70000000000005</v>
      </c>
      <c r="N19" s="77">
        <v>654.6</v>
      </c>
      <c r="O19" s="77">
        <v>631.29999999999995</v>
      </c>
      <c r="P19" s="77">
        <v>676.2</v>
      </c>
      <c r="Q19" s="77">
        <v>534</v>
      </c>
      <c r="R19" s="77">
        <v>533.50000000000011</v>
      </c>
      <c r="S19" s="77">
        <f>'[11]eng-daily-01012013-12312013'!$M$392</f>
        <v>687.9</v>
      </c>
      <c r="T19" s="77">
        <f>'[12]eng-daily-01012014-12312014'!$M$392</f>
        <v>557.29999999999995</v>
      </c>
      <c r="U19" s="77">
        <f>'[13]eng-daily-01012015-12312015'!$M$392</f>
        <v>429.70000000000005</v>
      </c>
      <c r="V19" s="78">
        <f t="shared" si="1"/>
        <v>583.56999999999994</v>
      </c>
      <c r="W19" s="79">
        <f>TREND($B$19:$U$19,$B$25:$U$25,2017)</f>
        <v>574.13691729323318</v>
      </c>
      <c r="X19" s="79">
        <f>TREND($B$19:$U$19,$B$25:$U$25,2018)</f>
        <v>572.3975187969927</v>
      </c>
      <c r="Y19" s="79">
        <f>TREND($B$19:$U$19,$B$25:$U$25,2019)</f>
        <v>570.65812030075176</v>
      </c>
      <c r="Z19" s="79">
        <f>TREND($B$19:$U$19,$B$25:$U$25,2020)</f>
        <v>568.91872180451128</v>
      </c>
      <c r="AA19" s="79">
        <f>TREND($B$19:$U$19,$B$25:$U$25,2021)</f>
        <v>567.1793233082708</v>
      </c>
    </row>
    <row r="20" spans="1:27" x14ac:dyDescent="0.25">
      <c r="A20" s="76"/>
      <c r="B20" s="76"/>
      <c r="C20" s="76"/>
      <c r="N20" s="76"/>
      <c r="O20" s="76"/>
      <c r="P20" s="76"/>
      <c r="Q20" s="76"/>
      <c r="R20" s="76"/>
      <c r="S20" s="76"/>
      <c r="T20" s="76"/>
      <c r="U20" s="76"/>
    </row>
    <row r="21" spans="1:27" x14ac:dyDescent="0.25">
      <c r="A21" s="76" t="s">
        <v>9</v>
      </c>
      <c r="B21" s="77">
        <f t="shared" ref="B21:U21" si="2">SUM(B8:B19)</f>
        <v>4176.8</v>
      </c>
      <c r="C21" s="77">
        <f t="shared" si="2"/>
        <v>4033.9000000000005</v>
      </c>
      <c r="D21" s="77">
        <f t="shared" si="2"/>
        <v>3220.2999999999997</v>
      </c>
      <c r="E21" s="77">
        <f t="shared" si="2"/>
        <v>3539.3999999999996</v>
      </c>
      <c r="F21" s="77">
        <f t="shared" si="2"/>
        <v>3826.0999999999995</v>
      </c>
      <c r="G21" s="77">
        <f t="shared" si="2"/>
        <v>3420.4000000000005</v>
      </c>
      <c r="H21" s="77">
        <f t="shared" si="2"/>
        <v>3629.7999999999997</v>
      </c>
      <c r="I21" s="77">
        <f t="shared" si="2"/>
        <v>3981.5</v>
      </c>
      <c r="J21" s="77">
        <f t="shared" si="2"/>
        <v>3797.9000000000005</v>
      </c>
      <c r="K21" s="77">
        <f t="shared" si="2"/>
        <v>3796.8</v>
      </c>
      <c r="L21" s="77">
        <f t="shared" si="2"/>
        <v>3378.4999999999995</v>
      </c>
      <c r="M21" s="77">
        <f t="shared" si="2"/>
        <v>3719.3999999999996</v>
      </c>
      <c r="N21" s="77">
        <f t="shared" si="2"/>
        <v>3835.9999999999995</v>
      </c>
      <c r="O21" s="77">
        <f t="shared" si="2"/>
        <v>3835.8</v>
      </c>
      <c r="P21" s="77">
        <f t="shared" si="2"/>
        <v>3500.8999999999996</v>
      </c>
      <c r="Q21" s="77">
        <f t="shared" si="2"/>
        <v>3647.4999999999995</v>
      </c>
      <c r="R21" s="77">
        <f t="shared" si="2"/>
        <v>3214.8000000000006</v>
      </c>
      <c r="S21" s="77">
        <f t="shared" si="2"/>
        <v>3774.7000000000003</v>
      </c>
      <c r="T21" s="77">
        <f t="shared" si="2"/>
        <v>4102.8999999999996</v>
      </c>
      <c r="U21" s="77">
        <f t="shared" si="2"/>
        <v>3765.5</v>
      </c>
    </row>
    <row r="22" spans="1:27" x14ac:dyDescent="0.25">
      <c r="A22" s="71"/>
      <c r="B22" s="72"/>
      <c r="C22" s="72"/>
    </row>
    <row r="23" spans="1:27" x14ac:dyDescent="0.25">
      <c r="A23" s="71" t="s">
        <v>88</v>
      </c>
      <c r="B23" s="72"/>
      <c r="C23" s="72"/>
    </row>
    <row r="24" spans="1:27" x14ac:dyDescent="0.25">
      <c r="A24" s="73"/>
      <c r="B24" s="74"/>
      <c r="C24" s="74"/>
    </row>
    <row r="25" spans="1:27" x14ac:dyDescent="0.25">
      <c r="A25" s="75" t="s">
        <v>75</v>
      </c>
      <c r="B25" s="75">
        <v>1996</v>
      </c>
      <c r="C25" s="75">
        <v>1997</v>
      </c>
      <c r="D25" s="75">
        <v>1998</v>
      </c>
      <c r="E25" s="75">
        <v>1999</v>
      </c>
      <c r="F25" s="75">
        <v>2000</v>
      </c>
      <c r="G25" s="75">
        <v>2001</v>
      </c>
      <c r="H25" s="75">
        <v>2002</v>
      </c>
      <c r="I25" s="75">
        <v>2003</v>
      </c>
      <c r="J25" s="75">
        <v>2004</v>
      </c>
      <c r="K25" s="75">
        <v>2005</v>
      </c>
      <c r="L25" s="75">
        <v>2006</v>
      </c>
      <c r="M25" s="75">
        <v>2007</v>
      </c>
      <c r="N25" s="75">
        <v>2008</v>
      </c>
      <c r="O25" s="75">
        <v>2009</v>
      </c>
      <c r="P25" s="75">
        <v>2010</v>
      </c>
      <c r="Q25" s="75">
        <v>2011</v>
      </c>
      <c r="R25" s="75">
        <v>2012</v>
      </c>
      <c r="S25" s="75">
        <v>2013</v>
      </c>
      <c r="T25" s="75">
        <v>2014</v>
      </c>
      <c r="U25" s="75">
        <v>2015</v>
      </c>
      <c r="V25" s="80" t="s">
        <v>89</v>
      </c>
      <c r="W25" s="423" t="s">
        <v>90</v>
      </c>
      <c r="X25" s="423"/>
      <c r="Y25" s="423"/>
      <c r="Z25" s="423"/>
      <c r="AA25" s="423"/>
    </row>
    <row r="26" spans="1:27" x14ac:dyDescent="0.25">
      <c r="A26" s="73"/>
      <c r="B26" s="72"/>
      <c r="C26" s="72"/>
      <c r="W26" s="75">
        <v>2017</v>
      </c>
      <c r="X26" s="75">
        <v>2018</v>
      </c>
      <c r="Y26" s="75">
        <v>2019</v>
      </c>
      <c r="Z26" s="75">
        <v>2020</v>
      </c>
      <c r="AA26" s="75">
        <v>2021</v>
      </c>
    </row>
    <row r="27" spans="1:27" x14ac:dyDescent="0.25">
      <c r="B27" s="72"/>
      <c r="C27" s="72"/>
    </row>
    <row r="28" spans="1:27" x14ac:dyDescent="0.25">
      <c r="A28" s="76" t="s">
        <v>76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f>'[11]eng-daily-01012013-12312013'!$O$57</f>
        <v>0</v>
      </c>
      <c r="T28" s="77">
        <f>'[12]eng-daily-01012014-12312014'!$O$57</f>
        <v>0</v>
      </c>
      <c r="U28" s="77">
        <f>'[13]eng-daily-01012015-12312015'!$O$57</f>
        <v>0</v>
      </c>
      <c r="V28" s="78">
        <f>AVERAGE(L28:U28)</f>
        <v>0</v>
      </c>
      <c r="W28" s="79">
        <f>TREND($B$28:$U$28,$B$25:$U$25,2017)</f>
        <v>0</v>
      </c>
      <c r="X28" s="79">
        <f>TREND($B$28:$U$28,$B$25:$U$25,2018)</f>
        <v>0</v>
      </c>
      <c r="Y28" s="79">
        <f>TREND($B$28:$U$28,$B$25:$U$25,2019)</f>
        <v>0</v>
      </c>
      <c r="Z28" s="79">
        <f>TREND($B$28:$U$28,$B$25:$U$25,2020)</f>
        <v>0</v>
      </c>
      <c r="AA28" s="79">
        <f>TREND($B$28:$U$28,$B$25:$U$25,2021)</f>
        <v>0</v>
      </c>
    </row>
    <row r="29" spans="1:27" x14ac:dyDescent="0.25">
      <c r="A29" s="76" t="s">
        <v>77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f>'[11]eng-daily-01012013-12312013'!$O$86</f>
        <v>0</v>
      </c>
      <c r="T29" s="77">
        <f>'[12]eng-daily-01012014-12312014'!$O$86</f>
        <v>0</v>
      </c>
      <c r="U29" s="77">
        <f>'[13]eng-daily-01012015-12312015'!$O$86</f>
        <v>0</v>
      </c>
      <c r="V29" s="78">
        <f t="shared" ref="V29:V39" si="3">AVERAGE(L29:U29)</f>
        <v>0</v>
      </c>
      <c r="W29" s="79">
        <f>TREND($B$29:$U$29,$B$25:$U$25,2017)</f>
        <v>0</v>
      </c>
      <c r="X29" s="79">
        <f>TREND($B$29:$U$29,$B$25:$U$25,2018)</f>
        <v>0</v>
      </c>
      <c r="Y29" s="79">
        <f>TREND($B$29:$U$29,$B$25:$U$25,2019)</f>
        <v>0</v>
      </c>
      <c r="Z29" s="79">
        <f>TREND($B$29:$U$29,$B$25:$U$25,2020)</f>
        <v>0</v>
      </c>
      <c r="AA29" s="79">
        <f>TREND($B$29:$U$29,$B$25:$U$25,2021)</f>
        <v>0</v>
      </c>
    </row>
    <row r="30" spans="1:27" x14ac:dyDescent="0.25">
      <c r="A30" s="76" t="s">
        <v>78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0.2</v>
      </c>
      <c r="S30" s="77">
        <f>'[11]eng-daily-01012013-12312013'!$O$117</f>
        <v>0</v>
      </c>
      <c r="T30" s="77">
        <f>'[12]eng-daily-01012014-12312014'!$O$117</f>
        <v>0</v>
      </c>
      <c r="U30" s="77">
        <f>'[13]eng-daily-01012015-12312015'!$O$117</f>
        <v>0</v>
      </c>
      <c r="V30" s="78">
        <f t="shared" si="3"/>
        <v>0.02</v>
      </c>
      <c r="W30" s="79">
        <f>TREND($B$30:$U$30,$B$25:$U$25,2017)</f>
        <v>3.2481203007518555E-2</v>
      </c>
      <c r="X30" s="79">
        <f>TREND($B$30:$U$30,$B$25:$U$25,2018)</f>
        <v>3.4436090225563376E-2</v>
      </c>
      <c r="Y30" s="79">
        <f>TREND($B$30:$U$30,$B$25:$U$25,2019)</f>
        <v>3.6390977443608641E-2</v>
      </c>
      <c r="Z30" s="79">
        <f>TREND($B$30:$U$30,$B$25:$U$25,2020)</f>
        <v>3.8345864661653906E-2</v>
      </c>
      <c r="AA30" s="79">
        <f>TREND($B$30:$U$30,$B$25:$U$25,2021)</f>
        <v>4.0300751879698726E-2</v>
      </c>
    </row>
    <row r="31" spans="1:27" x14ac:dyDescent="0.25">
      <c r="A31" s="76" t="s">
        <v>79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1.4</v>
      </c>
      <c r="H31" s="77">
        <v>8.3000000000000007</v>
      </c>
      <c r="I31" s="77">
        <v>2.4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1.2</v>
      </c>
      <c r="P31" s="77">
        <v>0</v>
      </c>
      <c r="Q31" s="77">
        <v>0</v>
      </c>
      <c r="R31" s="77">
        <v>0</v>
      </c>
      <c r="S31" s="77">
        <f>'[11]eng-daily-01012013-12312013'!$O$147</f>
        <v>0</v>
      </c>
      <c r="T31" s="77">
        <f>'[12]eng-daily-01012014-12312014'!$O$147</f>
        <v>0</v>
      </c>
      <c r="U31" s="77">
        <f>'[13]eng-daily-01012015-12312015'!$O$147</f>
        <v>0</v>
      </c>
      <c r="V31" s="78">
        <f t="shared" si="3"/>
        <v>0.12</v>
      </c>
      <c r="W31" s="79">
        <f>TREND($B$31:$U$31,$B$25:$U$25,2017)</f>
        <v>2.2556390977456431E-2</v>
      </c>
      <c r="X31" s="79">
        <f>TREND($B$31:$U$31,$B$25:$U$25,2018)</f>
        <v>-3.3308270676684515E-2</v>
      </c>
      <c r="Y31" s="79">
        <f>TREND($B$31:$U$31,$B$25:$U$25,2019)</f>
        <v>-8.917293233081125E-2</v>
      </c>
      <c r="Z31" s="79">
        <f>TREND($B$31:$U$31,$B$25:$U$25,2020)</f>
        <v>-0.1450375939849522</v>
      </c>
      <c r="AA31" s="79">
        <f>TREND($B$31:$U$31,$B$25:$U$25,2021)</f>
        <v>-0.20090225563909314</v>
      </c>
    </row>
    <row r="32" spans="1:27" x14ac:dyDescent="0.25">
      <c r="A32" s="76" t="s">
        <v>80</v>
      </c>
      <c r="B32" s="77">
        <v>8.6</v>
      </c>
      <c r="C32" s="77">
        <v>0</v>
      </c>
      <c r="D32" s="77">
        <v>28.6</v>
      </c>
      <c r="E32" s="77">
        <v>19.399999999999999</v>
      </c>
      <c r="F32" s="77">
        <v>23.7</v>
      </c>
      <c r="G32" s="77">
        <v>12.2</v>
      </c>
      <c r="H32" s="77">
        <v>7.8</v>
      </c>
      <c r="I32" s="77">
        <v>0</v>
      </c>
      <c r="J32" s="77">
        <v>8.6</v>
      </c>
      <c r="K32" s="77">
        <v>0.8</v>
      </c>
      <c r="L32" s="77">
        <v>26</v>
      </c>
      <c r="M32" s="77">
        <v>22.4</v>
      </c>
      <c r="N32" s="77">
        <v>2.5</v>
      </c>
      <c r="O32" s="77">
        <v>6.9</v>
      </c>
      <c r="P32" s="77">
        <v>45.7</v>
      </c>
      <c r="Q32" s="77">
        <v>13</v>
      </c>
      <c r="R32" s="77">
        <v>36.700000000000003</v>
      </c>
      <c r="S32" s="77">
        <f>'[11]eng-daily-01012013-12312013'!$O$178</f>
        <v>23.1</v>
      </c>
      <c r="T32" s="77">
        <f>'[12]eng-daily-01012014-12312014'!$O$178</f>
        <v>11.9</v>
      </c>
      <c r="U32" s="77">
        <f>'[13]eng-daily-01012015-12312015'!$O$178</f>
        <v>34.1</v>
      </c>
      <c r="V32" s="78">
        <f t="shared" si="3"/>
        <v>22.229999999999997</v>
      </c>
      <c r="W32" s="79">
        <f>TREND($B$32:$U$32,$B$25:$U$25,2017)</f>
        <v>25.988496240601535</v>
      </c>
      <c r="X32" s="79">
        <f>TREND($B$32:$U$32,$B$25:$U$25,2018)</f>
        <v>26.804887218045224</v>
      </c>
      <c r="Y32" s="79">
        <f>TREND($B$32:$U$32,$B$25:$U$25,2019)</f>
        <v>27.621278195488685</v>
      </c>
      <c r="Z32" s="79">
        <f>TREND($B$32:$U$32,$B$25:$U$25,2020)</f>
        <v>28.437669172932374</v>
      </c>
      <c r="AA32" s="79">
        <f>TREND($B$32:$U$32,$B$25:$U$25,2021)</f>
        <v>29.254060150375835</v>
      </c>
    </row>
    <row r="33" spans="1:27" x14ac:dyDescent="0.25">
      <c r="A33" s="76" t="s">
        <v>81</v>
      </c>
      <c r="B33" s="77">
        <v>38.299999999999997</v>
      </c>
      <c r="C33" s="77">
        <v>73.2</v>
      </c>
      <c r="D33" s="77">
        <v>82.4</v>
      </c>
      <c r="E33" s="77">
        <v>96</v>
      </c>
      <c r="F33" s="77">
        <v>41.1</v>
      </c>
      <c r="G33" s="77">
        <v>79.7</v>
      </c>
      <c r="H33" s="77">
        <v>70</v>
      </c>
      <c r="I33" s="77">
        <v>52.9</v>
      </c>
      <c r="J33" s="77">
        <v>31.6</v>
      </c>
      <c r="K33" s="77">
        <v>146.30000000000001</v>
      </c>
      <c r="L33" s="77">
        <v>73.599999999999994</v>
      </c>
      <c r="M33" s="77">
        <v>99.2</v>
      </c>
      <c r="N33" s="77">
        <v>71.5</v>
      </c>
      <c r="O33" s="77">
        <v>34.200000000000003</v>
      </c>
      <c r="P33" s="77">
        <v>58.7</v>
      </c>
      <c r="Q33" s="77">
        <v>52.2</v>
      </c>
      <c r="R33" s="77">
        <v>101.60000000000001</v>
      </c>
      <c r="S33" s="77">
        <f>'[11]eng-daily-01012013-12312013'!$O$208</f>
        <v>59.6</v>
      </c>
      <c r="T33" s="77">
        <f>'[12]eng-daily-01012014-12312014'!$O$208</f>
        <v>68.099999999999994</v>
      </c>
      <c r="U33" s="77">
        <f>'[13]eng-daily-01012015-12312015'!$O$208</f>
        <v>32.299999999999997</v>
      </c>
      <c r="V33" s="78">
        <f t="shared" si="3"/>
        <v>65.099999999999994</v>
      </c>
      <c r="W33" s="79">
        <f>TREND($B$33:$U$33,$B$25:$U$25,2017)</f>
        <v>63.245714285714257</v>
      </c>
      <c r="X33" s="79">
        <f>TREND($B$33:$U$33,$B$25:$U$25,2018)</f>
        <v>62.821428571428555</v>
      </c>
      <c r="Y33" s="79">
        <f>TREND($B$33:$U$33,$B$25:$U$25,2019)</f>
        <v>62.397142857142853</v>
      </c>
      <c r="Z33" s="79">
        <f>TREND($B$33:$U$33,$B$25:$U$25,2020)</f>
        <v>61.972857142857151</v>
      </c>
      <c r="AA33" s="79">
        <f>TREND($B$33:$U$33,$B$25:$U$25,2021)</f>
        <v>61.548571428571449</v>
      </c>
    </row>
    <row r="34" spans="1:27" x14ac:dyDescent="0.25">
      <c r="A34" s="76" t="s">
        <v>82</v>
      </c>
      <c r="B34" s="77">
        <v>59.6</v>
      </c>
      <c r="C34" s="77">
        <v>103</v>
      </c>
      <c r="D34" s="77">
        <v>101.3</v>
      </c>
      <c r="E34" s="77">
        <v>196.5</v>
      </c>
      <c r="F34" s="77">
        <v>71.8</v>
      </c>
      <c r="G34" s="77">
        <v>100.9</v>
      </c>
      <c r="H34" s="77">
        <v>192.4</v>
      </c>
      <c r="I34" s="77">
        <v>118.3</v>
      </c>
      <c r="J34" s="77">
        <v>86.4</v>
      </c>
      <c r="K34" s="77">
        <v>188.7</v>
      </c>
      <c r="L34" s="77">
        <v>167.3</v>
      </c>
      <c r="M34" s="77">
        <v>106.1</v>
      </c>
      <c r="N34" s="77">
        <v>111</v>
      </c>
      <c r="O34" s="77">
        <v>43.7</v>
      </c>
      <c r="P34" s="77">
        <v>164.9</v>
      </c>
      <c r="Q34" s="77">
        <v>198.5</v>
      </c>
      <c r="R34" s="77">
        <v>195.39999999999998</v>
      </c>
      <c r="S34" s="77">
        <f>'[11]eng-daily-01012013-12312013'!$O$239</f>
        <v>120.80000000000003</v>
      </c>
      <c r="T34" s="77">
        <f>'[12]eng-daily-01012014-12312014'!$O$239</f>
        <v>71</v>
      </c>
      <c r="U34" s="77">
        <f>'[13]eng-daily-01012015-12312015'!$O$239</f>
        <v>114.29999999999998</v>
      </c>
      <c r="V34" s="78">
        <f t="shared" si="3"/>
        <v>129.30000000000001</v>
      </c>
      <c r="W34" s="79">
        <f>TREND($B$34:$U$34,$B$25:$U$25,2017)</f>
        <v>140.32451127819513</v>
      </c>
      <c r="X34" s="79">
        <f>TREND($B$34:$U$34,$B$25:$U$25,2018)</f>
        <v>141.60533834586431</v>
      </c>
      <c r="Y34" s="79">
        <f>TREND($B$34:$U$34,$B$25:$U$25,2019)</f>
        <v>142.88616541353349</v>
      </c>
      <c r="Z34" s="79">
        <f>TREND($B$34:$U$34,$B$25:$U$25,2020)</f>
        <v>144.16699248120267</v>
      </c>
      <c r="AA34" s="79">
        <f>TREND($B$34:$U$34,$B$25:$U$25,2021)</f>
        <v>145.44781954887185</v>
      </c>
    </row>
    <row r="35" spans="1:27" x14ac:dyDescent="0.25">
      <c r="A35" s="76" t="s">
        <v>83</v>
      </c>
      <c r="B35" s="77">
        <v>87.1</v>
      </c>
      <c r="C35" s="77">
        <v>46.8</v>
      </c>
      <c r="D35" s="77">
        <v>117.7</v>
      </c>
      <c r="E35" s="77">
        <v>79.099999999999994</v>
      </c>
      <c r="F35" s="77">
        <v>92.5</v>
      </c>
      <c r="G35" s="77">
        <v>160</v>
      </c>
      <c r="H35" s="77">
        <v>142.69999999999999</v>
      </c>
      <c r="I35" s="77">
        <v>128</v>
      </c>
      <c r="J35" s="77">
        <v>59.6</v>
      </c>
      <c r="K35" s="77">
        <v>140.69999999999999</v>
      </c>
      <c r="L35" s="77">
        <v>101.6</v>
      </c>
      <c r="M35" s="77">
        <v>141</v>
      </c>
      <c r="N35" s="77">
        <v>64</v>
      </c>
      <c r="O35" s="77">
        <v>91</v>
      </c>
      <c r="P35" s="77">
        <v>138.80000000000001</v>
      </c>
      <c r="Q35" s="77">
        <v>122.2</v>
      </c>
      <c r="R35" s="77">
        <v>112.10000000000001</v>
      </c>
      <c r="S35" s="77">
        <f>'[11]eng-daily-01012013-12312013'!$O$270</f>
        <v>93.799999999999983</v>
      </c>
      <c r="T35" s="77">
        <f>'[12]eng-daily-01012014-12312014'!$O$270</f>
        <v>81.799999999999983</v>
      </c>
      <c r="U35" s="77">
        <f>'[13]eng-daily-01012015-12312015'!$O$270</f>
        <v>88.6</v>
      </c>
      <c r="V35" s="78">
        <f t="shared" si="3"/>
        <v>103.49000000000001</v>
      </c>
      <c r="W35" s="79">
        <f>TREND($B$35:$U$35,$B$25:$U$25,2017)</f>
        <v>107.50812030075184</v>
      </c>
      <c r="X35" s="79">
        <f>TREND($B$35:$U$35,$B$25:$U$25,2018)</f>
        <v>107.7736090225564</v>
      </c>
      <c r="Y35" s="79">
        <f>TREND($B$35:$U$35,$B$25:$U$25,2019)</f>
        <v>108.03909774436084</v>
      </c>
      <c r="Z35" s="79">
        <f>TREND($B$35:$U$35,$B$25:$U$25,2020)</f>
        <v>108.3045864661654</v>
      </c>
      <c r="AA35" s="79">
        <f>TREND($B$35:$U$35,$B$25:$U$25,2021)</f>
        <v>108.57007518796985</v>
      </c>
    </row>
    <row r="36" spans="1:27" x14ac:dyDescent="0.25">
      <c r="A36" s="76" t="s">
        <v>84</v>
      </c>
      <c r="B36" s="77">
        <v>27.1</v>
      </c>
      <c r="C36" s="77">
        <v>11.7</v>
      </c>
      <c r="D36" s="77">
        <v>45</v>
      </c>
      <c r="E36" s="77">
        <v>48.9</v>
      </c>
      <c r="F36" s="77">
        <v>35.200000000000003</v>
      </c>
      <c r="G36" s="77">
        <v>35.700000000000003</v>
      </c>
      <c r="H36" s="77">
        <v>87.6</v>
      </c>
      <c r="I36" s="77">
        <v>24</v>
      </c>
      <c r="J36" s="77">
        <v>41.2</v>
      </c>
      <c r="K36" s="77">
        <v>52.1</v>
      </c>
      <c r="L36" s="77">
        <v>12.9</v>
      </c>
      <c r="M36" s="77">
        <v>47.5</v>
      </c>
      <c r="N36" s="77">
        <v>26.7</v>
      </c>
      <c r="O36" s="77">
        <v>20.9</v>
      </c>
      <c r="P36" s="77">
        <v>31.5</v>
      </c>
      <c r="Q36" s="77">
        <v>39.700000000000003</v>
      </c>
      <c r="R36" s="77">
        <v>35.6</v>
      </c>
      <c r="S36" s="77">
        <f>'[11]eng-daily-01012013-12312013'!$O$300</f>
        <v>28.099999999999998</v>
      </c>
      <c r="T36" s="77">
        <f>'[12]eng-daily-01012014-12312014'!$O$300</f>
        <v>30.099999999999998</v>
      </c>
      <c r="U36" s="77">
        <f>'[13]eng-daily-01012015-12312015'!$O$300</f>
        <v>81.900000000000006</v>
      </c>
      <c r="V36" s="78">
        <f t="shared" si="3"/>
        <v>35.489999999999995</v>
      </c>
      <c r="W36" s="79">
        <f>TREND($B$36:$U$36,$B$25:$U$25,2017)</f>
        <v>42.195864661654014</v>
      </c>
      <c r="X36" s="79">
        <f>TREND($B$36:$U$36,$B$25:$U$25,2018)</f>
        <v>42.545939849624006</v>
      </c>
      <c r="Y36" s="79">
        <f>TREND($B$36:$U$36,$B$25:$U$25,2019)</f>
        <v>42.896015037593884</v>
      </c>
      <c r="Z36" s="79">
        <f>TREND($B$36:$U$36,$B$25:$U$25,2020)</f>
        <v>43.246090225563876</v>
      </c>
      <c r="AA36" s="79">
        <f>TREND($B$36:$U$36,$B$25:$U$25,2021)</f>
        <v>43.596165413533754</v>
      </c>
    </row>
    <row r="37" spans="1:27" x14ac:dyDescent="0.25">
      <c r="A37" s="76" t="s">
        <v>85</v>
      </c>
      <c r="B37" s="77">
        <v>0</v>
      </c>
      <c r="C37" s="77">
        <v>2.8</v>
      </c>
      <c r="D37" s="77">
        <v>0</v>
      </c>
      <c r="E37" s="77">
        <v>0</v>
      </c>
      <c r="F37" s="77">
        <v>1.2</v>
      </c>
      <c r="G37" s="77">
        <v>2</v>
      </c>
      <c r="H37" s="77">
        <v>10</v>
      </c>
      <c r="I37" s="77">
        <v>0</v>
      </c>
      <c r="J37" s="77">
        <v>1.5</v>
      </c>
      <c r="K37" s="77">
        <v>7.6</v>
      </c>
      <c r="L37" s="77">
        <v>1.1000000000000001</v>
      </c>
      <c r="M37" s="77">
        <v>19.8</v>
      </c>
      <c r="N37" s="77">
        <v>0</v>
      </c>
      <c r="O37" s="77">
        <v>0</v>
      </c>
      <c r="P37" s="77">
        <v>0</v>
      </c>
      <c r="Q37" s="77">
        <v>2.4</v>
      </c>
      <c r="R37" s="77">
        <v>1.1000000000000001</v>
      </c>
      <c r="S37" s="77">
        <f>'[11]eng-daily-01012013-12312013'!$O$331</f>
        <v>0.4</v>
      </c>
      <c r="T37" s="77">
        <f>'[12]eng-daily-01012014-12312014'!$O$331</f>
        <v>1.3</v>
      </c>
      <c r="U37" s="77">
        <f>'[13]eng-daily-01012015-12312015'!$O$331</f>
        <v>0</v>
      </c>
      <c r="V37" s="78">
        <f t="shared" si="3"/>
        <v>2.6100000000000003</v>
      </c>
      <c r="W37" s="79">
        <f>TREND($B$37:$U$37,$B$25:$U$25,2017)</f>
        <v>2.2867669172932352</v>
      </c>
      <c r="X37" s="79">
        <f>TREND($B$37:$U$37,$B$25:$U$25,2018)</f>
        <v>2.2630075187969965</v>
      </c>
      <c r="Y37" s="79">
        <f>TREND($B$37:$U$37,$B$25:$U$25,2019)</f>
        <v>2.2392481203007577</v>
      </c>
      <c r="Z37" s="79">
        <f>TREND($B$37:$U$37,$B$25:$U$25,2020)</f>
        <v>2.2154887218045118</v>
      </c>
      <c r="AA37" s="79">
        <f>TREND($B$37:$U$37,$B$25:$U$25,2021)</f>
        <v>2.1917293233082731</v>
      </c>
    </row>
    <row r="38" spans="1:27" x14ac:dyDescent="0.25">
      <c r="A38" s="76" t="s">
        <v>86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f>'[11]eng-daily-01012013-12312013'!$O$361</f>
        <v>0</v>
      </c>
      <c r="T38" s="77">
        <f>'[12]eng-daily-01012014-12312014'!$O$361</f>
        <v>0</v>
      </c>
      <c r="U38" s="77">
        <f>'[13]eng-daily-01012015-12312015'!$O$361</f>
        <v>0</v>
      </c>
      <c r="V38" s="78">
        <f t="shared" si="3"/>
        <v>0</v>
      </c>
      <c r="W38" s="79">
        <f>TREND($B$38:$U$38,$B$25:$U$25,2017)</f>
        <v>0</v>
      </c>
      <c r="X38" s="79">
        <f>TREND($B$38:$U$38,$B$25:$U$25,2018)</f>
        <v>0</v>
      </c>
      <c r="Y38" s="79">
        <f>TREND($B$38:$U$38,$B$25:$U$25,2019)</f>
        <v>0</v>
      </c>
      <c r="Z38" s="79">
        <f>TREND($B$38:$U$38,$B$25:$U$25,2020)</f>
        <v>0</v>
      </c>
      <c r="AA38" s="79">
        <f>TREND($B$38:$U$38,$B$25:$U$25,2021)</f>
        <v>0</v>
      </c>
    </row>
    <row r="39" spans="1:27" x14ac:dyDescent="0.25">
      <c r="A39" s="76" t="s">
        <v>87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f>'[11]eng-daily-01012013-12312013'!$O$392</f>
        <v>0</v>
      </c>
      <c r="T39" s="77">
        <f>'[12]eng-daily-01012014-12312014'!$O$392</f>
        <v>0</v>
      </c>
      <c r="U39" s="77">
        <f>'[13]eng-daily-01012015-12312015'!$O$392</f>
        <v>0</v>
      </c>
      <c r="V39" s="78">
        <f t="shared" si="3"/>
        <v>0</v>
      </c>
      <c r="W39" s="79">
        <f>TREND($B$39:$U$39,$B$25:$U$25,2017)</f>
        <v>0</v>
      </c>
      <c r="X39" s="79">
        <f>TREND($B$39:$U$39,$B$25:$U$25,2018)</f>
        <v>0</v>
      </c>
      <c r="Y39" s="79">
        <f>TREND($B$39:$U$39,$B$25:$U$25,2019)</f>
        <v>0</v>
      </c>
      <c r="Z39" s="79">
        <f>TREND($B$39:$U$39,$B$25:$U$25,2020)</f>
        <v>0</v>
      </c>
      <c r="AA39" s="79">
        <f>TREND($B$39:$U$39,$B$25:$U$25,2021)</f>
        <v>0</v>
      </c>
    </row>
    <row r="40" spans="1:27" x14ac:dyDescent="0.25">
      <c r="A40" s="76"/>
      <c r="B40" s="76"/>
      <c r="C40" s="76"/>
      <c r="D40" s="72"/>
      <c r="E40" s="72"/>
      <c r="N40" s="76"/>
      <c r="O40" s="76"/>
      <c r="P40" s="76"/>
      <c r="Q40" s="76"/>
      <c r="R40" s="76"/>
      <c r="S40" s="76"/>
      <c r="T40" s="76"/>
      <c r="U40" s="76"/>
    </row>
    <row r="41" spans="1:27" x14ac:dyDescent="0.25">
      <c r="A41" s="76" t="s">
        <v>9</v>
      </c>
      <c r="B41" s="77">
        <f t="shared" ref="B41:S41" si="4">SUM(B28:B39)</f>
        <v>220.7</v>
      </c>
      <c r="C41" s="77">
        <f t="shared" si="4"/>
        <v>237.5</v>
      </c>
      <c r="D41" s="77">
        <f t="shared" si="4"/>
        <v>375</v>
      </c>
      <c r="E41" s="77">
        <f t="shared" si="4"/>
        <v>439.9</v>
      </c>
      <c r="F41" s="77">
        <f t="shared" si="4"/>
        <v>265.5</v>
      </c>
      <c r="G41" s="77">
        <f t="shared" si="4"/>
        <v>391.9</v>
      </c>
      <c r="H41" s="77">
        <f t="shared" si="4"/>
        <v>518.79999999999995</v>
      </c>
      <c r="I41" s="77">
        <f t="shared" si="4"/>
        <v>325.60000000000002</v>
      </c>
      <c r="J41" s="77">
        <f t="shared" si="4"/>
        <v>228.90000000000003</v>
      </c>
      <c r="K41" s="77">
        <f t="shared" si="4"/>
        <v>536.20000000000005</v>
      </c>
      <c r="L41" s="77">
        <f t="shared" si="4"/>
        <v>382.5</v>
      </c>
      <c r="M41" s="77">
        <f t="shared" si="4"/>
        <v>436</v>
      </c>
      <c r="N41" s="77">
        <f t="shared" si="4"/>
        <v>275.7</v>
      </c>
      <c r="O41" s="77">
        <f t="shared" si="4"/>
        <v>197.9</v>
      </c>
      <c r="P41" s="77">
        <f t="shared" si="4"/>
        <v>439.6</v>
      </c>
      <c r="Q41" s="77">
        <f t="shared" si="4"/>
        <v>427.99999999999994</v>
      </c>
      <c r="R41" s="77">
        <f t="shared" si="4"/>
        <v>482.70000000000005</v>
      </c>
      <c r="S41" s="77">
        <f t="shared" si="4"/>
        <v>325.8</v>
      </c>
      <c r="T41" s="77">
        <f t="shared" ref="T41:U41" si="5">SUM(T28:T39)</f>
        <v>264.2</v>
      </c>
      <c r="U41" s="77">
        <f t="shared" si="5"/>
        <v>351.19999999999993</v>
      </c>
      <c r="V41" s="81"/>
      <c r="W41" s="81"/>
    </row>
    <row r="42" spans="1:27" x14ac:dyDescent="0.25">
      <c r="A42" s="76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1:27" x14ac:dyDescent="0.25">
      <c r="A43" s="76"/>
      <c r="B43" s="72"/>
      <c r="C43" s="72"/>
      <c r="D43" s="72"/>
      <c r="E43" s="72"/>
    </row>
    <row r="44" spans="1:27" x14ac:dyDescent="0.25">
      <c r="A44" s="71"/>
      <c r="B44" s="72"/>
      <c r="C44" s="72"/>
    </row>
  </sheetData>
  <mergeCells count="2">
    <mergeCell ref="W5:AA5"/>
    <mergeCell ref="W25:AA25"/>
  </mergeCells>
  <phoneticPr fontId="8" type="noConversion"/>
  <pageMargins left="0.51181102362204722" right="0.51181102362204722" top="0.74803149606299213" bottom="0.74803149606299213" header="0.51181102362204722" footer="0.51181102362204722"/>
  <pageSetup paperSize="17" scale="85" orientation="landscape" r:id="rId1"/>
  <headerFooter alignWithMargins="0">
    <oddFooter>&amp;L&amp;8&amp;A&amp;R&amp;P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opLeftCell="A10" zoomScaleNormal="100" workbookViewId="0">
      <selection activeCell="H35" sqref="H35:L39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  <col min="12" max="12" width="34.6640625" customWidth="1"/>
    <col min="13" max="13" width="17.33203125" customWidth="1"/>
    <col min="14" max="14" width="16.33203125" customWidth="1"/>
    <col min="15" max="15" width="16.44140625" customWidth="1"/>
    <col min="16" max="16" width="19.33203125" customWidth="1"/>
    <col min="17" max="17" width="16.109375" customWidth="1"/>
  </cols>
  <sheetData>
    <row r="1" spans="1:23" ht="15.9" customHeight="1" x14ac:dyDescent="0.25">
      <c r="A1" s="121" t="s">
        <v>132</v>
      </c>
      <c r="B1" s="126" t="s">
        <v>91</v>
      </c>
      <c r="C1" s="126" t="s">
        <v>92</v>
      </c>
      <c r="D1" s="126" t="s">
        <v>139</v>
      </c>
      <c r="M1" s="20">
        <v>2015</v>
      </c>
      <c r="P1" s="197" t="s">
        <v>164</v>
      </c>
    </row>
    <row r="2" spans="1:23" x14ac:dyDescent="0.25">
      <c r="A2" s="106" t="s">
        <v>93</v>
      </c>
      <c r="B2" s="99">
        <f>Summary!L15</f>
        <v>149674173.61039653</v>
      </c>
      <c r="C2" s="100"/>
      <c r="D2" s="156">
        <v>0.94</v>
      </c>
      <c r="L2" s="20" t="s">
        <v>163</v>
      </c>
      <c r="M2" s="197" t="s">
        <v>166</v>
      </c>
      <c r="N2" s="197" t="s">
        <v>167</v>
      </c>
      <c r="O2" s="197" t="s">
        <v>168</v>
      </c>
      <c r="P2" s="197" t="s">
        <v>9</v>
      </c>
      <c r="Q2" s="20" t="s">
        <v>164</v>
      </c>
      <c r="R2" s="20" t="s">
        <v>164</v>
      </c>
      <c r="S2" s="20" t="s">
        <v>164</v>
      </c>
      <c r="T2" s="20" t="s">
        <v>164</v>
      </c>
      <c r="U2" s="20" t="s">
        <v>164</v>
      </c>
      <c r="V2" s="20" t="s">
        <v>165</v>
      </c>
      <c r="W2" s="20" t="s">
        <v>164</v>
      </c>
    </row>
    <row r="3" spans="1:23" x14ac:dyDescent="0.25">
      <c r="A3" s="106" t="s">
        <v>94</v>
      </c>
      <c r="B3" s="99">
        <f>Summary!L19</f>
        <v>33122069.126032144</v>
      </c>
      <c r="C3" s="100"/>
      <c r="D3" s="156">
        <v>0.83</v>
      </c>
      <c r="L3" s="106" t="s">
        <v>93</v>
      </c>
      <c r="M3" s="196">
        <v>139668748</v>
      </c>
      <c r="N3" s="196"/>
      <c r="O3" s="199">
        <v>9642784</v>
      </c>
      <c r="P3" s="173">
        <f>SUM(M3:O3)</f>
        <v>149311532</v>
      </c>
      <c r="Q3" s="81">
        <f>SUM(M3/P3)</f>
        <v>0.9354183573710837</v>
      </c>
    </row>
    <row r="4" spans="1:23" x14ac:dyDescent="0.25">
      <c r="A4" s="106" t="s">
        <v>95</v>
      </c>
      <c r="B4" s="99">
        <f>Summary!L23</f>
        <v>54889863.250576422</v>
      </c>
      <c r="C4" s="107">
        <f>Summary!L24</f>
        <v>154174.11191583652</v>
      </c>
      <c r="D4" s="156">
        <v>0.04</v>
      </c>
      <c r="L4" s="106" t="s">
        <v>94</v>
      </c>
      <c r="M4" s="196">
        <v>27881276</v>
      </c>
      <c r="N4" s="196">
        <v>0</v>
      </c>
      <c r="O4" s="199">
        <v>5849019</v>
      </c>
      <c r="P4" s="173">
        <f t="shared" ref="P4:P8" si="0">SUM(M4:O4)</f>
        <v>33730295</v>
      </c>
      <c r="Q4" s="81">
        <f t="shared" ref="Q4:Q8" si="1">SUM(M4/P4)</f>
        <v>0.82659449020531839</v>
      </c>
    </row>
    <row r="5" spans="1:23" x14ac:dyDescent="0.25">
      <c r="A5" s="106" t="s">
        <v>96</v>
      </c>
      <c r="B5" s="99">
        <f>Summary!L33</f>
        <v>657418.89922655048</v>
      </c>
      <c r="C5" s="107">
        <f>Summary!L34</f>
        <v>1854.1136637654336</v>
      </c>
      <c r="D5" s="156">
        <v>0</v>
      </c>
      <c r="L5" s="106" t="s">
        <v>95</v>
      </c>
      <c r="M5" s="196">
        <v>1974043</v>
      </c>
      <c r="N5" s="189">
        <v>49168773</v>
      </c>
      <c r="O5" s="199">
        <v>3576098</v>
      </c>
      <c r="P5" s="173">
        <f t="shared" si="0"/>
        <v>54718914</v>
      </c>
      <c r="Q5" s="81">
        <f t="shared" si="1"/>
        <v>3.6076063205494176E-2</v>
      </c>
    </row>
    <row r="6" spans="1:23" x14ac:dyDescent="0.25">
      <c r="A6" s="106" t="s">
        <v>97</v>
      </c>
      <c r="B6" s="99">
        <f>Summary!L28</f>
        <v>100673.16794547772</v>
      </c>
      <c r="C6" s="107">
        <f>Summary!L29</f>
        <v>279.72691784487739</v>
      </c>
      <c r="D6" s="156">
        <v>0.84</v>
      </c>
      <c r="L6" s="106" t="s">
        <v>96</v>
      </c>
      <c r="M6" s="196"/>
      <c r="N6" s="196">
        <v>1010509</v>
      </c>
      <c r="O6" s="199">
        <v>5945</v>
      </c>
      <c r="P6" s="173">
        <f t="shared" si="0"/>
        <v>1016454</v>
      </c>
      <c r="Q6" s="81">
        <f t="shared" si="1"/>
        <v>0</v>
      </c>
    </row>
    <row r="7" spans="1:23" x14ac:dyDescent="0.25">
      <c r="A7" s="106" t="s">
        <v>98</v>
      </c>
      <c r="B7" s="99">
        <f>Summary!L38</f>
        <v>496660.25825870311</v>
      </c>
      <c r="C7" s="100"/>
      <c r="D7" s="156">
        <v>0.94</v>
      </c>
      <c r="L7" s="106" t="s">
        <v>97</v>
      </c>
      <c r="M7" s="196">
        <v>90122</v>
      </c>
      <c r="N7" s="196" t="s">
        <v>164</v>
      </c>
      <c r="O7" s="199">
        <v>17420</v>
      </c>
      <c r="P7" s="173">
        <f t="shared" si="0"/>
        <v>107542</v>
      </c>
      <c r="Q7" s="81">
        <f t="shared" si="1"/>
        <v>0.83801677484145731</v>
      </c>
    </row>
    <row r="8" spans="1:23" x14ac:dyDescent="0.25">
      <c r="A8" s="127" t="s">
        <v>99</v>
      </c>
      <c r="B8" s="128">
        <f>SUM(B2:B7)</f>
        <v>238940858.31243584</v>
      </c>
      <c r="C8" s="128">
        <f>SUM(C2:C7)</f>
        <v>156307.95249744682</v>
      </c>
      <c r="D8" s="128"/>
      <c r="L8" s="106" t="s">
        <v>98</v>
      </c>
      <c r="M8" s="196">
        <v>433284</v>
      </c>
      <c r="N8" s="196"/>
      <c r="O8" s="199">
        <v>29808</v>
      </c>
      <c r="P8" s="173">
        <f t="shared" si="0"/>
        <v>463092</v>
      </c>
      <c r="Q8" s="81">
        <f t="shared" si="1"/>
        <v>0.93563266046487525</v>
      </c>
    </row>
    <row r="11" spans="1:23" x14ac:dyDescent="0.25">
      <c r="A11" s="121" t="s">
        <v>100</v>
      </c>
      <c r="B11" s="424" t="s">
        <v>133</v>
      </c>
      <c r="C11" s="426" t="s">
        <v>134</v>
      </c>
      <c r="D11" s="122" t="s">
        <v>169</v>
      </c>
      <c r="E11" s="123"/>
      <c r="F11" s="124"/>
    </row>
    <row r="12" spans="1:23" x14ac:dyDescent="0.25">
      <c r="A12" s="125" t="s">
        <v>101</v>
      </c>
      <c r="B12" s="425"/>
      <c r="C12" s="427"/>
      <c r="D12" s="428">
        <v>2016</v>
      </c>
      <c r="E12" s="429"/>
      <c r="F12" s="430"/>
    </row>
    <row r="13" spans="1:23" x14ac:dyDescent="0.25">
      <c r="A13" s="89" t="s">
        <v>93</v>
      </c>
      <c r="B13" s="99">
        <f t="shared" ref="B13:B18" si="2">B2*D2</f>
        <v>140693723.19377273</v>
      </c>
      <c r="C13" s="157">
        <v>1.0723</v>
      </c>
      <c r="D13" s="101">
        <f t="shared" ref="D13:D18" si="3">B13*C13</f>
        <v>150865879.3806825</v>
      </c>
      <c r="E13" s="158">
        <v>0.10728</v>
      </c>
      <c r="F13" s="102">
        <f t="shared" ref="F13:F18" si="4">D13*E13</f>
        <v>16184891.539959619</v>
      </c>
      <c r="H13" t="s">
        <v>184</v>
      </c>
    </row>
    <row r="14" spans="1:23" x14ac:dyDescent="0.25">
      <c r="A14" s="89" t="s">
        <v>94</v>
      </c>
      <c r="B14" s="99">
        <f t="shared" si="2"/>
        <v>27491317.374606676</v>
      </c>
      <c r="C14" s="157">
        <v>1.0723</v>
      </c>
      <c r="D14" s="101">
        <f t="shared" si="3"/>
        <v>29478939.620790739</v>
      </c>
      <c r="E14" s="158">
        <v>0.10728</v>
      </c>
      <c r="F14" s="102">
        <f t="shared" si="4"/>
        <v>3162500.6425184305</v>
      </c>
      <c r="H14" t="s">
        <v>185</v>
      </c>
    </row>
    <row r="15" spans="1:23" x14ac:dyDescent="0.25">
      <c r="A15" s="89" t="s">
        <v>95</v>
      </c>
      <c r="B15" s="99">
        <f>B4*D4</f>
        <v>2195594.530023057</v>
      </c>
      <c r="C15" s="157">
        <v>1.0723</v>
      </c>
      <c r="D15" s="101">
        <f t="shared" si="3"/>
        <v>2354336.0145437242</v>
      </c>
      <c r="E15" s="158">
        <v>0.10728</v>
      </c>
      <c r="F15" s="102">
        <f t="shared" si="4"/>
        <v>252573.16764025073</v>
      </c>
    </row>
    <row r="16" spans="1:23" x14ac:dyDescent="0.25">
      <c r="A16" s="89" t="s">
        <v>96</v>
      </c>
      <c r="B16" s="99">
        <f t="shared" si="2"/>
        <v>0</v>
      </c>
      <c r="C16" s="157">
        <v>1.0723</v>
      </c>
      <c r="D16" s="101">
        <f t="shared" si="3"/>
        <v>0</v>
      </c>
      <c r="E16" s="158">
        <v>0.10728</v>
      </c>
      <c r="F16" s="102">
        <f t="shared" si="4"/>
        <v>0</v>
      </c>
    </row>
    <row r="17" spans="1:6" x14ac:dyDescent="0.25">
      <c r="A17" s="89" t="s">
        <v>97</v>
      </c>
      <c r="B17" s="99">
        <f t="shared" si="2"/>
        <v>84565.461074201274</v>
      </c>
      <c r="C17" s="157">
        <v>1.0723</v>
      </c>
      <c r="D17" s="101">
        <f t="shared" si="3"/>
        <v>90679.543909866028</v>
      </c>
      <c r="E17" s="158">
        <v>0.10728</v>
      </c>
      <c r="F17" s="102">
        <f t="shared" si="4"/>
        <v>9728.1014706504284</v>
      </c>
    </row>
    <row r="18" spans="1:6" x14ac:dyDescent="0.25">
      <c r="A18" s="89" t="s">
        <v>98</v>
      </c>
      <c r="B18" s="99">
        <f t="shared" si="2"/>
        <v>466860.64276318089</v>
      </c>
      <c r="C18" s="157">
        <v>1.0723</v>
      </c>
      <c r="D18" s="101">
        <f t="shared" si="3"/>
        <v>500614.66723495891</v>
      </c>
      <c r="E18" s="158">
        <v>0.10728</v>
      </c>
      <c r="F18" s="102">
        <f t="shared" si="4"/>
        <v>53705.941500966394</v>
      </c>
    </row>
    <row r="19" spans="1:6" x14ac:dyDescent="0.25">
      <c r="A19" s="127" t="s">
        <v>99</v>
      </c>
      <c r="B19" s="128">
        <f>SUM(B13:B18)</f>
        <v>170932061.20223984</v>
      </c>
      <c r="C19" s="125"/>
      <c r="D19" s="128">
        <f>SUM(D13:D18)</f>
        <v>183290449.22716179</v>
      </c>
      <c r="E19" s="129"/>
      <c r="F19" s="130">
        <f>SUM(F13:F18)</f>
        <v>19663399.393089913</v>
      </c>
    </row>
    <row r="20" spans="1:6" x14ac:dyDescent="0.25">
      <c r="A20" s="90"/>
      <c r="B20" s="91"/>
      <c r="C20" s="92"/>
      <c r="D20" s="91"/>
      <c r="E20" s="93"/>
      <c r="F20" s="94"/>
    </row>
    <row r="21" spans="1:6" x14ac:dyDescent="0.25">
      <c r="A21" s="121" t="s">
        <v>102</v>
      </c>
      <c r="B21" s="424" t="s">
        <v>133</v>
      </c>
      <c r="C21" s="426" t="s">
        <v>134</v>
      </c>
      <c r="D21" s="122"/>
      <c r="E21" s="123"/>
      <c r="F21" s="124"/>
    </row>
    <row r="22" spans="1:6" x14ac:dyDescent="0.25">
      <c r="A22" s="125" t="s">
        <v>103</v>
      </c>
      <c r="B22" s="425"/>
      <c r="C22" s="427"/>
      <c r="D22" s="431">
        <v>2016</v>
      </c>
      <c r="E22" s="432"/>
      <c r="F22" s="430"/>
    </row>
    <row r="23" spans="1:6" x14ac:dyDescent="0.25">
      <c r="A23" s="89" t="s">
        <v>93</v>
      </c>
      <c r="B23" s="99">
        <f t="shared" ref="B23:B28" si="5">B2-B13</f>
        <v>8980450.416623801</v>
      </c>
      <c r="C23" s="100">
        <f>C13</f>
        <v>1.0723</v>
      </c>
      <c r="D23" s="101">
        <f t="shared" ref="D23:D28" si="6">B23*C23</f>
        <v>9629736.9817457013</v>
      </c>
      <c r="E23" s="158">
        <v>0.1067</v>
      </c>
      <c r="F23" s="102">
        <f t="shared" ref="F23:F28" si="7">D23*E23</f>
        <v>1027492.9359522663</v>
      </c>
    </row>
    <row r="24" spans="1:6" x14ac:dyDescent="0.25">
      <c r="A24" s="89" t="s">
        <v>94</v>
      </c>
      <c r="B24" s="99">
        <f t="shared" si="5"/>
        <v>5630751.7514254674</v>
      </c>
      <c r="C24" s="100">
        <f>C23</f>
        <v>1.0723</v>
      </c>
      <c r="D24" s="101">
        <f t="shared" si="6"/>
        <v>6037855.1030535288</v>
      </c>
      <c r="E24" s="158">
        <v>0.1067</v>
      </c>
      <c r="F24" s="102">
        <f t="shared" si="7"/>
        <v>644239.13949581154</v>
      </c>
    </row>
    <row r="25" spans="1:6" x14ac:dyDescent="0.25">
      <c r="A25" s="89" t="s">
        <v>95</v>
      </c>
      <c r="B25" s="99">
        <f t="shared" si="5"/>
        <v>52694268.720553368</v>
      </c>
      <c r="C25" s="100">
        <f>C24</f>
        <v>1.0723</v>
      </c>
      <c r="D25" s="101">
        <f t="shared" si="6"/>
        <v>56504064.349049382</v>
      </c>
      <c r="E25" s="158">
        <v>0.1067</v>
      </c>
      <c r="F25" s="102">
        <f t="shared" si="7"/>
        <v>6028983.6660435693</v>
      </c>
    </row>
    <row r="26" spans="1:6" x14ac:dyDescent="0.25">
      <c r="A26" s="89" t="s">
        <v>96</v>
      </c>
      <c r="B26" s="99">
        <f t="shared" si="5"/>
        <v>657418.89922655048</v>
      </c>
      <c r="C26" s="100">
        <f>C25</f>
        <v>1.0723</v>
      </c>
      <c r="D26" s="101">
        <f t="shared" si="6"/>
        <v>704950.28564063006</v>
      </c>
      <c r="E26" s="158">
        <v>0.1067</v>
      </c>
      <c r="F26" s="102">
        <f t="shared" si="7"/>
        <v>75218.195477855232</v>
      </c>
    </row>
    <row r="27" spans="1:6" x14ac:dyDescent="0.25">
      <c r="A27" s="89" t="s">
        <v>97</v>
      </c>
      <c r="B27" s="99">
        <f t="shared" si="5"/>
        <v>16107.706871276445</v>
      </c>
      <c r="C27" s="100">
        <f>C26</f>
        <v>1.0723</v>
      </c>
      <c r="D27" s="101">
        <f t="shared" si="6"/>
        <v>17272.294078069732</v>
      </c>
      <c r="E27" s="158">
        <v>0.1067</v>
      </c>
      <c r="F27" s="102">
        <f t="shared" si="7"/>
        <v>1842.9537781300405</v>
      </c>
    </row>
    <row r="28" spans="1:6" x14ac:dyDescent="0.25">
      <c r="A28" s="89" t="s">
        <v>98</v>
      </c>
      <c r="B28" s="99">
        <f t="shared" si="5"/>
        <v>29799.615495522215</v>
      </c>
      <c r="C28" s="100">
        <f>C27</f>
        <v>1.0723</v>
      </c>
      <c r="D28" s="101">
        <f t="shared" si="6"/>
        <v>31954.127695848474</v>
      </c>
      <c r="E28" s="158">
        <v>0.1067</v>
      </c>
      <c r="F28" s="102">
        <f t="shared" si="7"/>
        <v>3409.5054251470324</v>
      </c>
    </row>
    <row r="29" spans="1:6" x14ac:dyDescent="0.25">
      <c r="A29" s="127" t="s">
        <v>99</v>
      </c>
      <c r="B29" s="128">
        <f>SUM(B23:B28)</f>
        <v>68008797.110195979</v>
      </c>
      <c r="C29" s="125"/>
      <c r="D29" s="128">
        <f>SUM(D23:D28)</f>
        <v>72925833.141263157</v>
      </c>
      <c r="E29" s="129"/>
      <c r="F29" s="130">
        <f>SUM(F23:F28)</f>
        <v>7781186.3961727796</v>
      </c>
    </row>
    <row r="30" spans="1:6" x14ac:dyDescent="0.25">
      <c r="F30" s="205">
        <f>F19+F29</f>
        <v>27444585.789262693</v>
      </c>
    </row>
    <row r="31" spans="1:6" x14ac:dyDescent="0.25">
      <c r="A31" s="131" t="s">
        <v>104</v>
      </c>
      <c r="B31" s="132"/>
      <c r="C31" s="133" t="s">
        <v>105</v>
      </c>
      <c r="D31" s="134"/>
      <c r="E31" s="135"/>
      <c r="F31" s="132"/>
    </row>
    <row r="32" spans="1:6" x14ac:dyDescent="0.25">
      <c r="A32" s="125" t="s">
        <v>103</v>
      </c>
      <c r="B32" s="180"/>
      <c r="C32" s="137" t="s">
        <v>106</v>
      </c>
      <c r="D32" s="433">
        <v>2016</v>
      </c>
      <c r="E32" s="434"/>
      <c r="F32" s="435"/>
    </row>
    <row r="33" spans="1:12" x14ac:dyDescent="0.25">
      <c r="A33" s="86" t="s">
        <v>93</v>
      </c>
      <c r="B33" s="101"/>
      <c r="C33" s="104" t="s">
        <v>91</v>
      </c>
      <c r="D33" s="101">
        <f>D13+D23</f>
        <v>160495616.36242819</v>
      </c>
      <c r="E33" s="159">
        <v>5.7000000000000002E-3</v>
      </c>
      <c r="F33" s="102">
        <f t="shared" ref="F33:F38" si="8">D33*E33</f>
        <v>914825.01326584071</v>
      </c>
    </row>
    <row r="34" spans="1:12" x14ac:dyDescent="0.25">
      <c r="A34" s="86" t="s">
        <v>94</v>
      </c>
      <c r="B34" s="101"/>
      <c r="C34" s="104" t="s">
        <v>91</v>
      </c>
      <c r="D34" s="101">
        <f>D14+D24</f>
        <v>35516794.723844267</v>
      </c>
      <c r="E34" s="159">
        <v>5.1999999999999998E-3</v>
      </c>
      <c r="F34" s="102">
        <f t="shared" si="8"/>
        <v>184687.33256399017</v>
      </c>
    </row>
    <row r="35" spans="1:12" ht="15" x14ac:dyDescent="0.25">
      <c r="A35" s="86" t="s">
        <v>95</v>
      </c>
      <c r="B35" s="101"/>
      <c r="C35" s="104" t="s">
        <v>92</v>
      </c>
      <c r="D35" s="101">
        <f>C4</f>
        <v>154174.11191583652</v>
      </c>
      <c r="E35" s="159">
        <v>2.1046999999999998</v>
      </c>
      <c r="F35" s="102">
        <f t="shared" si="8"/>
        <v>324490.25334926107</v>
      </c>
      <c r="H35" s="204" t="s">
        <v>186</v>
      </c>
    </row>
    <row r="36" spans="1:12" x14ac:dyDescent="0.25">
      <c r="A36" s="86" t="s">
        <v>96</v>
      </c>
      <c r="B36" s="101"/>
      <c r="C36" s="104" t="s">
        <v>92</v>
      </c>
      <c r="D36" s="101">
        <f>C5</f>
        <v>1854.1136637654336</v>
      </c>
      <c r="E36" s="159">
        <v>1.5872999999999999</v>
      </c>
      <c r="F36" s="102">
        <f t="shared" si="8"/>
        <v>2943.0346184948726</v>
      </c>
    </row>
    <row r="37" spans="1:12" x14ac:dyDescent="0.25">
      <c r="A37" s="86" t="s">
        <v>97</v>
      </c>
      <c r="B37" s="101"/>
      <c r="C37" s="104" t="s">
        <v>92</v>
      </c>
      <c r="D37" s="101">
        <f>C6</f>
        <v>279.72691784487739</v>
      </c>
      <c r="E37" s="159">
        <v>1.5953999999999999</v>
      </c>
      <c r="F37" s="102">
        <f t="shared" si="8"/>
        <v>446.27632472971737</v>
      </c>
      <c r="H37" s="119" t="s">
        <v>187</v>
      </c>
      <c r="L37">
        <v>87.92</v>
      </c>
    </row>
    <row r="38" spans="1:12" x14ac:dyDescent="0.25">
      <c r="A38" s="86" t="s">
        <v>98</v>
      </c>
      <c r="B38" s="101"/>
      <c r="C38" s="104" t="s">
        <v>91</v>
      </c>
      <c r="D38" s="101">
        <f>D18+D28</f>
        <v>532568.79493080743</v>
      </c>
      <c r="E38" s="159">
        <v>5.1999999999999998E-3</v>
      </c>
      <c r="F38" s="102">
        <f t="shared" si="8"/>
        <v>2769.3577336401986</v>
      </c>
      <c r="H38" s="119" t="s">
        <v>188</v>
      </c>
      <c r="L38">
        <v>18.82</v>
      </c>
    </row>
    <row r="39" spans="1:12" x14ac:dyDescent="0.25">
      <c r="A39" s="127" t="s">
        <v>99</v>
      </c>
      <c r="B39" s="128"/>
      <c r="C39" s="125"/>
      <c r="D39" s="128"/>
      <c r="E39" s="129"/>
      <c r="F39" s="130">
        <f>SUM(F33:F38)</f>
        <v>1430161.2678559567</v>
      </c>
      <c r="L39" s="20">
        <f>SUM(L37:L38)</f>
        <v>106.74000000000001</v>
      </c>
    </row>
    <row r="41" spans="1:12" x14ac:dyDescent="0.25">
      <c r="A41" s="131" t="s">
        <v>107</v>
      </c>
      <c r="B41" s="132"/>
      <c r="C41" s="138" t="s">
        <v>105</v>
      </c>
      <c r="D41" s="134"/>
      <c r="E41" s="135"/>
      <c r="F41" s="132"/>
    </row>
    <row r="42" spans="1:12" x14ac:dyDescent="0.25">
      <c r="A42" s="125" t="s">
        <v>103</v>
      </c>
      <c r="B42" s="180"/>
      <c r="C42" s="139" t="s">
        <v>106</v>
      </c>
      <c r="D42" s="433">
        <v>2016</v>
      </c>
      <c r="E42" s="434"/>
      <c r="F42" s="435"/>
    </row>
    <row r="43" spans="1:12" x14ac:dyDescent="0.25">
      <c r="A43" s="86" t="s">
        <v>93</v>
      </c>
      <c r="B43" s="101"/>
      <c r="C43" s="104" t="s">
        <v>91</v>
      </c>
      <c r="D43" s="101">
        <f t="shared" ref="D43:D48" si="9">D33</f>
        <v>160495616.36242819</v>
      </c>
      <c r="E43" s="159">
        <v>4.1000000000000003E-3</v>
      </c>
      <c r="F43" s="102">
        <f t="shared" ref="F43:F48" si="10">D43*E43</f>
        <v>658032.0270859556</v>
      </c>
    </row>
    <row r="44" spans="1:12" x14ac:dyDescent="0.25">
      <c r="A44" s="86" t="s">
        <v>94</v>
      </c>
      <c r="B44" s="101"/>
      <c r="C44" s="104" t="s">
        <v>91</v>
      </c>
      <c r="D44" s="101">
        <f t="shared" si="9"/>
        <v>35516794.723844267</v>
      </c>
      <c r="E44" s="159">
        <v>3.8999999999999998E-3</v>
      </c>
      <c r="F44" s="102">
        <f t="shared" si="10"/>
        <v>138515.49942299264</v>
      </c>
    </row>
    <row r="45" spans="1:12" x14ac:dyDescent="0.25">
      <c r="A45" s="86" t="s">
        <v>95</v>
      </c>
      <c r="B45" s="101"/>
      <c r="C45" s="104" t="s">
        <v>92</v>
      </c>
      <c r="D45" s="101">
        <f t="shared" si="9"/>
        <v>154174.11191583652</v>
      </c>
      <c r="E45" s="159">
        <v>1.4837</v>
      </c>
      <c r="F45" s="102">
        <f t="shared" si="10"/>
        <v>228748.12984952665</v>
      </c>
    </row>
    <row r="46" spans="1:12" x14ac:dyDescent="0.25">
      <c r="A46" s="86" t="s">
        <v>96</v>
      </c>
      <c r="B46" s="101"/>
      <c r="C46" s="104" t="s">
        <v>92</v>
      </c>
      <c r="D46" s="101">
        <f t="shared" si="9"/>
        <v>1854.1136637654336</v>
      </c>
      <c r="E46" s="159">
        <v>1.1469</v>
      </c>
      <c r="F46" s="102">
        <f t="shared" si="10"/>
        <v>2126.4829609725757</v>
      </c>
    </row>
    <row r="47" spans="1:12" x14ac:dyDescent="0.25">
      <c r="A47" s="86" t="s">
        <v>97</v>
      </c>
      <c r="B47" s="101"/>
      <c r="C47" s="104" t="s">
        <v>92</v>
      </c>
      <c r="D47" s="101">
        <f t="shared" si="9"/>
        <v>279.72691784487739</v>
      </c>
      <c r="E47" s="159">
        <v>1.7003999999999999</v>
      </c>
      <c r="F47" s="102">
        <f t="shared" si="10"/>
        <v>475.6476511034295</v>
      </c>
    </row>
    <row r="48" spans="1:12" x14ac:dyDescent="0.25">
      <c r="A48" s="86" t="s">
        <v>98</v>
      </c>
      <c r="B48" s="101"/>
      <c r="C48" s="104" t="s">
        <v>91</v>
      </c>
      <c r="D48" s="101">
        <f t="shared" si="9"/>
        <v>532568.79493080743</v>
      </c>
      <c r="E48" s="159">
        <v>3.8999999999999998E-3</v>
      </c>
      <c r="F48" s="102">
        <f t="shared" si="10"/>
        <v>2077.0183002301487</v>
      </c>
    </row>
    <row r="49" spans="1:6" x14ac:dyDescent="0.25">
      <c r="A49" s="127" t="s">
        <v>99</v>
      </c>
      <c r="B49" s="128"/>
      <c r="C49" s="125"/>
      <c r="D49" s="128"/>
      <c r="E49" s="129"/>
      <c r="F49" s="130">
        <f>SUM(F43:F48)</f>
        <v>1029974.8052707812</v>
      </c>
    </row>
    <row r="51" spans="1:6" x14ac:dyDescent="0.25">
      <c r="A51" s="131" t="s">
        <v>108</v>
      </c>
      <c r="B51" s="132"/>
      <c r="C51" s="138" t="s">
        <v>105</v>
      </c>
      <c r="D51" s="134"/>
      <c r="E51" s="135"/>
      <c r="F51" s="132"/>
    </row>
    <row r="52" spans="1:6" x14ac:dyDescent="0.25">
      <c r="A52" s="125" t="s">
        <v>103</v>
      </c>
      <c r="B52" s="180"/>
      <c r="C52" s="139" t="s">
        <v>106</v>
      </c>
      <c r="D52" s="433" t="s">
        <v>170</v>
      </c>
      <c r="E52" s="434"/>
      <c r="F52" s="436"/>
    </row>
    <row r="53" spans="1:6" x14ac:dyDescent="0.25">
      <c r="A53" s="86" t="s">
        <v>93</v>
      </c>
      <c r="B53" s="101"/>
      <c r="C53" s="104" t="s">
        <v>91</v>
      </c>
      <c r="D53" s="101">
        <f t="shared" ref="D53:D58" si="11">D13+D23</f>
        <v>160495616.36242819</v>
      </c>
      <c r="E53" s="159">
        <v>3.5999999999999999E-3</v>
      </c>
      <c r="F53" s="102">
        <f t="shared" ref="F53:F58" si="12">D53*E53</f>
        <v>577784.21890474146</v>
      </c>
    </row>
    <row r="54" spans="1:6" x14ac:dyDescent="0.25">
      <c r="A54" s="86" t="s">
        <v>94</v>
      </c>
      <c r="B54" s="101"/>
      <c r="C54" s="104" t="s">
        <v>91</v>
      </c>
      <c r="D54" s="101">
        <f t="shared" si="11"/>
        <v>35516794.723844267</v>
      </c>
      <c r="E54" s="159">
        <v>3.5999999999999999E-3</v>
      </c>
      <c r="F54" s="102">
        <f t="shared" si="12"/>
        <v>127860.46100583936</v>
      </c>
    </row>
    <row r="55" spans="1:6" x14ac:dyDescent="0.25">
      <c r="A55" s="86" t="s">
        <v>95</v>
      </c>
      <c r="B55" s="101"/>
      <c r="C55" s="104" t="s">
        <v>91</v>
      </c>
      <c r="D55" s="101">
        <f t="shared" si="11"/>
        <v>58858400.363593109</v>
      </c>
      <c r="E55" s="159">
        <v>3.5999999999999999E-3</v>
      </c>
      <c r="F55" s="102">
        <f t="shared" si="12"/>
        <v>211890.24130893519</v>
      </c>
    </row>
    <row r="56" spans="1:6" x14ac:dyDescent="0.25">
      <c r="A56" s="86" t="s">
        <v>96</v>
      </c>
      <c r="B56" s="101"/>
      <c r="C56" s="104" t="s">
        <v>91</v>
      </c>
      <c r="D56" s="101">
        <f t="shared" si="11"/>
        <v>704950.28564063006</v>
      </c>
      <c r="E56" s="159">
        <v>3.5999999999999999E-3</v>
      </c>
      <c r="F56" s="102">
        <f t="shared" si="12"/>
        <v>2537.8210283062681</v>
      </c>
    </row>
    <row r="57" spans="1:6" x14ac:dyDescent="0.25">
      <c r="A57" s="86" t="s">
        <v>97</v>
      </c>
      <c r="B57" s="101"/>
      <c r="C57" s="104" t="s">
        <v>91</v>
      </c>
      <c r="D57" s="101">
        <f t="shared" si="11"/>
        <v>107951.83798793575</v>
      </c>
      <c r="E57" s="159">
        <v>3.5999999999999999E-3</v>
      </c>
      <c r="F57" s="102">
        <f t="shared" si="12"/>
        <v>388.62661675656869</v>
      </c>
    </row>
    <row r="58" spans="1:6" x14ac:dyDescent="0.25">
      <c r="A58" s="86" t="s">
        <v>98</v>
      </c>
      <c r="B58" s="101"/>
      <c r="C58" s="104" t="s">
        <v>91</v>
      </c>
      <c r="D58" s="101">
        <f t="shared" si="11"/>
        <v>532568.79493080743</v>
      </c>
      <c r="E58" s="159">
        <v>3.5999999999999999E-3</v>
      </c>
      <c r="F58" s="102">
        <f t="shared" si="12"/>
        <v>1917.2476617509067</v>
      </c>
    </row>
    <row r="59" spans="1:6" x14ac:dyDescent="0.25">
      <c r="A59" s="87" t="s">
        <v>99</v>
      </c>
      <c r="B59" s="98"/>
      <c r="C59" s="88"/>
      <c r="D59" s="98">
        <f>SUM(D53:D58)</f>
        <v>256216282.36842492</v>
      </c>
      <c r="E59" s="103"/>
      <c r="F59" s="105">
        <f>SUM(F53:F58)</f>
        <v>922378.61652632977</v>
      </c>
    </row>
    <row r="61" spans="1:6" x14ac:dyDescent="0.25">
      <c r="A61" s="131" t="s">
        <v>109</v>
      </c>
      <c r="B61" s="132"/>
      <c r="C61" s="138" t="s">
        <v>105</v>
      </c>
      <c r="D61" s="134"/>
      <c r="E61" s="135"/>
      <c r="F61" s="132"/>
    </row>
    <row r="62" spans="1:6" x14ac:dyDescent="0.25">
      <c r="A62" s="125" t="s">
        <v>103</v>
      </c>
      <c r="B62" s="180"/>
      <c r="C62" s="139" t="s">
        <v>106</v>
      </c>
      <c r="D62" s="437" t="s">
        <v>170</v>
      </c>
      <c r="E62" s="434"/>
      <c r="F62" s="435"/>
    </row>
    <row r="63" spans="1:6" x14ac:dyDescent="0.25">
      <c r="A63" s="86" t="s">
        <v>93</v>
      </c>
      <c r="B63" s="101"/>
      <c r="C63" s="104" t="s">
        <v>91</v>
      </c>
      <c r="D63" s="101">
        <f t="shared" ref="D63:D68" si="13">D53</f>
        <v>160495616.36242819</v>
      </c>
      <c r="E63" s="159">
        <v>1.2999999999999999E-3</v>
      </c>
      <c r="F63" s="102">
        <f t="shared" ref="F63:F68" si="14">D63*E63</f>
        <v>208644.30127115664</v>
      </c>
    </row>
    <row r="64" spans="1:6" x14ac:dyDescent="0.25">
      <c r="A64" s="86" t="s">
        <v>94</v>
      </c>
      <c r="B64" s="101"/>
      <c r="C64" s="104" t="s">
        <v>91</v>
      </c>
      <c r="D64" s="101">
        <f t="shared" si="13"/>
        <v>35516794.723844267</v>
      </c>
      <c r="E64" s="159">
        <v>1.2999999999999999E-3</v>
      </c>
      <c r="F64" s="102">
        <f t="shared" si="14"/>
        <v>46171.833140997544</v>
      </c>
    </row>
    <row r="65" spans="1:7" x14ac:dyDescent="0.25">
      <c r="A65" s="86" t="s">
        <v>95</v>
      </c>
      <c r="B65" s="101"/>
      <c r="C65" s="104" t="s">
        <v>91</v>
      </c>
      <c r="D65" s="101">
        <f t="shared" si="13"/>
        <v>58858400.363593109</v>
      </c>
      <c r="E65" s="159">
        <v>1.2999999999999999E-3</v>
      </c>
      <c r="F65" s="102">
        <f t="shared" si="14"/>
        <v>76515.920472671045</v>
      </c>
    </row>
    <row r="66" spans="1:7" x14ac:dyDescent="0.25">
      <c r="A66" s="86" t="s">
        <v>96</v>
      </c>
      <c r="B66" s="101"/>
      <c r="C66" s="104" t="s">
        <v>91</v>
      </c>
      <c r="D66" s="101">
        <f t="shared" si="13"/>
        <v>704950.28564063006</v>
      </c>
      <c r="E66" s="159">
        <v>1.2999999999999999E-3</v>
      </c>
      <c r="F66" s="102">
        <f t="shared" si="14"/>
        <v>916.43537133281905</v>
      </c>
    </row>
    <row r="67" spans="1:7" x14ac:dyDescent="0.25">
      <c r="A67" s="86" t="s">
        <v>97</v>
      </c>
      <c r="B67" s="101"/>
      <c r="C67" s="104" t="s">
        <v>91</v>
      </c>
      <c r="D67" s="101">
        <f t="shared" si="13"/>
        <v>107951.83798793575</v>
      </c>
      <c r="E67" s="159">
        <v>1.2999999999999999E-3</v>
      </c>
      <c r="F67" s="102">
        <f t="shared" si="14"/>
        <v>140.33738938431648</v>
      </c>
    </row>
    <row r="68" spans="1:7" x14ac:dyDescent="0.25">
      <c r="A68" s="86" t="s">
        <v>98</v>
      </c>
      <c r="B68" s="101"/>
      <c r="C68" s="104" t="s">
        <v>91</v>
      </c>
      <c r="D68" s="101">
        <f t="shared" si="13"/>
        <v>532568.79493080743</v>
      </c>
      <c r="E68" s="159">
        <v>1.2999999999999999E-3</v>
      </c>
      <c r="F68" s="102">
        <f t="shared" si="14"/>
        <v>692.33943341004965</v>
      </c>
    </row>
    <row r="69" spans="1:7" x14ac:dyDescent="0.25">
      <c r="A69" s="127" t="s">
        <v>99</v>
      </c>
      <c r="B69" s="128"/>
      <c r="C69" s="125"/>
      <c r="D69" s="128">
        <f>SUM(D63:D68)</f>
        <v>256216282.36842492</v>
      </c>
      <c r="E69" s="129"/>
      <c r="F69" s="130">
        <f>SUM(F63:F68)</f>
        <v>333081.16707895242</v>
      </c>
    </row>
    <row r="70" spans="1:7" x14ac:dyDescent="0.25">
      <c r="A70" s="140"/>
      <c r="B70" s="141"/>
      <c r="C70" s="142"/>
      <c r="D70" s="141"/>
      <c r="E70" s="143"/>
      <c r="F70" s="144"/>
      <c r="G70" s="200"/>
    </row>
    <row r="71" spans="1:7" x14ac:dyDescent="0.25">
      <c r="A71" s="131" t="s">
        <v>171</v>
      </c>
      <c r="B71" s="132"/>
      <c r="C71" s="138" t="s">
        <v>105</v>
      </c>
      <c r="D71" s="134"/>
      <c r="E71" s="135"/>
      <c r="F71" s="132"/>
      <c r="G71" s="200"/>
    </row>
    <row r="72" spans="1:7" x14ac:dyDescent="0.25">
      <c r="A72" s="125" t="s">
        <v>103</v>
      </c>
      <c r="B72" s="198"/>
      <c r="C72" s="139" t="s">
        <v>106</v>
      </c>
      <c r="D72" s="437" t="s">
        <v>170</v>
      </c>
      <c r="E72" s="434"/>
      <c r="F72" s="435"/>
      <c r="G72" s="200"/>
    </row>
    <row r="73" spans="1:7" x14ac:dyDescent="0.25">
      <c r="A73" s="86" t="s">
        <v>93</v>
      </c>
      <c r="B73" s="101"/>
      <c r="C73" s="104" t="s">
        <v>91</v>
      </c>
      <c r="D73" s="101">
        <f t="shared" ref="D73:D78" si="15">D63</f>
        <v>160495616.36242819</v>
      </c>
      <c r="E73" s="159">
        <v>1.1000000000000001E-3</v>
      </c>
      <c r="F73" s="102">
        <f t="shared" ref="F73:F78" si="16">D73*E73</f>
        <v>176545.17799867102</v>
      </c>
      <c r="G73" s="200"/>
    </row>
    <row r="74" spans="1:7" x14ac:dyDescent="0.25">
      <c r="A74" s="86" t="s">
        <v>94</v>
      </c>
      <c r="B74" s="101"/>
      <c r="C74" s="104" t="s">
        <v>91</v>
      </c>
      <c r="D74" s="101">
        <f t="shared" si="15"/>
        <v>35516794.723844267</v>
      </c>
      <c r="E74" s="159">
        <v>1.1000000000000001E-3</v>
      </c>
      <c r="F74" s="102">
        <f t="shared" si="16"/>
        <v>39068.474196228693</v>
      </c>
      <c r="G74" s="200"/>
    </row>
    <row r="75" spans="1:7" x14ac:dyDescent="0.25">
      <c r="A75" s="86" t="s">
        <v>95</v>
      </c>
      <c r="B75" s="101"/>
      <c r="C75" s="104" t="s">
        <v>91</v>
      </c>
      <c r="D75" s="101">
        <f t="shared" si="15"/>
        <v>58858400.363593109</v>
      </c>
      <c r="E75" s="159">
        <v>1.1000000000000001E-3</v>
      </c>
      <c r="F75" s="102">
        <f t="shared" si="16"/>
        <v>64744.240399952425</v>
      </c>
      <c r="G75" s="200"/>
    </row>
    <row r="76" spans="1:7" x14ac:dyDescent="0.25">
      <c r="A76" s="86" t="s">
        <v>96</v>
      </c>
      <c r="B76" s="101"/>
      <c r="C76" s="104" t="s">
        <v>91</v>
      </c>
      <c r="D76" s="101">
        <f t="shared" si="15"/>
        <v>704950.28564063006</v>
      </c>
      <c r="E76" s="159">
        <v>1.1000000000000001E-3</v>
      </c>
      <c r="F76" s="102">
        <f t="shared" si="16"/>
        <v>775.44531420469309</v>
      </c>
      <c r="G76" s="200"/>
    </row>
    <row r="77" spans="1:7" x14ac:dyDescent="0.25">
      <c r="A77" s="86" t="s">
        <v>97</v>
      </c>
      <c r="B77" s="101"/>
      <c r="C77" s="104" t="s">
        <v>91</v>
      </c>
      <c r="D77" s="101">
        <f t="shared" si="15"/>
        <v>107951.83798793575</v>
      </c>
      <c r="E77" s="159">
        <v>1.1000000000000001E-3</v>
      </c>
      <c r="F77" s="102">
        <f t="shared" si="16"/>
        <v>118.74702178672933</v>
      </c>
      <c r="G77" s="200"/>
    </row>
    <row r="78" spans="1:7" x14ac:dyDescent="0.25">
      <c r="A78" s="86" t="s">
        <v>98</v>
      </c>
      <c r="B78" s="101"/>
      <c r="C78" s="104" t="s">
        <v>91</v>
      </c>
      <c r="D78" s="101">
        <f t="shared" si="15"/>
        <v>532568.79493080743</v>
      </c>
      <c r="E78" s="159">
        <v>1.2999999999999999E-3</v>
      </c>
      <c r="F78" s="102">
        <f t="shared" si="16"/>
        <v>692.33943341004965</v>
      </c>
      <c r="G78" s="200"/>
    </row>
    <row r="79" spans="1:7" x14ac:dyDescent="0.25">
      <c r="A79" s="127" t="s">
        <v>99</v>
      </c>
      <c r="B79" s="128"/>
      <c r="C79" s="125"/>
      <c r="D79" s="128">
        <f>SUM(D73:D78)</f>
        <v>256216282.36842492</v>
      </c>
      <c r="E79" s="129"/>
      <c r="F79" s="130">
        <f>SUM(F73:F78)</f>
        <v>281944.42436425359</v>
      </c>
      <c r="G79" s="200"/>
    </row>
    <row r="80" spans="1:7" x14ac:dyDescent="0.25">
      <c r="A80" s="140"/>
      <c r="B80" s="141"/>
      <c r="C80" s="142"/>
      <c r="D80" s="141"/>
      <c r="E80" s="143"/>
      <c r="F80" s="144"/>
    </row>
    <row r="81" spans="1:8" x14ac:dyDescent="0.25">
      <c r="A81" s="131" t="s">
        <v>122</v>
      </c>
      <c r="B81" s="132"/>
      <c r="C81" s="138" t="s">
        <v>105</v>
      </c>
      <c r="D81" s="134"/>
      <c r="E81" s="135"/>
      <c r="F81" s="132"/>
    </row>
    <row r="82" spans="1:8" x14ac:dyDescent="0.25">
      <c r="A82" s="125" t="s">
        <v>103</v>
      </c>
      <c r="B82" s="180"/>
      <c r="C82" s="139" t="s">
        <v>123</v>
      </c>
      <c r="D82" s="437" t="s">
        <v>170</v>
      </c>
      <c r="E82" s="434"/>
      <c r="F82" s="435"/>
    </row>
    <row r="83" spans="1:8" x14ac:dyDescent="0.25">
      <c r="A83" s="86" t="s">
        <v>93</v>
      </c>
      <c r="B83" s="101"/>
      <c r="C83" s="104" t="s">
        <v>91</v>
      </c>
      <c r="D83" s="145">
        <f>B2</f>
        <v>149674173.61039653</v>
      </c>
      <c r="E83" s="159">
        <v>2.2000000000000001E-3</v>
      </c>
      <c r="F83" s="146">
        <f t="shared" ref="F83:F88" si="17">D83*E83</f>
        <v>329283.18194287241</v>
      </c>
      <c r="H83" s="119"/>
    </row>
    <row r="84" spans="1:8" x14ac:dyDescent="0.25">
      <c r="A84" s="86" t="s">
        <v>94</v>
      </c>
      <c r="B84" s="101"/>
      <c r="C84" s="147" t="s">
        <v>91</v>
      </c>
      <c r="D84" s="145">
        <f>B3</f>
        <v>33122069.126032144</v>
      </c>
      <c r="E84" s="159">
        <v>2E-3</v>
      </c>
      <c r="F84" s="146">
        <f t="shared" si="17"/>
        <v>66244.138252064295</v>
      </c>
    </row>
    <row r="85" spans="1:8" x14ac:dyDescent="0.25">
      <c r="A85" s="86" t="s">
        <v>95</v>
      </c>
      <c r="B85" s="101"/>
      <c r="C85" s="104" t="s">
        <v>92</v>
      </c>
      <c r="D85" s="145">
        <f>C4</f>
        <v>154174.11191583652</v>
      </c>
      <c r="E85" s="159">
        <v>0.7883</v>
      </c>
      <c r="F85" s="146">
        <f t="shared" si="17"/>
        <v>121535.45242325393</v>
      </c>
    </row>
    <row r="86" spans="1:8" x14ac:dyDescent="0.25">
      <c r="A86" s="86" t="s">
        <v>96</v>
      </c>
      <c r="B86" s="101"/>
      <c r="C86" s="147" t="s">
        <v>92</v>
      </c>
      <c r="D86" s="145">
        <f>C5</f>
        <v>1854.1136637654336</v>
      </c>
      <c r="E86" s="159">
        <v>1.6331</v>
      </c>
      <c r="F86" s="146">
        <f t="shared" si="17"/>
        <v>3027.9530242953297</v>
      </c>
    </row>
    <row r="87" spans="1:8" x14ac:dyDescent="0.25">
      <c r="A87" s="86" t="s">
        <v>97</v>
      </c>
      <c r="B87" s="101"/>
      <c r="C87" s="104" t="s">
        <v>92</v>
      </c>
      <c r="D87" s="145">
        <f>C6</f>
        <v>279.72691784487739</v>
      </c>
      <c r="E87" s="159">
        <v>0.60650000000000004</v>
      </c>
      <c r="F87" s="146">
        <f t="shared" si="17"/>
        <v>169.65437567291815</v>
      </c>
    </row>
    <row r="88" spans="1:8" x14ac:dyDescent="0.25">
      <c r="A88" s="86" t="s">
        <v>98</v>
      </c>
      <c r="B88" s="101"/>
      <c r="C88" s="147" t="s">
        <v>91</v>
      </c>
      <c r="D88" s="145">
        <f>B7</f>
        <v>496660.25825870311</v>
      </c>
      <c r="E88" s="159">
        <v>2E-3</v>
      </c>
      <c r="F88" s="146">
        <f t="shared" si="17"/>
        <v>993.32051651740619</v>
      </c>
    </row>
    <row r="89" spans="1:8" x14ac:dyDescent="0.25">
      <c r="A89" s="127" t="s">
        <v>99</v>
      </c>
      <c r="B89" s="128"/>
      <c r="C89" s="125"/>
      <c r="D89" s="128">
        <f>SUM(D83:D88)</f>
        <v>183449210.9471848</v>
      </c>
      <c r="E89" s="129"/>
      <c r="F89" s="130">
        <f>SUM(F83:F88)</f>
        <v>521253.70053467626</v>
      </c>
    </row>
    <row r="90" spans="1:8" ht="13.8" thickBot="1" x14ac:dyDescent="0.3">
      <c r="A90" s="150"/>
      <c r="B90" s="151"/>
      <c r="C90" s="142"/>
      <c r="D90" s="141"/>
      <c r="E90" s="143"/>
      <c r="F90" s="144"/>
    </row>
    <row r="91" spans="1:8" x14ac:dyDescent="0.25">
      <c r="A91" s="134" t="s">
        <v>124</v>
      </c>
      <c r="B91" s="152">
        <v>2016</v>
      </c>
      <c r="C91" s="182" t="s">
        <v>118</v>
      </c>
      <c r="D91" s="183"/>
      <c r="E91" s="183"/>
      <c r="F91" s="184"/>
    </row>
    <row r="92" spans="1:8" x14ac:dyDescent="0.25">
      <c r="A92" s="201" t="s">
        <v>172</v>
      </c>
      <c r="B92" s="202">
        <f>F79</f>
        <v>281944.42436425359</v>
      </c>
      <c r="C92" s="185"/>
      <c r="D92" s="186"/>
      <c r="E92" s="186"/>
      <c r="F92" s="187"/>
    </row>
    <row r="93" spans="1:8" x14ac:dyDescent="0.25">
      <c r="A93" s="120" t="s">
        <v>119</v>
      </c>
      <c r="B93" s="149">
        <f>F96</f>
        <v>155898.6</v>
      </c>
      <c r="C93" s="185"/>
      <c r="D93" s="188" t="s">
        <v>120</v>
      </c>
      <c r="E93" s="188" t="s">
        <v>121</v>
      </c>
      <c r="F93" s="187"/>
    </row>
    <row r="94" spans="1:8" x14ac:dyDescent="0.25">
      <c r="A94" s="96" t="s">
        <v>110</v>
      </c>
      <c r="B94" s="97">
        <f>F19+F29</f>
        <v>27444585.789262693</v>
      </c>
      <c r="C94" s="185" t="s">
        <v>58</v>
      </c>
      <c r="D94" s="189">
        <f>Summary!L14</f>
        <v>15419</v>
      </c>
      <c r="E94" s="186">
        <v>0.79</v>
      </c>
      <c r="F94" s="194">
        <f>D94*E94*12</f>
        <v>146172.12</v>
      </c>
    </row>
    <row r="95" spans="1:8" x14ac:dyDescent="0.25">
      <c r="A95" s="96" t="s">
        <v>111</v>
      </c>
      <c r="B95" s="95">
        <f>F59</f>
        <v>922378.61652632977</v>
      </c>
      <c r="C95" s="185" t="s">
        <v>59</v>
      </c>
      <c r="D95" s="189">
        <f>Summary!L18</f>
        <v>1026</v>
      </c>
      <c r="E95" s="186">
        <v>0.79</v>
      </c>
      <c r="F95" s="194">
        <f>D95*E95*12</f>
        <v>9726.4800000000014</v>
      </c>
    </row>
    <row r="96" spans="1:8" x14ac:dyDescent="0.25">
      <c r="A96" s="96" t="s">
        <v>112</v>
      </c>
      <c r="B96" s="95">
        <f>F39</f>
        <v>1430161.2678559567</v>
      </c>
      <c r="C96" s="185"/>
      <c r="D96" s="186"/>
      <c r="E96" s="186"/>
      <c r="F96" s="190">
        <f>SUM(F94:F95)</f>
        <v>155898.6</v>
      </c>
    </row>
    <row r="97" spans="1:14" ht="13.8" thickBot="1" x14ac:dyDescent="0.3">
      <c r="A97" s="96" t="s">
        <v>113</v>
      </c>
      <c r="B97" s="95">
        <f>F49</f>
        <v>1029974.8052707812</v>
      </c>
      <c r="C97" s="191"/>
      <c r="D97" s="192"/>
      <c r="E97" s="192"/>
      <c r="F97" s="193"/>
      <c r="L97" s="20"/>
      <c r="M97" s="20"/>
      <c r="N97" s="20"/>
    </row>
    <row r="98" spans="1:14" x14ac:dyDescent="0.25">
      <c r="A98" s="96" t="s">
        <v>114</v>
      </c>
      <c r="B98" s="95">
        <f>F69</f>
        <v>333081.16707895242</v>
      </c>
    </row>
    <row r="99" spans="1:14" x14ac:dyDescent="0.25">
      <c r="A99" s="96" t="s">
        <v>115</v>
      </c>
      <c r="B99" s="148">
        <f>F89</f>
        <v>521253.70053467626</v>
      </c>
      <c r="E99" s="20"/>
      <c r="F99" s="20"/>
      <c r="G99" s="20"/>
    </row>
    <row r="100" spans="1:14" x14ac:dyDescent="0.25">
      <c r="A100" s="122" t="s">
        <v>99</v>
      </c>
      <c r="B100" s="128">
        <f>SUM(B92:B99)</f>
        <v>32119278.370893642</v>
      </c>
      <c r="E100" s="20"/>
      <c r="F100" s="20"/>
      <c r="G100" s="20"/>
    </row>
  </sheetData>
  <mergeCells count="12">
    <mergeCell ref="D32:F32"/>
    <mergeCell ref="D42:F42"/>
    <mergeCell ref="D52:F52"/>
    <mergeCell ref="D62:F62"/>
    <mergeCell ref="D82:F82"/>
    <mergeCell ref="D72:F72"/>
    <mergeCell ref="B11:B12"/>
    <mergeCell ref="C11:C12"/>
    <mergeCell ref="D12:F12"/>
    <mergeCell ref="B21:B22"/>
    <mergeCell ref="C21:C22"/>
    <mergeCell ref="D22:F22"/>
  </mergeCells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showGridLines="0" tabSelected="1" topLeftCell="A64" zoomScaleNormal="100" workbookViewId="0">
      <selection activeCell="I97" sqref="I97"/>
    </sheetView>
  </sheetViews>
  <sheetFormatPr defaultRowHeight="13.2" x14ac:dyDescent="0.25"/>
  <cols>
    <col min="1" max="1" width="31.44140625" bestFit="1" customWidth="1"/>
    <col min="2" max="2" width="12.6640625" customWidth="1"/>
    <col min="3" max="3" width="11.6640625" customWidth="1"/>
    <col min="4" max="4" width="12.6640625" customWidth="1"/>
    <col min="5" max="5" width="11" customWidth="1"/>
    <col min="6" max="6" width="12.6640625" customWidth="1"/>
    <col min="7" max="7" width="13.109375" customWidth="1"/>
    <col min="8" max="8" width="13" customWidth="1"/>
  </cols>
  <sheetData>
    <row r="1" spans="1:12" ht="15.9" customHeight="1" x14ac:dyDescent="0.25">
      <c r="A1" s="121" t="s">
        <v>135</v>
      </c>
      <c r="B1" s="126" t="s">
        <v>91</v>
      </c>
      <c r="C1" s="126" t="s">
        <v>92</v>
      </c>
      <c r="D1" s="126" t="s">
        <v>139</v>
      </c>
      <c r="H1" s="20" t="s">
        <v>345</v>
      </c>
    </row>
    <row r="2" spans="1:12" x14ac:dyDescent="0.25">
      <c r="A2" s="106" t="s">
        <v>93</v>
      </c>
      <c r="B2" s="99">
        <f>Summary!M15</f>
        <v>149932101.44827333</v>
      </c>
      <c r="C2" s="100"/>
      <c r="D2" s="156">
        <v>0.94</v>
      </c>
    </row>
    <row r="3" spans="1:12" x14ac:dyDescent="0.25">
      <c r="A3" s="106" t="s">
        <v>94</v>
      </c>
      <c r="B3" s="99">
        <f>Summary!M19</f>
        <v>32368432.968739454</v>
      </c>
      <c r="C3" s="100"/>
      <c r="D3" s="156">
        <v>0.83</v>
      </c>
      <c r="H3" t="s">
        <v>342</v>
      </c>
    </row>
    <row r="4" spans="1:12" x14ac:dyDescent="0.25">
      <c r="A4" s="106" t="s">
        <v>95</v>
      </c>
      <c r="B4" s="99">
        <f>Summary!M23</f>
        <v>55988819.024951793</v>
      </c>
      <c r="C4" s="107">
        <f>Summary!M24</f>
        <v>157260.84816394193</v>
      </c>
      <c r="D4" s="156">
        <v>0.04</v>
      </c>
    </row>
    <row r="5" spans="1:12" x14ac:dyDescent="0.25">
      <c r="A5" s="106" t="s">
        <v>96</v>
      </c>
      <c r="B5" s="99">
        <f>Summary!M33</f>
        <v>669627.3173472397</v>
      </c>
      <c r="C5" s="107">
        <f>Summary!M34</f>
        <v>1888.5449751821914</v>
      </c>
      <c r="D5" s="156">
        <v>0</v>
      </c>
      <c r="H5" t="s">
        <v>343</v>
      </c>
    </row>
    <row r="6" spans="1:12" x14ac:dyDescent="0.25">
      <c r="A6" s="106" t="s">
        <v>97</v>
      </c>
      <c r="B6" s="99">
        <f>Summary!M28</f>
        <v>98319.642763457639</v>
      </c>
      <c r="C6" s="107">
        <f>Summary!M29</f>
        <v>273.18749568630062</v>
      </c>
      <c r="D6" s="156">
        <v>0.84</v>
      </c>
    </row>
    <row r="7" spans="1:12" x14ac:dyDescent="0.25">
      <c r="A7" s="106" t="s">
        <v>98</v>
      </c>
      <c r="B7" s="99">
        <f>Summary!M38</f>
        <v>530366.92860140104</v>
      </c>
      <c r="C7" s="100"/>
      <c r="D7" s="156">
        <v>0.94</v>
      </c>
      <c r="H7" t="s">
        <v>344</v>
      </c>
    </row>
    <row r="8" spans="1:12" x14ac:dyDescent="0.25">
      <c r="A8" s="127" t="s">
        <v>99</v>
      </c>
      <c r="B8" s="128">
        <f>SUM(B2:B7)</f>
        <v>239587667.33067667</v>
      </c>
      <c r="C8" s="128">
        <f>SUM(C2:C7)</f>
        <v>159422.58063481041</v>
      </c>
      <c r="D8" s="128"/>
    </row>
    <row r="11" spans="1:12" ht="15" x14ac:dyDescent="0.25">
      <c r="A11" s="121" t="s">
        <v>100</v>
      </c>
      <c r="B11" s="424" t="s">
        <v>136</v>
      </c>
      <c r="C11" s="426" t="s">
        <v>137</v>
      </c>
      <c r="D11" s="122"/>
      <c r="E11" s="123"/>
      <c r="F11" s="124"/>
      <c r="H11" s="204" t="s">
        <v>186</v>
      </c>
    </row>
    <row r="12" spans="1:12" x14ac:dyDescent="0.25">
      <c r="A12" s="125" t="s">
        <v>101</v>
      </c>
      <c r="B12" s="425"/>
      <c r="C12" s="427"/>
      <c r="D12" s="431">
        <v>2017</v>
      </c>
      <c r="E12" s="432"/>
      <c r="F12" s="430"/>
    </row>
    <row r="13" spans="1:12" x14ac:dyDescent="0.25">
      <c r="A13" s="89" t="s">
        <v>93</v>
      </c>
      <c r="B13" s="99">
        <f t="shared" ref="B13:B18" si="0">B2*D2</f>
        <v>140936175.36137691</v>
      </c>
      <c r="C13" s="157">
        <v>1.0678000000000001</v>
      </c>
      <c r="D13" s="101">
        <f t="shared" ref="D13:D18" si="1">B13*C13</f>
        <v>150491648.05087829</v>
      </c>
      <c r="E13" s="366">
        <v>0.11239</v>
      </c>
      <c r="F13" s="102">
        <f t="shared" ref="F13:F18" si="2">D13*E13</f>
        <v>16913756.324438211</v>
      </c>
      <c r="H13" s="119" t="s">
        <v>187</v>
      </c>
      <c r="L13">
        <v>84.5</v>
      </c>
    </row>
    <row r="14" spans="1:12" x14ac:dyDescent="0.25">
      <c r="A14" s="89" t="s">
        <v>94</v>
      </c>
      <c r="B14" s="99">
        <f t="shared" si="0"/>
        <v>26865799.364053745</v>
      </c>
      <c r="C14" s="157">
        <v>1.0678000000000001</v>
      </c>
      <c r="D14" s="101">
        <f t="shared" si="1"/>
        <v>28687300.560936593</v>
      </c>
      <c r="E14" s="366">
        <v>0.11239</v>
      </c>
      <c r="F14" s="102">
        <f t="shared" si="2"/>
        <v>3224165.7100436636</v>
      </c>
      <c r="H14" s="119" t="s">
        <v>188</v>
      </c>
      <c r="L14">
        <v>22.59</v>
      </c>
    </row>
    <row r="15" spans="1:12" x14ac:dyDescent="0.25">
      <c r="A15" s="89" t="s">
        <v>95</v>
      </c>
      <c r="B15" s="99">
        <f t="shared" si="0"/>
        <v>2239552.7609980716</v>
      </c>
      <c r="C15" s="157">
        <v>1.0678000000000001</v>
      </c>
      <c r="D15" s="101">
        <f t="shared" si="1"/>
        <v>2391394.4381937413</v>
      </c>
      <c r="E15" s="366">
        <v>0.11239</v>
      </c>
      <c r="F15" s="102">
        <f t="shared" si="2"/>
        <v>268768.82090859459</v>
      </c>
      <c r="L15" s="20">
        <f>SUM(L13:L14)</f>
        <v>107.09</v>
      </c>
    </row>
    <row r="16" spans="1:12" x14ac:dyDescent="0.25">
      <c r="A16" s="89" t="s">
        <v>96</v>
      </c>
      <c r="B16" s="99">
        <f t="shared" si="0"/>
        <v>0</v>
      </c>
      <c r="C16" s="157">
        <v>1.0678000000000001</v>
      </c>
      <c r="D16" s="101">
        <f t="shared" si="1"/>
        <v>0</v>
      </c>
      <c r="E16" s="366">
        <v>0.11239</v>
      </c>
      <c r="F16" s="102">
        <f t="shared" si="2"/>
        <v>0</v>
      </c>
    </row>
    <row r="17" spans="1:6" x14ac:dyDescent="0.25">
      <c r="A17" s="89" t="s">
        <v>97</v>
      </c>
      <c r="B17" s="99">
        <f t="shared" si="0"/>
        <v>82588.499921304421</v>
      </c>
      <c r="C17" s="157">
        <v>1.0678000000000001</v>
      </c>
      <c r="D17" s="101">
        <f t="shared" si="1"/>
        <v>88188.000215968874</v>
      </c>
      <c r="E17" s="366">
        <v>0.11239</v>
      </c>
      <c r="F17" s="102">
        <f t="shared" si="2"/>
        <v>9911.4493442727417</v>
      </c>
    </row>
    <row r="18" spans="1:6" x14ac:dyDescent="0.25">
      <c r="A18" s="89" t="s">
        <v>98</v>
      </c>
      <c r="B18" s="99">
        <f t="shared" si="0"/>
        <v>498544.91288531694</v>
      </c>
      <c r="C18" s="157">
        <v>1.0678000000000001</v>
      </c>
      <c r="D18" s="101">
        <f t="shared" si="1"/>
        <v>532346.25797894143</v>
      </c>
      <c r="E18" s="366">
        <v>0.11239</v>
      </c>
      <c r="F18" s="102">
        <f t="shared" si="2"/>
        <v>59830.395934253233</v>
      </c>
    </row>
    <row r="19" spans="1:6" x14ac:dyDescent="0.25">
      <c r="A19" s="127" t="s">
        <v>99</v>
      </c>
      <c r="B19" s="128">
        <f>SUM(B13:B18)</f>
        <v>170622660.89923534</v>
      </c>
      <c r="C19" s="125"/>
      <c r="D19" s="128">
        <f>SUM(D13:D18)</f>
        <v>182190877.30820355</v>
      </c>
      <c r="E19" s="129"/>
      <c r="F19" s="130">
        <f>SUM(F13:F18)</f>
        <v>20476432.700668998</v>
      </c>
    </row>
    <row r="20" spans="1:6" x14ac:dyDescent="0.25">
      <c r="A20" s="90"/>
      <c r="B20" s="91"/>
      <c r="C20" s="92"/>
      <c r="D20" s="91"/>
      <c r="E20" s="93"/>
      <c r="F20" s="94"/>
    </row>
    <row r="21" spans="1:6" x14ac:dyDescent="0.25">
      <c r="A21" s="121" t="s">
        <v>102</v>
      </c>
      <c r="B21" s="424" t="s">
        <v>136</v>
      </c>
      <c r="C21" s="426" t="s">
        <v>137</v>
      </c>
      <c r="D21" s="122"/>
      <c r="E21" s="123"/>
      <c r="F21" s="124"/>
    </row>
    <row r="22" spans="1:6" x14ac:dyDescent="0.25">
      <c r="A22" s="125" t="s">
        <v>103</v>
      </c>
      <c r="B22" s="425"/>
      <c r="C22" s="427"/>
      <c r="D22" s="431">
        <v>2017</v>
      </c>
      <c r="E22" s="432"/>
      <c r="F22" s="430"/>
    </row>
    <row r="23" spans="1:6" x14ac:dyDescent="0.25">
      <c r="A23" s="89" t="s">
        <v>93</v>
      </c>
      <c r="B23" s="99">
        <f t="shared" ref="B23:B28" si="3">B2-B13</f>
        <v>8995926.0868964195</v>
      </c>
      <c r="C23" s="100">
        <f>C13</f>
        <v>1.0678000000000001</v>
      </c>
      <c r="D23" s="101">
        <f t="shared" ref="D23:D28" si="4">B23*C23</f>
        <v>9605849.875587998</v>
      </c>
      <c r="E23" s="366">
        <v>0.10709</v>
      </c>
      <c r="F23" s="102">
        <f t="shared" ref="F23:F28" si="5">D23*E23</f>
        <v>1028690.4631767188</v>
      </c>
    </row>
    <row r="24" spans="1:6" x14ac:dyDescent="0.25">
      <c r="A24" s="89" t="s">
        <v>94</v>
      </c>
      <c r="B24" s="99">
        <f t="shared" si="3"/>
        <v>5502633.6046857089</v>
      </c>
      <c r="C24" s="100">
        <f>C23</f>
        <v>1.0678000000000001</v>
      </c>
      <c r="D24" s="101">
        <f t="shared" si="4"/>
        <v>5875712.1630834006</v>
      </c>
      <c r="E24" s="366">
        <v>0.10709</v>
      </c>
      <c r="F24" s="102">
        <f t="shared" si="5"/>
        <v>629230.01554460137</v>
      </c>
    </row>
    <row r="25" spans="1:6" x14ac:dyDescent="0.25">
      <c r="A25" s="89" t="s">
        <v>95</v>
      </c>
      <c r="B25" s="99">
        <f>B4-B15</f>
        <v>53749266.263953723</v>
      </c>
      <c r="C25" s="100">
        <f>C24</f>
        <v>1.0678000000000001</v>
      </c>
      <c r="D25" s="101">
        <f t="shared" si="4"/>
        <v>57393466.51664979</v>
      </c>
      <c r="E25" s="366">
        <v>0.10709</v>
      </c>
      <c r="F25" s="102">
        <f t="shared" si="5"/>
        <v>6146266.3292680262</v>
      </c>
    </row>
    <row r="26" spans="1:6" x14ac:dyDescent="0.25">
      <c r="A26" s="89" t="s">
        <v>96</v>
      </c>
      <c r="B26" s="99">
        <f t="shared" si="3"/>
        <v>669627.3173472397</v>
      </c>
      <c r="C26" s="100">
        <f>C25</f>
        <v>1.0678000000000001</v>
      </c>
      <c r="D26" s="101">
        <f t="shared" si="4"/>
        <v>715028.04946338257</v>
      </c>
      <c r="E26" s="366">
        <v>0.10709</v>
      </c>
      <c r="F26" s="102">
        <f t="shared" si="5"/>
        <v>76572.35381703364</v>
      </c>
    </row>
    <row r="27" spans="1:6" x14ac:dyDescent="0.25">
      <c r="A27" s="89" t="s">
        <v>97</v>
      </c>
      <c r="B27" s="99">
        <f t="shared" si="3"/>
        <v>15731.142842153218</v>
      </c>
      <c r="C27" s="100">
        <f>C26</f>
        <v>1.0678000000000001</v>
      </c>
      <c r="D27" s="101">
        <f t="shared" si="4"/>
        <v>16797.714326851208</v>
      </c>
      <c r="E27" s="366">
        <v>0.10709</v>
      </c>
      <c r="F27" s="102">
        <f t="shared" si="5"/>
        <v>1798.867227262496</v>
      </c>
    </row>
    <row r="28" spans="1:6" x14ac:dyDescent="0.25">
      <c r="A28" s="89" t="s">
        <v>98</v>
      </c>
      <c r="B28" s="99">
        <f t="shared" si="3"/>
        <v>31822.015716084104</v>
      </c>
      <c r="C28" s="100">
        <f>C27</f>
        <v>1.0678000000000001</v>
      </c>
      <c r="D28" s="101">
        <f t="shared" si="4"/>
        <v>33979.54838163461</v>
      </c>
      <c r="E28" s="366">
        <v>0.10709</v>
      </c>
      <c r="F28" s="102">
        <f t="shared" si="5"/>
        <v>3638.8698361892507</v>
      </c>
    </row>
    <row r="29" spans="1:6" x14ac:dyDescent="0.25">
      <c r="A29" s="127" t="s">
        <v>99</v>
      </c>
      <c r="B29" s="128">
        <f>SUM(B23:B28)</f>
        <v>68965006.431441352</v>
      </c>
      <c r="C29" s="125"/>
      <c r="D29" s="128">
        <f>SUM(D23:D28)</f>
        <v>73640833.867493063</v>
      </c>
      <c r="E29" s="129"/>
      <c r="F29" s="130">
        <f>SUM(F23:F28)</f>
        <v>7886196.8988698311</v>
      </c>
    </row>
    <row r="31" spans="1:6" x14ac:dyDescent="0.25">
      <c r="A31" s="131" t="s">
        <v>104</v>
      </c>
      <c r="B31" s="132"/>
      <c r="C31" s="133" t="s">
        <v>105</v>
      </c>
      <c r="D31" s="134"/>
      <c r="E31" s="135"/>
      <c r="F31" s="132"/>
    </row>
    <row r="32" spans="1:6" x14ac:dyDescent="0.25">
      <c r="A32" s="125" t="s">
        <v>103</v>
      </c>
      <c r="B32" s="136"/>
      <c r="C32" s="137" t="s">
        <v>106</v>
      </c>
      <c r="D32" s="433">
        <v>2017</v>
      </c>
      <c r="E32" s="434"/>
      <c r="F32" s="435"/>
    </row>
    <row r="33" spans="1:6" x14ac:dyDescent="0.25">
      <c r="A33" s="86" t="s">
        <v>93</v>
      </c>
      <c r="B33" s="101"/>
      <c r="C33" s="104" t="s">
        <v>91</v>
      </c>
      <c r="D33" s="101">
        <f>D13+D23</f>
        <v>160097497.92646629</v>
      </c>
      <c r="E33" s="159">
        <v>5.7000000000000002E-3</v>
      </c>
      <c r="F33" s="102">
        <f t="shared" ref="F33:F38" si="6">D33*E33</f>
        <v>912555.73818085785</v>
      </c>
    </row>
    <row r="34" spans="1:6" x14ac:dyDescent="0.25">
      <c r="A34" s="86" t="s">
        <v>94</v>
      </c>
      <c r="B34" s="101"/>
      <c r="C34" s="104" t="s">
        <v>92</v>
      </c>
      <c r="D34" s="101">
        <f>D14+D24</f>
        <v>34563012.724019989</v>
      </c>
      <c r="E34" s="159">
        <v>5.1999999999999998E-3</v>
      </c>
      <c r="F34" s="102">
        <f t="shared" si="6"/>
        <v>179727.66616490393</v>
      </c>
    </row>
    <row r="35" spans="1:6" x14ac:dyDescent="0.25">
      <c r="A35" s="86" t="s">
        <v>95</v>
      </c>
      <c r="B35" s="101"/>
      <c r="C35" s="104" t="s">
        <v>92</v>
      </c>
      <c r="D35" s="101">
        <f>C4</f>
        <v>157260.84816394193</v>
      </c>
      <c r="E35" s="159">
        <v>2.1046999999999998</v>
      </c>
      <c r="F35" s="102">
        <f t="shared" si="6"/>
        <v>330986.90713064856</v>
      </c>
    </row>
    <row r="36" spans="1:6" x14ac:dyDescent="0.25">
      <c r="A36" s="86" t="s">
        <v>96</v>
      </c>
      <c r="B36" s="101"/>
      <c r="C36" s="104" t="s">
        <v>91</v>
      </c>
      <c r="D36" s="101">
        <f>C5</f>
        <v>1888.5449751821914</v>
      </c>
      <c r="E36" s="159">
        <v>1.5872999999999999</v>
      </c>
      <c r="F36" s="102">
        <f t="shared" si="6"/>
        <v>2997.6874391066922</v>
      </c>
    </row>
    <row r="37" spans="1:6" x14ac:dyDescent="0.25">
      <c r="A37" s="86" t="s">
        <v>97</v>
      </c>
      <c r="B37" s="101"/>
      <c r="C37" s="104" t="s">
        <v>92</v>
      </c>
      <c r="D37" s="101">
        <f>C6</f>
        <v>273.18749568630062</v>
      </c>
      <c r="E37" s="159">
        <v>1.5953999999999999</v>
      </c>
      <c r="F37" s="102">
        <f t="shared" si="6"/>
        <v>435.84333061792398</v>
      </c>
    </row>
    <row r="38" spans="1:6" x14ac:dyDescent="0.25">
      <c r="A38" s="86" t="s">
        <v>98</v>
      </c>
      <c r="B38" s="101"/>
      <c r="C38" s="104" t="s">
        <v>92</v>
      </c>
      <c r="D38" s="101">
        <f>D18+D28</f>
        <v>566325.80636057607</v>
      </c>
      <c r="E38" s="159">
        <v>5.1999999999999998E-3</v>
      </c>
      <c r="F38" s="102">
        <f t="shared" si="6"/>
        <v>2944.8941930749952</v>
      </c>
    </row>
    <row r="39" spans="1:6" x14ac:dyDescent="0.25">
      <c r="A39" s="127" t="s">
        <v>99</v>
      </c>
      <c r="B39" s="128"/>
      <c r="C39" s="125"/>
      <c r="D39" s="128"/>
      <c r="E39" s="129"/>
      <c r="F39" s="130">
        <f>SUM(F33:F38)</f>
        <v>1429648.7364392099</v>
      </c>
    </row>
    <row r="41" spans="1:6" x14ac:dyDescent="0.25">
      <c r="A41" s="131" t="s">
        <v>107</v>
      </c>
      <c r="B41" s="132"/>
      <c r="C41" s="138" t="s">
        <v>105</v>
      </c>
      <c r="D41" s="134"/>
      <c r="E41" s="135"/>
      <c r="F41" s="132"/>
    </row>
    <row r="42" spans="1:6" x14ac:dyDescent="0.25">
      <c r="A42" s="125" t="s">
        <v>103</v>
      </c>
      <c r="B42" s="136"/>
      <c r="C42" s="139" t="s">
        <v>106</v>
      </c>
      <c r="D42" s="433">
        <v>2017</v>
      </c>
      <c r="E42" s="434"/>
      <c r="F42" s="435"/>
    </row>
    <row r="43" spans="1:6" x14ac:dyDescent="0.25">
      <c r="A43" s="86" t="s">
        <v>93</v>
      </c>
      <c r="B43" s="101"/>
      <c r="C43" s="104" t="s">
        <v>91</v>
      </c>
      <c r="D43" s="101">
        <f t="shared" ref="D43:D48" si="7">D33</f>
        <v>160097497.92646629</v>
      </c>
      <c r="E43" s="159">
        <v>4.1000000000000003E-3</v>
      </c>
      <c r="F43" s="102">
        <f t="shared" ref="F43:F48" si="8">D43*E43</f>
        <v>656399.74149851187</v>
      </c>
    </row>
    <row r="44" spans="1:6" x14ac:dyDescent="0.25">
      <c r="A44" s="86" t="s">
        <v>94</v>
      </c>
      <c r="B44" s="101"/>
      <c r="C44" s="104" t="s">
        <v>91</v>
      </c>
      <c r="D44" s="101">
        <f t="shared" si="7"/>
        <v>34563012.724019989</v>
      </c>
      <c r="E44" s="159">
        <v>3.8999999999999998E-3</v>
      </c>
      <c r="F44" s="102">
        <f t="shared" si="8"/>
        <v>134795.74962367796</v>
      </c>
    </row>
    <row r="45" spans="1:6" x14ac:dyDescent="0.25">
      <c r="A45" s="86" t="s">
        <v>95</v>
      </c>
      <c r="B45" s="101"/>
      <c r="C45" s="104" t="s">
        <v>92</v>
      </c>
      <c r="D45" s="101">
        <f t="shared" si="7"/>
        <v>157260.84816394193</v>
      </c>
      <c r="E45" s="159">
        <v>1.4837</v>
      </c>
      <c r="F45" s="102">
        <f t="shared" si="8"/>
        <v>233327.92042084064</v>
      </c>
    </row>
    <row r="46" spans="1:6" x14ac:dyDescent="0.25">
      <c r="A46" s="86" t="s">
        <v>96</v>
      </c>
      <c r="B46" s="101"/>
      <c r="C46" s="104" t="s">
        <v>92</v>
      </c>
      <c r="D46" s="101">
        <f t="shared" si="7"/>
        <v>1888.5449751821914</v>
      </c>
      <c r="E46" s="159">
        <v>1.1469</v>
      </c>
      <c r="F46" s="102">
        <f t="shared" si="8"/>
        <v>2165.9722320364554</v>
      </c>
    </row>
    <row r="47" spans="1:6" x14ac:dyDescent="0.25">
      <c r="A47" s="86" t="s">
        <v>97</v>
      </c>
      <c r="B47" s="101"/>
      <c r="C47" s="104" t="s">
        <v>92</v>
      </c>
      <c r="D47" s="101">
        <f t="shared" si="7"/>
        <v>273.18749568630062</v>
      </c>
      <c r="E47" s="159">
        <v>1.7003999999999999</v>
      </c>
      <c r="F47" s="102">
        <f t="shared" si="8"/>
        <v>464.52801766498555</v>
      </c>
    </row>
    <row r="48" spans="1:6" x14ac:dyDescent="0.25">
      <c r="A48" s="86" t="s">
        <v>98</v>
      </c>
      <c r="B48" s="101"/>
      <c r="C48" s="104" t="s">
        <v>91</v>
      </c>
      <c r="D48" s="101">
        <f t="shared" si="7"/>
        <v>566325.80636057607</v>
      </c>
      <c r="E48" s="159">
        <v>3.8999999999999998E-3</v>
      </c>
      <c r="F48" s="102">
        <f t="shared" si="8"/>
        <v>2208.6706448062464</v>
      </c>
    </row>
    <row r="49" spans="1:6" x14ac:dyDescent="0.25">
      <c r="A49" s="127" t="s">
        <v>99</v>
      </c>
      <c r="B49" s="128"/>
      <c r="C49" s="125"/>
      <c r="D49" s="128"/>
      <c r="E49" s="129"/>
      <c r="F49" s="130">
        <f>SUM(F43:F48)</f>
        <v>1029362.5824375381</v>
      </c>
    </row>
    <row r="51" spans="1:6" x14ac:dyDescent="0.25">
      <c r="A51" s="131" t="s">
        <v>108</v>
      </c>
      <c r="B51" s="132"/>
      <c r="C51" s="138" t="s">
        <v>105</v>
      </c>
      <c r="D51" s="134"/>
      <c r="E51" s="135"/>
      <c r="F51" s="132"/>
    </row>
    <row r="52" spans="1:6" x14ac:dyDescent="0.25">
      <c r="A52" s="125" t="s">
        <v>103</v>
      </c>
      <c r="B52" s="136"/>
      <c r="C52" s="139" t="s">
        <v>106</v>
      </c>
      <c r="D52" s="433">
        <v>2017</v>
      </c>
      <c r="E52" s="434"/>
      <c r="F52" s="436"/>
    </row>
    <row r="53" spans="1:6" x14ac:dyDescent="0.25">
      <c r="A53" s="86" t="s">
        <v>93</v>
      </c>
      <c r="B53" s="101"/>
      <c r="C53" s="104" t="s">
        <v>91</v>
      </c>
      <c r="D53" s="101">
        <f t="shared" ref="D53:D58" si="9">D13+D23</f>
        <v>160097497.92646629</v>
      </c>
      <c r="E53" s="159">
        <v>3.5999999999999999E-3</v>
      </c>
      <c r="F53" s="102">
        <f t="shared" ref="F53:F58" si="10">D53*E53</f>
        <v>576350.99253527867</v>
      </c>
    </row>
    <row r="54" spans="1:6" x14ac:dyDescent="0.25">
      <c r="A54" s="86" t="s">
        <v>94</v>
      </c>
      <c r="B54" s="101"/>
      <c r="C54" s="147" t="s">
        <v>91</v>
      </c>
      <c r="D54" s="101">
        <f t="shared" si="9"/>
        <v>34563012.724019989</v>
      </c>
      <c r="E54" s="159">
        <v>3.5999999999999999E-3</v>
      </c>
      <c r="F54" s="102">
        <f t="shared" si="10"/>
        <v>124426.84580647196</v>
      </c>
    </row>
    <row r="55" spans="1:6" x14ac:dyDescent="0.25">
      <c r="A55" s="86" t="s">
        <v>95</v>
      </c>
      <c r="B55" s="101"/>
      <c r="C55" s="147" t="s">
        <v>91</v>
      </c>
      <c r="D55" s="101">
        <f t="shared" si="9"/>
        <v>59784860.954843529</v>
      </c>
      <c r="E55" s="159">
        <v>3.5999999999999999E-3</v>
      </c>
      <c r="F55" s="102">
        <f t="shared" si="10"/>
        <v>215225.49943743669</v>
      </c>
    </row>
    <row r="56" spans="1:6" x14ac:dyDescent="0.25">
      <c r="A56" s="86" t="s">
        <v>96</v>
      </c>
      <c r="B56" s="101"/>
      <c r="C56" s="104" t="s">
        <v>91</v>
      </c>
      <c r="D56" s="101">
        <f t="shared" si="9"/>
        <v>715028.04946338257</v>
      </c>
      <c r="E56" s="159">
        <v>3.5999999999999999E-3</v>
      </c>
      <c r="F56" s="102">
        <f t="shared" si="10"/>
        <v>2574.100978068177</v>
      </c>
    </row>
    <row r="57" spans="1:6" x14ac:dyDescent="0.25">
      <c r="A57" s="86" t="s">
        <v>97</v>
      </c>
      <c r="B57" s="101"/>
      <c r="C57" s="147" t="s">
        <v>91</v>
      </c>
      <c r="D57" s="101">
        <f t="shared" si="9"/>
        <v>104985.71454282009</v>
      </c>
      <c r="E57" s="159">
        <v>3.5999999999999999E-3</v>
      </c>
      <c r="F57" s="102">
        <f t="shared" si="10"/>
        <v>377.9485723541523</v>
      </c>
    </row>
    <row r="58" spans="1:6" x14ac:dyDescent="0.25">
      <c r="A58" s="86" t="s">
        <v>98</v>
      </c>
      <c r="B58" s="101"/>
      <c r="C58" s="147" t="s">
        <v>91</v>
      </c>
      <c r="D58" s="101">
        <f t="shared" si="9"/>
        <v>566325.80636057607</v>
      </c>
      <c r="E58" s="159">
        <v>3.5999999999999999E-3</v>
      </c>
      <c r="F58" s="102">
        <f t="shared" si="10"/>
        <v>2038.7729028980739</v>
      </c>
    </row>
    <row r="59" spans="1:6" x14ac:dyDescent="0.25">
      <c r="A59" s="87" t="s">
        <v>99</v>
      </c>
      <c r="B59" s="98"/>
      <c r="C59" s="88"/>
      <c r="D59" s="98">
        <f>SUM(D53:D58)</f>
        <v>255831711.17569658</v>
      </c>
      <c r="E59" s="103"/>
      <c r="F59" s="105">
        <f>SUM(F53:F58)</f>
        <v>920994.16023250774</v>
      </c>
    </row>
    <row r="61" spans="1:6" x14ac:dyDescent="0.25">
      <c r="A61" s="131" t="s">
        <v>109</v>
      </c>
      <c r="B61" s="132"/>
      <c r="C61" s="138" t="s">
        <v>105</v>
      </c>
      <c r="D61" s="134"/>
      <c r="E61" s="135"/>
      <c r="F61" s="132"/>
    </row>
    <row r="62" spans="1:6" x14ac:dyDescent="0.25">
      <c r="A62" s="125" t="s">
        <v>103</v>
      </c>
      <c r="B62" s="136"/>
      <c r="C62" s="139" t="s">
        <v>106</v>
      </c>
      <c r="D62" s="437">
        <v>2017</v>
      </c>
      <c r="E62" s="434"/>
      <c r="F62" s="435"/>
    </row>
    <row r="63" spans="1:6" x14ac:dyDescent="0.25">
      <c r="A63" s="86" t="s">
        <v>93</v>
      </c>
      <c r="B63" s="101"/>
      <c r="C63" s="104" t="s">
        <v>91</v>
      </c>
      <c r="D63" s="101">
        <f t="shared" ref="D63:D68" si="11">D53</f>
        <v>160097497.92646629</v>
      </c>
      <c r="E63" s="159">
        <v>1.2999999999999999E-3</v>
      </c>
      <c r="F63" s="102">
        <f t="shared" ref="F63:F68" si="12">D63*E63</f>
        <v>208126.74730440616</v>
      </c>
    </row>
    <row r="64" spans="1:6" x14ac:dyDescent="0.25">
      <c r="A64" s="86" t="s">
        <v>94</v>
      </c>
      <c r="B64" s="101"/>
      <c r="C64" s="147" t="s">
        <v>91</v>
      </c>
      <c r="D64" s="101">
        <f t="shared" si="11"/>
        <v>34563012.724019989</v>
      </c>
      <c r="E64" s="159">
        <v>1.2999999999999999E-3</v>
      </c>
      <c r="F64" s="102">
        <f t="shared" si="12"/>
        <v>44931.916541225983</v>
      </c>
    </row>
    <row r="65" spans="1:6" x14ac:dyDescent="0.25">
      <c r="A65" s="86" t="s">
        <v>95</v>
      </c>
      <c r="B65" s="101"/>
      <c r="C65" s="147" t="s">
        <v>91</v>
      </c>
      <c r="D65" s="101">
        <f t="shared" si="11"/>
        <v>59784860.954843529</v>
      </c>
      <c r="E65" s="159">
        <v>1.2999999999999999E-3</v>
      </c>
      <c r="F65" s="102">
        <f t="shared" si="12"/>
        <v>77720.319241296587</v>
      </c>
    </row>
    <row r="66" spans="1:6" x14ac:dyDescent="0.25">
      <c r="A66" s="86" t="s">
        <v>96</v>
      </c>
      <c r="B66" s="101"/>
      <c r="C66" s="104" t="s">
        <v>91</v>
      </c>
      <c r="D66" s="101">
        <f t="shared" si="11"/>
        <v>715028.04946338257</v>
      </c>
      <c r="E66" s="159">
        <v>1.2999999999999999E-3</v>
      </c>
      <c r="F66" s="102">
        <f t="shared" si="12"/>
        <v>929.53646430239735</v>
      </c>
    </row>
    <row r="67" spans="1:6" x14ac:dyDescent="0.25">
      <c r="A67" s="86" t="s">
        <v>97</v>
      </c>
      <c r="B67" s="101"/>
      <c r="C67" s="147" t="s">
        <v>91</v>
      </c>
      <c r="D67" s="101">
        <f t="shared" si="11"/>
        <v>104985.71454282009</v>
      </c>
      <c r="E67" s="159">
        <v>1.2999999999999999E-3</v>
      </c>
      <c r="F67" s="102">
        <f t="shared" si="12"/>
        <v>136.48142890566612</v>
      </c>
    </row>
    <row r="68" spans="1:6" x14ac:dyDescent="0.25">
      <c r="A68" s="86" t="s">
        <v>98</v>
      </c>
      <c r="B68" s="101"/>
      <c r="C68" s="147" t="s">
        <v>91</v>
      </c>
      <c r="D68" s="101">
        <f t="shared" si="11"/>
        <v>566325.80636057607</v>
      </c>
      <c r="E68" s="159">
        <v>1.2999999999999999E-3</v>
      </c>
      <c r="F68" s="102">
        <f t="shared" si="12"/>
        <v>736.2235482687488</v>
      </c>
    </row>
    <row r="69" spans="1:6" x14ac:dyDescent="0.25">
      <c r="A69" s="127" t="s">
        <v>99</v>
      </c>
      <c r="B69" s="128"/>
      <c r="C69" s="125"/>
      <c r="D69" s="128">
        <f>SUM(D63:D68)</f>
        <v>255831711.17569658</v>
      </c>
      <c r="E69" s="129"/>
      <c r="F69" s="130">
        <f>SUM(F63:F68)</f>
        <v>332581.22452840552</v>
      </c>
    </row>
    <row r="71" spans="1:6" x14ac:dyDescent="0.25">
      <c r="A71" s="131" t="s">
        <v>171</v>
      </c>
      <c r="B71" s="132"/>
      <c r="C71" s="138" t="s">
        <v>105</v>
      </c>
      <c r="D71" s="134"/>
      <c r="E71" s="135"/>
      <c r="F71" s="132"/>
    </row>
    <row r="72" spans="1:6" x14ac:dyDescent="0.25">
      <c r="A72" s="125" t="s">
        <v>103</v>
      </c>
      <c r="B72" s="203"/>
      <c r="C72" s="139" t="s">
        <v>106</v>
      </c>
      <c r="D72" s="437">
        <v>2017</v>
      </c>
      <c r="E72" s="434"/>
      <c r="F72" s="435"/>
    </row>
    <row r="73" spans="1:6" x14ac:dyDescent="0.25">
      <c r="A73" s="86" t="s">
        <v>93</v>
      </c>
      <c r="B73" s="101"/>
      <c r="C73" s="104" t="s">
        <v>91</v>
      </c>
      <c r="D73" s="101">
        <f t="shared" ref="D73:D78" si="13">D63</f>
        <v>160097497.92646629</v>
      </c>
      <c r="E73" s="159">
        <v>1.1000000000000001E-3</v>
      </c>
      <c r="F73" s="102">
        <f t="shared" ref="F73:F78" si="14">D73*E73</f>
        <v>176107.24771911293</v>
      </c>
    </row>
    <row r="74" spans="1:6" x14ac:dyDescent="0.25">
      <c r="A74" s="86" t="s">
        <v>94</v>
      </c>
      <c r="B74" s="101"/>
      <c r="C74" s="104" t="s">
        <v>91</v>
      </c>
      <c r="D74" s="101">
        <f t="shared" si="13"/>
        <v>34563012.724019989</v>
      </c>
      <c r="E74" s="159">
        <v>1.1000000000000001E-3</v>
      </c>
      <c r="F74" s="102">
        <f t="shared" si="14"/>
        <v>38019.313996421988</v>
      </c>
    </row>
    <row r="75" spans="1:6" x14ac:dyDescent="0.25">
      <c r="A75" s="86" t="s">
        <v>95</v>
      </c>
      <c r="B75" s="101"/>
      <c r="C75" s="104" t="s">
        <v>91</v>
      </c>
      <c r="D75" s="101">
        <f t="shared" si="13"/>
        <v>59784860.954843529</v>
      </c>
      <c r="E75" s="159">
        <v>1.1000000000000001E-3</v>
      </c>
      <c r="F75" s="102">
        <f t="shared" si="14"/>
        <v>65763.34705032788</v>
      </c>
    </row>
    <row r="76" spans="1:6" x14ac:dyDescent="0.25">
      <c r="A76" s="86" t="s">
        <v>96</v>
      </c>
      <c r="B76" s="101"/>
      <c r="C76" s="104" t="s">
        <v>91</v>
      </c>
      <c r="D76" s="101">
        <f t="shared" si="13"/>
        <v>715028.04946338257</v>
      </c>
      <c r="E76" s="159">
        <v>1.1000000000000001E-3</v>
      </c>
      <c r="F76" s="102">
        <f t="shared" si="14"/>
        <v>786.53085440972086</v>
      </c>
    </row>
    <row r="77" spans="1:6" x14ac:dyDescent="0.25">
      <c r="A77" s="86" t="s">
        <v>97</v>
      </c>
      <c r="B77" s="101"/>
      <c r="C77" s="104" t="s">
        <v>91</v>
      </c>
      <c r="D77" s="101">
        <f t="shared" si="13"/>
        <v>104985.71454282009</v>
      </c>
      <c r="E77" s="159">
        <v>1.1000000000000001E-3</v>
      </c>
      <c r="F77" s="102">
        <f t="shared" si="14"/>
        <v>115.48428599710211</v>
      </c>
    </row>
    <row r="78" spans="1:6" x14ac:dyDescent="0.25">
      <c r="A78" s="86" t="s">
        <v>98</v>
      </c>
      <c r="B78" s="101"/>
      <c r="C78" s="104" t="s">
        <v>91</v>
      </c>
      <c r="D78" s="101">
        <f t="shared" si="13"/>
        <v>566325.80636057607</v>
      </c>
      <c r="E78" s="159">
        <v>1.2999999999999999E-3</v>
      </c>
      <c r="F78" s="102">
        <f t="shared" si="14"/>
        <v>736.2235482687488</v>
      </c>
    </row>
    <row r="79" spans="1:6" x14ac:dyDescent="0.25">
      <c r="A79" s="127" t="s">
        <v>99</v>
      </c>
      <c r="B79" s="128"/>
      <c r="C79" s="125"/>
      <c r="D79" s="128">
        <f>SUM(D73:D78)</f>
        <v>255831711.17569658</v>
      </c>
      <c r="E79" s="129"/>
      <c r="F79" s="130">
        <f>SUM(F73:F78)</f>
        <v>281528.14745453838</v>
      </c>
    </row>
    <row r="81" spans="1:6" x14ac:dyDescent="0.25">
      <c r="A81" s="131" t="s">
        <v>122</v>
      </c>
      <c r="B81" s="132"/>
      <c r="C81" s="138" t="s">
        <v>105</v>
      </c>
      <c r="D81" s="134"/>
      <c r="E81" s="135"/>
      <c r="F81" s="132"/>
    </row>
    <row r="82" spans="1:6" x14ac:dyDescent="0.25">
      <c r="A82" s="125" t="s">
        <v>103</v>
      </c>
      <c r="B82" s="136"/>
      <c r="C82" s="139" t="s">
        <v>123</v>
      </c>
      <c r="D82" s="437">
        <v>2017</v>
      </c>
      <c r="E82" s="434"/>
      <c r="F82" s="435"/>
    </row>
    <row r="83" spans="1:6" x14ac:dyDescent="0.25">
      <c r="A83" s="86" t="s">
        <v>93</v>
      </c>
      <c r="B83" s="101"/>
      <c r="C83" s="104" t="s">
        <v>91</v>
      </c>
      <c r="D83" s="145">
        <f>B2</f>
        <v>149932101.44827333</v>
      </c>
      <c r="E83" s="159">
        <v>2.8E-3</v>
      </c>
      <c r="F83" s="146">
        <f t="shared" ref="F83:F88" si="15">D83*E83</f>
        <v>419809.88405516534</v>
      </c>
    </row>
    <row r="84" spans="1:6" x14ac:dyDescent="0.25">
      <c r="A84" s="86" t="s">
        <v>94</v>
      </c>
      <c r="B84" s="101"/>
      <c r="C84" s="147" t="s">
        <v>91</v>
      </c>
      <c r="D84" s="145">
        <f>B3</f>
        <v>32368432.968739454</v>
      </c>
      <c r="E84" s="159">
        <v>2.8E-3</v>
      </c>
      <c r="F84" s="146">
        <f t="shared" si="15"/>
        <v>90631.612312470475</v>
      </c>
    </row>
    <row r="85" spans="1:6" x14ac:dyDescent="0.25">
      <c r="A85" s="86" t="s">
        <v>95</v>
      </c>
      <c r="B85" s="101"/>
      <c r="C85" s="104" t="s">
        <v>92</v>
      </c>
      <c r="D85" s="145">
        <f>C4</f>
        <v>157260.84816394193</v>
      </c>
      <c r="E85" s="159">
        <v>0.99119999999999997</v>
      </c>
      <c r="F85" s="146">
        <f t="shared" si="15"/>
        <v>155876.95270009924</v>
      </c>
    </row>
    <row r="86" spans="1:6" x14ac:dyDescent="0.25">
      <c r="A86" s="86" t="s">
        <v>96</v>
      </c>
      <c r="B86" s="101"/>
      <c r="C86" s="147" t="s">
        <v>92</v>
      </c>
      <c r="D86" s="145">
        <f>C5</f>
        <v>1888.5449751821914</v>
      </c>
      <c r="E86" s="159">
        <v>0.98699999999999999</v>
      </c>
      <c r="F86" s="146">
        <f t="shared" si="15"/>
        <v>1863.993890504823</v>
      </c>
    </row>
    <row r="87" spans="1:6" x14ac:dyDescent="0.25">
      <c r="A87" s="86" t="s">
        <v>97</v>
      </c>
      <c r="B87" s="101"/>
      <c r="C87" s="104" t="s">
        <v>92</v>
      </c>
      <c r="D87" s="145">
        <f>C6</f>
        <v>273.18749568630062</v>
      </c>
      <c r="E87" s="159">
        <v>1.0026999999999999</v>
      </c>
      <c r="F87" s="146">
        <f t="shared" si="15"/>
        <v>273.92510192465363</v>
      </c>
    </row>
    <row r="88" spans="1:6" x14ac:dyDescent="0.25">
      <c r="A88" s="86" t="s">
        <v>98</v>
      </c>
      <c r="B88" s="101"/>
      <c r="C88" s="147" t="s">
        <v>91</v>
      </c>
      <c r="D88" s="145">
        <f>B7</f>
        <v>530366.92860140104</v>
      </c>
      <c r="E88" s="159">
        <v>2.8E-3</v>
      </c>
      <c r="F88" s="146">
        <f t="shared" si="15"/>
        <v>1485.0274000839229</v>
      </c>
    </row>
    <row r="89" spans="1:6" x14ac:dyDescent="0.25">
      <c r="A89" s="127" t="s">
        <v>99</v>
      </c>
      <c r="B89" s="128"/>
      <c r="C89" s="125"/>
      <c r="D89" s="128">
        <f>SUM(D83:D88)</f>
        <v>182990323.926249</v>
      </c>
      <c r="E89" s="129"/>
      <c r="F89" s="130">
        <f>SUM(F83:F88)</f>
        <v>669941.39546024846</v>
      </c>
    </row>
    <row r="90" spans="1:6" ht="13.8" thickBot="1" x14ac:dyDescent="0.3">
      <c r="B90" s="151"/>
      <c r="C90" s="142"/>
      <c r="D90" s="141"/>
      <c r="E90" s="143"/>
      <c r="F90" s="144"/>
    </row>
    <row r="91" spans="1:6" x14ac:dyDescent="0.25">
      <c r="A91" s="134" t="s">
        <v>124</v>
      </c>
      <c r="B91" s="152">
        <v>2017</v>
      </c>
      <c r="C91" s="327" t="s">
        <v>336</v>
      </c>
      <c r="D91" s="328"/>
      <c r="E91" s="328"/>
      <c r="F91" s="329"/>
    </row>
    <row r="92" spans="1:6" x14ac:dyDescent="0.25">
      <c r="A92" s="201" t="s">
        <v>172</v>
      </c>
      <c r="B92" s="202">
        <f>F79</f>
        <v>281528.14745453838</v>
      </c>
      <c r="C92" s="330"/>
      <c r="D92" s="331"/>
      <c r="E92" s="331"/>
      <c r="F92" s="332"/>
    </row>
    <row r="93" spans="1:6" x14ac:dyDescent="0.25">
      <c r="A93" s="120" t="s">
        <v>119</v>
      </c>
      <c r="B93" s="149">
        <f>F96</f>
        <v>160989.36000000002</v>
      </c>
      <c r="C93" s="185"/>
      <c r="D93" s="326" t="s">
        <v>120</v>
      </c>
      <c r="E93" s="326" t="s">
        <v>121</v>
      </c>
      <c r="F93" s="187"/>
    </row>
    <row r="94" spans="1:6" x14ac:dyDescent="0.25">
      <c r="A94" s="96" t="s">
        <v>110</v>
      </c>
      <c r="B94" s="97">
        <f>F19+F29</f>
        <v>28362629.599538829</v>
      </c>
      <c r="C94" s="324" t="s">
        <v>58</v>
      </c>
      <c r="D94" s="189">
        <f>Summary!M14</f>
        <v>15930</v>
      </c>
      <c r="E94" s="186">
        <v>0.79</v>
      </c>
      <c r="F94" s="194">
        <f>D94*E94*12</f>
        <v>151016.40000000002</v>
      </c>
    </row>
    <row r="95" spans="1:6" x14ac:dyDescent="0.25">
      <c r="A95" s="96" t="s">
        <v>111</v>
      </c>
      <c r="B95" s="95">
        <f>F59</f>
        <v>920994.16023250774</v>
      </c>
      <c r="C95" s="324" t="s">
        <v>59</v>
      </c>
      <c r="D95" s="189">
        <f>Summary!M18</f>
        <v>1052</v>
      </c>
      <c r="E95" s="186">
        <v>0.79</v>
      </c>
      <c r="F95" s="194">
        <f>D95*E95*12</f>
        <v>9972.9600000000009</v>
      </c>
    </row>
    <row r="96" spans="1:6" x14ac:dyDescent="0.25">
      <c r="A96" s="96" t="s">
        <v>112</v>
      </c>
      <c r="B96" s="95">
        <f>F39</f>
        <v>1429648.7364392099</v>
      </c>
      <c r="C96" s="185"/>
      <c r="D96" s="186"/>
      <c r="E96" s="186"/>
      <c r="F96" s="325">
        <f>SUM(F94:F95)</f>
        <v>160989.36000000002</v>
      </c>
    </row>
    <row r="97" spans="1:12" ht="13.8" thickBot="1" x14ac:dyDescent="0.3">
      <c r="A97" s="96" t="s">
        <v>113</v>
      </c>
      <c r="B97" s="95">
        <f>F49</f>
        <v>1029362.5824375381</v>
      </c>
      <c r="C97" s="191"/>
      <c r="D97" s="192"/>
      <c r="E97" s="192"/>
      <c r="F97" s="193"/>
      <c r="L97" s="20"/>
    </row>
    <row r="98" spans="1:12" x14ac:dyDescent="0.25">
      <c r="A98" s="96" t="s">
        <v>114</v>
      </c>
      <c r="B98" s="95">
        <f>F69</f>
        <v>332581.22452840552</v>
      </c>
    </row>
    <row r="99" spans="1:12" x14ac:dyDescent="0.25">
      <c r="A99" s="96" t="s">
        <v>115</v>
      </c>
      <c r="B99" s="148">
        <f>F89</f>
        <v>669941.39546024846</v>
      </c>
      <c r="E99" s="20"/>
      <c r="F99" s="20"/>
      <c r="G99" s="20"/>
    </row>
    <row r="100" spans="1:12" x14ac:dyDescent="0.25">
      <c r="A100" s="122" t="s">
        <v>99</v>
      </c>
      <c r="B100" s="128">
        <f>SUM(B92:B99)</f>
        <v>33187675.206091274</v>
      </c>
      <c r="E100" s="20"/>
      <c r="F100" s="20"/>
      <c r="G100" s="20"/>
    </row>
  </sheetData>
  <mergeCells count="12">
    <mergeCell ref="C21:C22"/>
    <mergeCell ref="D22:F22"/>
    <mergeCell ref="D82:F82"/>
    <mergeCell ref="D62:F62"/>
    <mergeCell ref="B11:B12"/>
    <mergeCell ref="C11:C12"/>
    <mergeCell ref="D12:F12"/>
    <mergeCell ref="D32:F32"/>
    <mergeCell ref="D42:F42"/>
    <mergeCell ref="D52:F52"/>
    <mergeCell ref="B21:B22"/>
    <mergeCell ref="D72:F72"/>
  </mergeCells>
  <phoneticPr fontId="8" type="noConversion"/>
  <pageMargins left="0.70866141732283472" right="0.70866141732283472" top="0.74803149606299213" bottom="0.74803149606299213" header="0.31496062992125984" footer="0.31496062992125984"/>
  <pageSetup fitToHeight="2" orientation="portrait" r:id="rId1"/>
  <headerFooter alignWithMargins="0">
    <oddFooter>&amp;L&amp;A&amp;R&amp;P</oddFooter>
  </headerFooter>
  <rowBreaks count="1" manualBreakCount="1">
    <brk id="4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"/>
  <sheetViews>
    <sheetView zoomScaleNormal="100" workbookViewId="0">
      <selection sqref="A1:M67"/>
    </sheetView>
  </sheetViews>
  <sheetFormatPr defaultRowHeight="13.2" x14ac:dyDescent="0.25"/>
  <cols>
    <col min="1" max="1" width="38" customWidth="1"/>
    <col min="2" max="2" width="12.6640625" style="1" customWidth="1"/>
    <col min="3" max="3" width="13" style="1" customWidth="1"/>
    <col min="4" max="4" width="12.6640625" style="1" bestFit="1" customWidth="1"/>
    <col min="5" max="11" width="12.88671875" style="1" customWidth="1"/>
    <col min="12" max="12" width="13.109375" style="24" customWidth="1"/>
    <col min="13" max="13" width="13.109375" style="1" customWidth="1"/>
    <col min="14" max="17" width="13.109375" customWidth="1"/>
    <col min="19" max="19" width="14.88671875" customWidth="1"/>
    <col min="20" max="20" width="11.33203125" bestFit="1" customWidth="1"/>
    <col min="21" max="21" width="21.33203125" customWidth="1"/>
    <col min="22" max="35" width="15.6640625" customWidth="1"/>
  </cols>
  <sheetData>
    <row r="1" spans="1:28" ht="15.6" x14ac:dyDescent="0.3">
      <c r="A1" s="415" t="s">
        <v>338</v>
      </c>
      <c r="B1" s="415"/>
      <c r="C1" s="415"/>
    </row>
    <row r="3" spans="1:28" ht="26.4" x14ac:dyDescent="0.25">
      <c r="B3" s="44" t="s">
        <v>49</v>
      </c>
      <c r="C3" s="44" t="s">
        <v>50</v>
      </c>
      <c r="D3" s="44" t="s">
        <v>57</v>
      </c>
      <c r="E3" s="44" t="s">
        <v>64</v>
      </c>
      <c r="F3" s="44" t="s">
        <v>70</v>
      </c>
      <c r="G3" s="44" t="s">
        <v>71</v>
      </c>
      <c r="H3" s="44" t="s">
        <v>125</v>
      </c>
      <c r="I3" s="44" t="s">
        <v>126</v>
      </c>
      <c r="J3" s="44" t="s">
        <v>127</v>
      </c>
      <c r="K3" s="44" t="s">
        <v>128</v>
      </c>
      <c r="L3" s="58" t="s">
        <v>129</v>
      </c>
      <c r="M3" s="44" t="s">
        <v>130</v>
      </c>
      <c r="N3" s="58"/>
      <c r="O3" s="44"/>
      <c r="P3" s="58"/>
      <c r="Q3" s="44"/>
      <c r="S3" s="44"/>
    </row>
    <row r="4" spans="1:28" x14ac:dyDescent="0.25">
      <c r="A4" s="20" t="s">
        <v>53</v>
      </c>
      <c r="B4" s="169">
        <f>'[4]Purchased Power Model '!B200</f>
        <v>234398898.69999999</v>
      </c>
      <c r="C4" s="169">
        <f>'[4]Purchased Power Model '!B201</f>
        <v>241154636.09999999</v>
      </c>
      <c r="D4" s="169">
        <f>'[4]Purchased Power Model '!B202</f>
        <v>245623027.80000001</v>
      </c>
      <c r="E4" s="169">
        <f>'[4]Purchased Power Model '!B203</f>
        <v>247239189.20000002</v>
      </c>
      <c r="F4" s="169">
        <f>'[4]Purchased Power Model '!B204</f>
        <v>250239378.79999998</v>
      </c>
      <c r="G4" s="169">
        <f>'[4]Purchased Power Model '!B205</f>
        <v>246758167.20000002</v>
      </c>
      <c r="H4" s="169">
        <f>'[4]Purchased Power Model '!B206</f>
        <v>245129838.40000004</v>
      </c>
      <c r="I4" s="169">
        <f>'[4]Purchased Power Model '!B207</f>
        <v>245129838.10000002</v>
      </c>
      <c r="J4" s="169">
        <f>'[4]Purchased Power Model '!B208</f>
        <v>253254985</v>
      </c>
      <c r="K4" s="60">
        <f>'[4]Purchased Power Model '!B209</f>
        <v>255186387</v>
      </c>
      <c r="L4" s="59"/>
    </row>
    <row r="5" spans="1:28" x14ac:dyDescent="0.25">
      <c r="A5" s="20" t="s">
        <v>152</v>
      </c>
      <c r="B5" s="169">
        <f>'[4]Purchased Power Model '!H200</f>
        <v>236716533.66990495</v>
      </c>
      <c r="C5" s="169">
        <f>'[4]Purchased Power Model '!H201</f>
        <v>243492052.03077695</v>
      </c>
      <c r="D5" s="169">
        <f>'[4]Purchased Power Model '!H202</f>
        <v>242687773.94966653</v>
      </c>
      <c r="E5" s="169">
        <f>'[4]Purchased Power Model '!H203</f>
        <v>242876077.28270113</v>
      </c>
      <c r="F5" s="169">
        <f>'[4]Purchased Power Model '!H204</f>
        <v>245540747.45753264</v>
      </c>
      <c r="G5" s="169">
        <f>'[4]Purchased Power Model '!H205</f>
        <v>248011801.80632263</v>
      </c>
      <c r="H5" s="60">
        <f>'[4]Purchased Power Model '!H206</f>
        <v>245994875.49027348</v>
      </c>
      <c r="I5" s="169">
        <f>'[4]Purchased Power Model '!H207</f>
        <v>249473504.49720371</v>
      </c>
      <c r="J5" s="169">
        <f>'[4]Purchased Power Model '!H208</f>
        <v>254225266.15011215</v>
      </c>
      <c r="K5" s="169">
        <f>'[4]Purchased Power Model '!H209</f>
        <v>255095713.96550572</v>
      </c>
      <c r="L5" s="28">
        <f>'[4]Purchased Power Model '!H210</f>
        <v>258773135.43857595</v>
      </c>
      <c r="M5" s="209">
        <f>'[4]Purchased Power Model '!H211</f>
        <v>261762895.03097278</v>
      </c>
      <c r="N5" s="209"/>
      <c r="O5" s="209"/>
      <c r="P5" s="209"/>
      <c r="Q5" s="209"/>
    </row>
    <row r="6" spans="1:28" x14ac:dyDescent="0.25">
      <c r="A6" s="20" t="s">
        <v>8</v>
      </c>
      <c r="B6" s="43">
        <f t="shared" ref="B6:K6" si="0">(B5-B4)/B4</f>
        <v>9.887567658204869E-3</v>
      </c>
      <c r="C6" s="43">
        <f t="shared" si="0"/>
        <v>9.692602093735795E-3</v>
      </c>
      <c r="D6" s="43">
        <f t="shared" si="0"/>
        <v>-1.1950238854328958E-2</v>
      </c>
      <c r="E6" s="43">
        <f t="shared" si="0"/>
        <v>-1.7647331442142113E-2</v>
      </c>
      <c r="F6" s="43">
        <f t="shared" si="0"/>
        <v>-1.877654654115269E-2</v>
      </c>
      <c r="G6" s="43">
        <f t="shared" si="0"/>
        <v>5.0804178866612048E-3</v>
      </c>
      <c r="H6" s="43">
        <f t="shared" si="0"/>
        <v>3.5288934873031752E-3</v>
      </c>
      <c r="I6" s="43">
        <f t="shared" si="0"/>
        <v>1.7719859935744327E-2</v>
      </c>
      <c r="J6" s="43">
        <f t="shared" si="0"/>
        <v>3.8312420587186154E-3</v>
      </c>
      <c r="K6" s="43">
        <f t="shared" si="0"/>
        <v>-3.5532081299572148E-4</v>
      </c>
      <c r="L6" s="61"/>
      <c r="M6" s="61"/>
      <c r="N6" s="61"/>
      <c r="O6" s="61"/>
      <c r="P6" s="61"/>
      <c r="Q6" s="61"/>
      <c r="R6" s="293"/>
      <c r="AA6" s="294"/>
      <c r="AB6" s="294"/>
    </row>
    <row r="7" spans="1:28" x14ac:dyDescent="0.25">
      <c r="A7" s="20" t="s">
        <v>154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113">
        <f>'[4]Rate Class Energy Model'!O97*'[4]Rate Class Energy Model'!F26</f>
        <v>-2597557.4913087999</v>
      </c>
      <c r="M7" s="113">
        <f>'[4]Rate Class Energy Model'!O98*'[4]Rate Class Energy Model'!$F$26</f>
        <v>-4893853.959652205</v>
      </c>
      <c r="N7" s="113"/>
      <c r="O7" s="113"/>
      <c r="P7" s="113"/>
      <c r="Q7" s="113"/>
      <c r="AA7" s="294"/>
      <c r="AB7" s="294"/>
    </row>
    <row r="8" spans="1:28" x14ac:dyDescent="0.25">
      <c r="A8" s="20" t="s">
        <v>153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28">
        <f>L5+L7</f>
        <v>256175577.94726714</v>
      </c>
      <c r="M8" s="28">
        <f>M5+M7</f>
        <v>256869041.07132056</v>
      </c>
      <c r="N8" s="28"/>
      <c r="O8" s="28"/>
      <c r="P8" s="28"/>
      <c r="Q8" s="28"/>
      <c r="AA8" s="294"/>
      <c r="AB8" s="294"/>
    </row>
    <row r="9" spans="1:28" x14ac:dyDescent="0.25">
      <c r="A9" s="20"/>
      <c r="B9" s="40"/>
      <c r="C9" s="40"/>
      <c r="D9" s="40"/>
      <c r="E9" s="40"/>
      <c r="F9" s="40"/>
      <c r="G9" s="40"/>
      <c r="H9" s="40"/>
      <c r="I9" s="40"/>
      <c r="J9" s="40"/>
      <c r="K9" s="40"/>
      <c r="L9" s="181"/>
      <c r="M9" s="181"/>
      <c r="N9" s="181"/>
      <c r="O9" s="181"/>
      <c r="P9" s="181"/>
      <c r="Q9" s="181"/>
      <c r="AA9" s="294"/>
      <c r="AB9" s="294"/>
    </row>
    <row r="10" spans="1:28" x14ac:dyDescent="0.25">
      <c r="A10" s="20" t="s">
        <v>55</v>
      </c>
      <c r="B10" s="169">
        <f>'[4]Rate Class Energy Model'!G8</f>
        <v>219381471.09999999</v>
      </c>
      <c r="C10" s="169">
        <f>'[4]Rate Class Energy Model'!G9</f>
        <v>219752747.40000001</v>
      </c>
      <c r="D10" s="169">
        <f>'[4]Rate Class Energy Model'!G10</f>
        <v>226836185.95000002</v>
      </c>
      <c r="E10" s="169">
        <f>'[4]Rate Class Energy Model'!G11</f>
        <v>229135055.51199999</v>
      </c>
      <c r="F10" s="169">
        <f>'[4]Rate Class Energy Model'!G12</f>
        <v>231850248.90999997</v>
      </c>
      <c r="G10" s="169">
        <f>'[4]Rate Class Energy Model'!G13</f>
        <v>233577129.06799996</v>
      </c>
      <c r="H10" s="169">
        <f>'[4]Rate Class Energy Model'!G14</f>
        <v>229785721.25834411</v>
      </c>
      <c r="I10" s="169">
        <f>'[4]Rate Class Energy Model'!G15</f>
        <v>232518309.85753286</v>
      </c>
      <c r="J10" s="169">
        <f>'[4]Rate Class Energy Model'!G16</f>
        <v>237858386.56148806</v>
      </c>
      <c r="K10" s="169">
        <f>'[4]Rate Class Energy Model'!G17</f>
        <v>242165066.05775237</v>
      </c>
      <c r="L10" s="60">
        <f>'[4]Rate Class Energy Model'!O71</f>
        <v>238940858.31243581</v>
      </c>
      <c r="M10" s="169">
        <f>'[4]Rate Class Energy Model'!O72</f>
        <v>239587667.33067667</v>
      </c>
      <c r="N10" s="169"/>
      <c r="O10" s="169"/>
      <c r="P10" s="169"/>
      <c r="Q10" s="169"/>
    </row>
    <row r="11" spans="1:28" x14ac:dyDescent="0.25">
      <c r="A11" s="20"/>
      <c r="B11" s="40"/>
      <c r="C11" s="40"/>
      <c r="E11" s="24"/>
      <c r="F11" s="24"/>
      <c r="G11" s="24"/>
      <c r="H11" s="24"/>
      <c r="I11" s="24"/>
      <c r="J11" s="24"/>
      <c r="K11" s="24"/>
      <c r="L11" s="24">
        <f t="shared" ref="L11:M11" si="1">K10/L10</f>
        <v>1.0134937480684054</v>
      </c>
      <c r="M11" s="24">
        <f t="shared" si="1"/>
        <v>0.99730032423852544</v>
      </c>
      <c r="N11" s="24"/>
      <c r="O11" s="24"/>
      <c r="P11" s="24"/>
      <c r="Q11" s="24"/>
    </row>
    <row r="12" spans="1:28" ht="15.6" x14ac:dyDescent="0.3">
      <c r="A12" s="42" t="s">
        <v>54</v>
      </c>
    </row>
    <row r="13" spans="1:28" x14ac:dyDescent="0.25">
      <c r="A13" s="41" t="str">
        <f>'[4]Rate Class Energy Model'!H3</f>
        <v>Residential</v>
      </c>
      <c r="U13" s="4" t="s">
        <v>13</v>
      </c>
    </row>
    <row r="14" spans="1:28" x14ac:dyDescent="0.25">
      <c r="A14" t="s">
        <v>46</v>
      </c>
      <c r="B14" s="209">
        <f>'[4]Rate Class Customer Model'!B3</f>
        <v>12867</v>
      </c>
      <c r="C14" s="209">
        <f>'[4]Rate Class Customer Model'!B4</f>
        <v>12991</v>
      </c>
      <c r="D14" s="209">
        <f>'[4]Rate Class Customer Model'!B5</f>
        <v>13277</v>
      </c>
      <c r="E14" s="209">
        <f>'[4]Rate Class Customer Model'!B6</f>
        <v>13533</v>
      </c>
      <c r="F14" s="209">
        <f>'[4]Rate Class Customer Model'!B7</f>
        <v>13651</v>
      </c>
      <c r="G14" s="209">
        <f>'[4]Rate Class Customer Model'!B8</f>
        <v>13779</v>
      </c>
      <c r="H14" s="209">
        <f>'[4]Rate Class Customer Model'!B9</f>
        <v>13942.916666666666</v>
      </c>
      <c r="I14" s="209">
        <f>'[4]Rate Class Customer Model'!B10</f>
        <v>14181</v>
      </c>
      <c r="J14" s="209">
        <f>'[4]Rate Class Customer Model'!B11</f>
        <v>14509.166666666666</v>
      </c>
      <c r="K14" s="209">
        <f>'[4]Rate Class Customer Model'!B12</f>
        <v>14861.583333333334</v>
      </c>
      <c r="L14" s="28">
        <f>'[4]Rate Class Customer Model'!B13</f>
        <v>15419</v>
      </c>
      <c r="M14" s="209">
        <f>'[4]Rate Class Customer Model'!B14</f>
        <v>15930</v>
      </c>
      <c r="N14" s="209"/>
      <c r="O14" s="209"/>
      <c r="P14" s="209"/>
      <c r="Q14" s="209"/>
      <c r="U14" s="173">
        <f>AVERAGE(M14:Q14)</f>
        <v>15930</v>
      </c>
    </row>
    <row r="15" spans="1:28" x14ac:dyDescent="0.25">
      <c r="A15" t="s">
        <v>47</v>
      </c>
      <c r="B15" s="209">
        <f>'[4]Rate Class Energy Model'!H8+B58*B56</f>
        <v>150233092.31592038</v>
      </c>
      <c r="C15" s="209">
        <f>'[4]Rate Class Energy Model'!H9+C56*C58</f>
        <v>149616200.24355027</v>
      </c>
      <c r="D15" s="209">
        <f>'[4]Rate Class Energy Model'!H10+D56*D58</f>
        <v>150807967.91560954</v>
      </c>
      <c r="E15" s="209">
        <f>'[4]Rate Class Energy Model'!H11+E56*E58</f>
        <v>151173729.68216282</v>
      </c>
      <c r="F15" s="209">
        <f>'[4]Rate Class Energy Model'!H12+F56*F58</f>
        <v>149156464.98376492</v>
      </c>
      <c r="G15" s="209">
        <f>'[4]Rate Class Energy Model'!H13+G56*G58</f>
        <v>150873412.88607672</v>
      </c>
      <c r="H15" s="209">
        <f>'[4]Rate Class Energy Model'!H14+H56*H58</f>
        <v>145610871.6009787</v>
      </c>
      <c r="I15" s="209">
        <f>'[4]Rate Class Energy Model'!H15+I56*I58</f>
        <v>148570811.09520668</v>
      </c>
      <c r="J15" s="209">
        <f>'[4]Rate Class Energy Model'!H16+J56*J58</f>
        <v>152923211.90943465</v>
      </c>
      <c r="K15" s="209">
        <f>'[4]Rate Class Energy Model'!H17+K56*K58</f>
        <v>151526915.08366263</v>
      </c>
      <c r="L15" s="28">
        <f>'[4]Rate Class Energy Model'!H71+L56*L58</f>
        <v>149674173.61039653</v>
      </c>
      <c r="M15" s="28">
        <f>'[4]Rate Class Energy Model'!H72+M56*M58</f>
        <v>149932101.44827333</v>
      </c>
      <c r="N15" s="28"/>
      <c r="O15" s="28"/>
      <c r="P15" s="28"/>
      <c r="Q15" s="28"/>
      <c r="T15" s="294"/>
      <c r="U15" s="173">
        <f>AVERAGE(M15:Q15)</f>
        <v>149932101.44827333</v>
      </c>
      <c r="V15" s="294"/>
      <c r="W15" s="294"/>
      <c r="X15" s="294"/>
    </row>
    <row r="16" spans="1:28" x14ac:dyDescent="0.25">
      <c r="D16" s="50"/>
      <c r="E16" s="24"/>
      <c r="F16" s="24"/>
      <c r="G16" s="24"/>
      <c r="H16" s="24"/>
      <c r="I16" s="24"/>
      <c r="J16" s="24"/>
      <c r="K16" s="24"/>
      <c r="T16" s="294"/>
      <c r="U16" s="294"/>
      <c r="V16" s="294"/>
      <c r="W16" s="294"/>
      <c r="X16" s="294"/>
    </row>
    <row r="17" spans="1:24" x14ac:dyDescent="0.25">
      <c r="A17" s="41" t="str">
        <f>'[4]Rate Class Energy Model'!I3</f>
        <v>GS&lt;50</v>
      </c>
      <c r="T17" s="294"/>
      <c r="U17" s="294"/>
      <c r="V17" s="294"/>
      <c r="W17" s="294"/>
      <c r="X17" s="294"/>
    </row>
    <row r="18" spans="1:24" x14ac:dyDescent="0.25">
      <c r="A18" t="s">
        <v>46</v>
      </c>
      <c r="B18" s="209">
        <f>'[4]Rate Class Customer Model'!C3</f>
        <v>797</v>
      </c>
      <c r="C18" s="209">
        <f>'[4]Rate Class Customer Model'!C4</f>
        <v>819</v>
      </c>
      <c r="D18" s="209">
        <f>'[4]Rate Class Customer Model'!C5</f>
        <v>836</v>
      </c>
      <c r="E18" s="209">
        <f>'[4]Rate Class Customer Model'!C6</f>
        <v>855</v>
      </c>
      <c r="F18" s="209">
        <f>'[4]Rate Class Customer Model'!C7</f>
        <v>865</v>
      </c>
      <c r="G18" s="209">
        <f>'[4]Rate Class Customer Model'!C8</f>
        <v>896</v>
      </c>
      <c r="H18" s="209">
        <f>'[4]Rate Class Customer Model'!C9</f>
        <v>913.75</v>
      </c>
      <c r="I18" s="209">
        <f>'[4]Rate Class Customer Model'!C10</f>
        <v>949.25</v>
      </c>
      <c r="J18" s="209">
        <f>'[4]Rate Class Customer Model'!C11</f>
        <v>991.25</v>
      </c>
      <c r="K18" s="209">
        <f>'[4]Rate Class Customer Model'!C12</f>
        <v>1000.5833333333334</v>
      </c>
      <c r="L18" s="209">
        <f>'[4]Rate Class Customer Model'!C13</f>
        <v>1026</v>
      </c>
      <c r="M18" s="209">
        <f>'[4]Rate Class Customer Model'!C14</f>
        <v>1052</v>
      </c>
      <c r="N18" s="209"/>
      <c r="O18" s="209"/>
      <c r="P18" s="209"/>
      <c r="Q18" s="209"/>
      <c r="T18" s="294"/>
      <c r="U18" s="173">
        <f>AVERAGE(M18:Q18)</f>
        <v>1052</v>
      </c>
      <c r="V18" s="294"/>
      <c r="W18" s="294"/>
      <c r="X18" s="294"/>
    </row>
    <row r="19" spans="1:24" x14ac:dyDescent="0.25">
      <c r="A19" t="s">
        <v>47</v>
      </c>
      <c r="B19" s="209">
        <f>'[4]Rate Class Energy Model'!I8+B56*B59</f>
        <v>27443720.57335151</v>
      </c>
      <c r="C19" s="209">
        <f>'[4]Rate Class Energy Model'!I9+C59*C56</f>
        <v>28670212.627351865</v>
      </c>
      <c r="D19" s="209">
        <f>'[4]Rate Class Energy Model'!I10+D56*D59</f>
        <v>28589050.645392656</v>
      </c>
      <c r="E19" s="209">
        <f>'[4]Rate Class Energy Model'!I11+E56*E59</f>
        <v>28292210.727234788</v>
      </c>
      <c r="F19" s="209">
        <f>'[4]Rate Class Energy Model'!I12+F56*F59</f>
        <v>29371262.372997314</v>
      </c>
      <c r="G19" s="209">
        <f>'[4]Rate Class Energy Model'!I13+G56*G59</f>
        <v>30721964.274347447</v>
      </c>
      <c r="H19" s="209">
        <f>'[4]Rate Class Energy Model'!I14+H56*H59</f>
        <v>30872636.305821747</v>
      </c>
      <c r="I19" s="209">
        <f>'[4]Rate Class Energy Model'!I15+I56*I59</f>
        <v>30978542.255071979</v>
      </c>
      <c r="J19" s="209">
        <f>'[4]Rate Class Energy Model'!I16+J56*J59</f>
        <v>32143896.404322214</v>
      </c>
      <c r="K19" s="209">
        <f>'[4]Rate Class Energy Model'!I17+K56*K59</f>
        <v>34326840.153572448</v>
      </c>
      <c r="L19" s="209">
        <f>'[4]Rate Class Energy Model'!I71+L56*L59</f>
        <v>33122069.126032144</v>
      </c>
      <c r="M19" s="209">
        <f>'[4]Rate Class Energy Model'!I72+M56*M59</f>
        <v>32368432.968739454</v>
      </c>
      <c r="N19" s="209"/>
      <c r="O19" s="209"/>
      <c r="P19" s="209"/>
      <c r="Q19" s="209"/>
      <c r="T19" s="294"/>
      <c r="U19" s="173">
        <f>AVERAGE(M19:Q19)</f>
        <v>32368432.968739454</v>
      </c>
      <c r="V19" s="294"/>
      <c r="W19" s="294"/>
      <c r="X19" s="294"/>
    </row>
    <row r="20" spans="1:24" x14ac:dyDescent="0.25">
      <c r="D20" s="50"/>
      <c r="E20" s="24"/>
      <c r="F20" s="24"/>
      <c r="G20" s="24"/>
      <c r="H20" s="24"/>
      <c r="I20" s="24"/>
      <c r="J20" s="24"/>
      <c r="K20" s="24"/>
      <c r="P20" s="1"/>
      <c r="T20" s="294"/>
      <c r="U20" s="294"/>
      <c r="V20" s="294"/>
      <c r="W20" s="294"/>
      <c r="X20" s="294"/>
    </row>
    <row r="21" spans="1:24" x14ac:dyDescent="0.25">
      <c r="A21" s="41" t="str">
        <f>'[4]Rate Class Energy Model'!J3</f>
        <v>GS&gt;50</v>
      </c>
      <c r="H21" s="209"/>
      <c r="I21" s="209"/>
      <c r="J21" s="209"/>
      <c r="K21" s="209"/>
      <c r="L21" s="28"/>
      <c r="M21" s="209"/>
      <c r="N21" s="173"/>
      <c r="O21" s="173"/>
      <c r="P21" s="173"/>
      <c r="Q21" s="173"/>
      <c r="T21" s="294"/>
      <c r="U21" s="294"/>
      <c r="V21" s="294"/>
      <c r="W21" s="294"/>
      <c r="X21" s="294"/>
    </row>
    <row r="22" spans="1:24" x14ac:dyDescent="0.25">
      <c r="A22" t="s">
        <v>46</v>
      </c>
      <c r="B22" s="209">
        <f>'[4]Rate Class Customer Model'!D3</f>
        <v>80</v>
      </c>
      <c r="C22" s="209">
        <f>'[4]Rate Class Customer Model'!D4</f>
        <v>71</v>
      </c>
      <c r="D22" s="209">
        <f>'[4]Rate Class Customer Model'!D5</f>
        <v>73</v>
      </c>
      <c r="E22" s="209">
        <f>'[4]Rate Class Customer Model'!D6</f>
        <v>72</v>
      </c>
      <c r="F22" s="209">
        <f>'[4]Rate Class Customer Model'!D7</f>
        <v>68</v>
      </c>
      <c r="G22" s="28">
        <f>'[4]Rate Class Customer Model'!D8</f>
        <v>67</v>
      </c>
      <c r="H22" s="28">
        <f>'[4]Rate Class Customer Model'!D9</f>
        <v>67.916666666666671</v>
      </c>
      <c r="I22" s="28">
        <f>'[4]Rate Class Customer Model'!D10</f>
        <v>67</v>
      </c>
      <c r="J22" s="28">
        <f>'[4]Rate Class Customer Model'!D11</f>
        <v>67.166666666666671</v>
      </c>
      <c r="K22" s="28">
        <f>'[4]Rate Class Customer Model'!D12</f>
        <v>71.5</v>
      </c>
      <c r="L22" s="209">
        <f>'[4]Rate Class Customer Model'!D13</f>
        <v>71.5</v>
      </c>
      <c r="M22" s="209">
        <f>'[4]Rate Class Customer Model'!D14</f>
        <v>71.5</v>
      </c>
      <c r="N22" s="209"/>
      <c r="O22" s="209"/>
      <c r="P22" s="209"/>
      <c r="Q22" s="209"/>
      <c r="T22" s="294"/>
      <c r="U22" s="173">
        <f>AVERAGE(M22:Q22)</f>
        <v>71.5</v>
      </c>
      <c r="V22" s="294"/>
      <c r="W22" s="294"/>
      <c r="X22" s="294"/>
    </row>
    <row r="23" spans="1:24" x14ac:dyDescent="0.25">
      <c r="A23" t="s">
        <v>47</v>
      </c>
      <c r="B23" s="209">
        <f>'[4]Rate Class Energy Model'!J8</f>
        <v>39830915</v>
      </c>
      <c r="C23" s="209">
        <f>'[4]Rate Class Energy Model'!J9</f>
        <v>39320570</v>
      </c>
      <c r="D23" s="209">
        <f>'[4]Rate Class Energy Model'!J10</f>
        <v>45269405.57</v>
      </c>
      <c r="E23" s="209">
        <f>'[4]Rate Class Energy Model'!J11</f>
        <v>47473258.210000001</v>
      </c>
      <c r="F23" s="209">
        <f>'[4]Rate Class Energy Model'!J12</f>
        <v>51128771.11999999</v>
      </c>
      <c r="G23" s="209">
        <f>'[4]Rate Class Energy Model'!J13</f>
        <v>49921685.450000003</v>
      </c>
      <c r="H23" s="209">
        <f>'[4]Rate Class Energy Model'!J14</f>
        <v>51138110</v>
      </c>
      <c r="I23" s="209">
        <f>'[4]Rate Class Energy Model'!J15</f>
        <v>50921722</v>
      </c>
      <c r="J23" s="209">
        <f>'[4]Rate Class Energy Model'!J16</f>
        <v>50592266.850000001</v>
      </c>
      <c r="K23" s="209">
        <f>'[4]Rate Class Energy Model'!J17</f>
        <v>54636276</v>
      </c>
      <c r="L23" s="209">
        <f>'[4]Rate Class Energy Model'!J71</f>
        <v>54889863.250576422</v>
      </c>
      <c r="M23" s="209">
        <f>'[4]Rate Class Energy Model'!J72</f>
        <v>55988819.024951793</v>
      </c>
      <c r="N23" s="209"/>
      <c r="O23" s="209"/>
      <c r="P23" s="209"/>
      <c r="Q23" s="209"/>
      <c r="T23" s="294"/>
      <c r="U23" s="173">
        <f>AVERAGE(M23:Q23)</f>
        <v>55988819.024951793</v>
      </c>
      <c r="V23" s="294"/>
      <c r="W23" s="294"/>
      <c r="X23" s="294"/>
    </row>
    <row r="24" spans="1:24" x14ac:dyDescent="0.25">
      <c r="A24" t="s">
        <v>48</v>
      </c>
      <c r="B24" s="209">
        <f>'[4]Rate Class Load Model'!B2</f>
        <v>118310</v>
      </c>
      <c r="C24" s="209">
        <f>'[4]Rate Class Load Model'!B3</f>
        <v>116956</v>
      </c>
      <c r="D24" s="209">
        <f>'[4]Rate Class Load Model'!B4</f>
        <v>134692.85</v>
      </c>
      <c r="E24" s="209">
        <f>'[4]Rate Class Load Model'!B5</f>
        <v>136122.29</v>
      </c>
      <c r="F24" s="28">
        <f>'[4]Rate Class Load Model'!B6</f>
        <v>144502.21</v>
      </c>
      <c r="G24" s="28">
        <f>'[4]Rate Class Load Model'!B7</f>
        <v>139425.35999999999</v>
      </c>
      <c r="H24" s="28">
        <f>'[4]Rate Class Load Model'!B8</f>
        <v>144982</v>
      </c>
      <c r="I24" s="28">
        <f>'[4]Rate Class Load Model'!B9</f>
        <v>130935</v>
      </c>
      <c r="J24" s="28">
        <f>'[4]Rate Class Load Model'!B10</f>
        <v>135393.63999999998</v>
      </c>
      <c r="K24" s="28">
        <f>'[4]Rate Class Load Model'!B11</f>
        <v>141986.79999999999</v>
      </c>
      <c r="L24" s="209">
        <f>'[4]Rate Class Load Model'!B12</f>
        <v>154174.11191583652</v>
      </c>
      <c r="M24" s="209">
        <f>'[4]Rate Class Load Model'!B13</f>
        <v>157260.84816394193</v>
      </c>
      <c r="N24" s="209"/>
      <c r="O24" s="209"/>
      <c r="P24" s="209"/>
      <c r="Q24" s="209"/>
      <c r="T24" s="294"/>
      <c r="U24" s="173">
        <f>AVERAGE(M24:Q24)</f>
        <v>157260.84816394193</v>
      </c>
      <c r="V24" s="294"/>
      <c r="W24" s="294"/>
      <c r="X24" s="294"/>
    </row>
    <row r="25" spans="1:24" x14ac:dyDescent="0.25">
      <c r="D25" s="50"/>
      <c r="E25" s="24"/>
      <c r="F25" s="24"/>
      <c r="G25" s="24"/>
      <c r="H25" s="24"/>
      <c r="I25" s="24"/>
      <c r="J25" s="24"/>
      <c r="K25" s="24"/>
      <c r="T25" s="294"/>
      <c r="U25" s="294"/>
      <c r="V25" s="294"/>
      <c r="W25" s="294"/>
      <c r="X25" s="294"/>
    </row>
    <row r="26" spans="1:24" x14ac:dyDescent="0.25">
      <c r="A26" s="41" t="str">
        <f>'[4]Rate Class Energy Model'!K3</f>
        <v>Sentinels</v>
      </c>
      <c r="M26" s="209"/>
      <c r="T26" s="294"/>
      <c r="U26" s="294"/>
      <c r="V26" s="294"/>
      <c r="W26" s="294"/>
      <c r="X26" s="294"/>
    </row>
    <row r="27" spans="1:24" x14ac:dyDescent="0.25">
      <c r="A27" t="s">
        <v>65</v>
      </c>
      <c r="B27" s="209">
        <f>'[4]Rate Class Customer Model'!E3</f>
        <v>189</v>
      </c>
      <c r="C27" s="209">
        <f>'[4]Rate Class Customer Model'!E4</f>
        <v>186</v>
      </c>
      <c r="D27" s="209">
        <f>'[4]Rate Class Customer Model'!E5</f>
        <v>186</v>
      </c>
      <c r="E27" s="209">
        <f>'[4]Rate Class Customer Model'!E6</f>
        <v>193</v>
      </c>
      <c r="F27" s="28">
        <f>'[4]Rate Class Customer Model'!E7</f>
        <v>201</v>
      </c>
      <c r="G27" s="28">
        <f>'[4]Rate Class Customer Model'!E8</f>
        <v>225</v>
      </c>
      <c r="H27" s="28">
        <f>'[4]Rate Class Customer Model'!E9</f>
        <v>172.08333333333334</v>
      </c>
      <c r="I27" s="28">
        <f>'[4]Rate Class Customer Model'!E10</f>
        <v>168</v>
      </c>
      <c r="J27" s="28">
        <f>'[4]Rate Class Customer Model'!E11</f>
        <v>169.41666666666666</v>
      </c>
      <c r="K27" s="28">
        <f>'[4]Rate Class Customer Model'!E12</f>
        <v>165.75</v>
      </c>
      <c r="L27" s="209">
        <f>'[4]Rate Class Customer Model'!E13</f>
        <v>163</v>
      </c>
      <c r="M27" s="209">
        <f>'[4]Rate Class Customer Model'!E14</f>
        <v>161</v>
      </c>
      <c r="N27" s="209"/>
      <c r="O27" s="209"/>
      <c r="P27" s="209"/>
      <c r="Q27" s="209"/>
      <c r="T27" s="294"/>
      <c r="U27" s="173">
        <f>AVERAGE(M27:Q27)</f>
        <v>161</v>
      </c>
      <c r="V27" s="294"/>
      <c r="W27" s="294"/>
      <c r="X27" s="294"/>
    </row>
    <row r="28" spans="1:24" x14ac:dyDescent="0.25">
      <c r="A28" t="s">
        <v>47</v>
      </c>
      <c r="B28" s="209">
        <f>'[4]Rate Class Energy Model'!K8</f>
        <v>131869</v>
      </c>
      <c r="C28" s="209">
        <f>'[4]Rate Class Energy Model'!K9</f>
        <v>126371</v>
      </c>
      <c r="D28" s="209">
        <f>'[4]Rate Class Energy Model'!K10</f>
        <v>124211.62</v>
      </c>
      <c r="E28" s="209">
        <f>'[4]Rate Class Energy Model'!K11</f>
        <v>122021.1</v>
      </c>
      <c r="F28" s="209">
        <f>'[4]Rate Class Energy Model'!K12</f>
        <v>116702.72</v>
      </c>
      <c r="G28" s="209">
        <f>'[4]Rate Class Energy Model'!K13</f>
        <v>110240.82</v>
      </c>
      <c r="H28" s="209">
        <f>'[4]Rate Class Energy Model'!K14</f>
        <v>113359.85597714041</v>
      </c>
      <c r="I28" s="209">
        <f>'[4]Rate Class Energy Model'!K15</f>
        <v>101843.93410009757</v>
      </c>
      <c r="J28" s="209">
        <f>'[4]Rate Class Energy Model'!K16</f>
        <v>107980</v>
      </c>
      <c r="K28" s="209">
        <f>'[4]Rate Class Energy Model'!K17</f>
        <v>103536</v>
      </c>
      <c r="L28" s="209">
        <f>'[4]Rate Class Energy Model'!K71</f>
        <v>100673.16794547772</v>
      </c>
      <c r="M28" s="209">
        <f>'[4]Rate Class Energy Model'!K72</f>
        <v>98319.642763457639</v>
      </c>
      <c r="N28" s="209"/>
      <c r="O28" s="209"/>
      <c r="P28" s="209"/>
      <c r="Q28" s="209"/>
      <c r="S28" s="119"/>
      <c r="T28" s="294"/>
      <c r="U28" s="173">
        <f>AVERAGE(M28:Q28)</f>
        <v>98319.642763457639</v>
      </c>
      <c r="V28" s="294"/>
      <c r="W28" s="294"/>
      <c r="X28" s="294"/>
    </row>
    <row r="29" spans="1:24" x14ac:dyDescent="0.25">
      <c r="A29" t="s">
        <v>48</v>
      </c>
      <c r="B29" s="209">
        <f>'[4]Rate Class Load Model'!C2</f>
        <v>367</v>
      </c>
      <c r="C29" s="209">
        <f>'[4]Rate Class Load Model'!C3</f>
        <v>351</v>
      </c>
      <c r="D29" s="209">
        <f>'[4]Rate Class Load Model'!C4</f>
        <v>345.03227777777778</v>
      </c>
      <c r="E29" s="209">
        <f>'[4]Rate Class Load Model'!C5</f>
        <v>338.94749999999999</v>
      </c>
      <c r="F29" s="28">
        <f>'[4]Rate Class Load Model'!C6</f>
        <v>324.17422222222223</v>
      </c>
      <c r="G29" s="28">
        <f>'[4]Rate Class Load Model'!C7</f>
        <v>306.31894444444447</v>
      </c>
      <c r="H29" s="28">
        <f>'[4]Rate Class Load Model'!C8</f>
        <v>315</v>
      </c>
      <c r="I29" s="28">
        <f>'[4]Rate Class Load Model'!C9</f>
        <v>283</v>
      </c>
      <c r="J29" s="28">
        <f>'[4]Rate Class Load Model'!C10</f>
        <v>299.94344444444442</v>
      </c>
      <c r="K29" s="28">
        <f>'[4]Rate Class Load Model'!C11</f>
        <v>287.601</v>
      </c>
      <c r="L29" s="209">
        <f>'[4]Rate Class Load Model'!C12</f>
        <v>279.72691784487739</v>
      </c>
      <c r="M29" s="209">
        <f>'[4]Rate Class Load Model'!C13</f>
        <v>273.18749568630062</v>
      </c>
      <c r="N29" s="209"/>
      <c r="O29" s="209"/>
      <c r="P29" s="209"/>
      <c r="Q29" s="209"/>
      <c r="S29" s="119"/>
      <c r="T29" s="294"/>
      <c r="U29" s="173">
        <f>AVERAGE(M29:Q29)</f>
        <v>273.18749568630062</v>
      </c>
      <c r="V29" s="294"/>
      <c r="W29" s="294"/>
      <c r="X29" s="294"/>
    </row>
    <row r="30" spans="1:24" x14ac:dyDescent="0.25"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8"/>
      <c r="S30" s="119"/>
      <c r="T30" s="294"/>
      <c r="U30" s="294"/>
      <c r="V30" s="294"/>
      <c r="W30" s="294"/>
      <c r="X30" s="294"/>
    </row>
    <row r="31" spans="1:24" x14ac:dyDescent="0.25">
      <c r="A31" s="41" t="str">
        <f>'[4]Rate Class Energy Model'!L3</f>
        <v>Streetlights</v>
      </c>
      <c r="M31" s="209"/>
      <c r="T31" s="294"/>
      <c r="U31" s="294"/>
      <c r="V31" s="294"/>
      <c r="W31" s="294"/>
      <c r="X31" s="294"/>
    </row>
    <row r="32" spans="1:24" x14ac:dyDescent="0.25">
      <c r="A32" t="s">
        <v>65</v>
      </c>
      <c r="B32" s="209">
        <f>'[4]Rate Class Customer Model'!F3</f>
        <v>2371</v>
      </c>
      <c r="C32" s="209">
        <f>'[4]Rate Class Customer Model'!F4</f>
        <v>2489</v>
      </c>
      <c r="D32" s="209">
        <f>'[4]Rate Class Customer Model'!F5</f>
        <v>2588</v>
      </c>
      <c r="E32" s="209">
        <f>'[4]Rate Class Customer Model'!F6</f>
        <v>2625</v>
      </c>
      <c r="F32" s="28">
        <f>'[4]Rate Class Customer Model'!F7</f>
        <v>2685</v>
      </c>
      <c r="G32" s="28">
        <f>'[4]Rate Class Customer Model'!F8</f>
        <v>2728</v>
      </c>
      <c r="H32" s="28">
        <f>'[4]Rate Class Customer Model'!F9</f>
        <v>2728</v>
      </c>
      <c r="I32" s="28">
        <f>'[4]Rate Class Customer Model'!F10</f>
        <v>2843.3333333333335</v>
      </c>
      <c r="J32" s="28">
        <f>'[4]Rate Class Customer Model'!F11</f>
        <v>2923.3333333333335</v>
      </c>
      <c r="K32" s="28">
        <f>'[4]Rate Class Customer Model'!F12</f>
        <v>2897.6666666666665</v>
      </c>
      <c r="L32" s="209">
        <f>'[4]Rate Class Customer Model'!F13</f>
        <v>2963</v>
      </c>
      <c r="M32" s="209">
        <f>'[4]Rate Class Customer Model'!F14</f>
        <v>3030</v>
      </c>
      <c r="N32" s="209"/>
      <c r="O32" s="209"/>
      <c r="P32" s="209"/>
      <c r="Q32" s="209"/>
      <c r="T32" s="294"/>
      <c r="U32" s="173">
        <f>AVERAGE(M32:Q32)</f>
        <v>3030</v>
      </c>
      <c r="V32" s="294"/>
      <c r="W32" s="294"/>
      <c r="X32" s="294"/>
    </row>
    <row r="33" spans="1:24" x14ac:dyDescent="0.25">
      <c r="A33" t="s">
        <v>47</v>
      </c>
      <c r="B33" s="209">
        <f>'[4]Rate Class Energy Model'!L8</f>
        <v>1445518</v>
      </c>
      <c r="C33" s="209">
        <f>'[4]Rate Class Energy Model'!L9</f>
        <v>1495947</v>
      </c>
      <c r="D33" s="209">
        <f>'[4]Rate Class Energy Model'!L10</f>
        <v>1533898.8</v>
      </c>
      <c r="E33" s="209">
        <f>'[4]Rate Class Energy Model'!L11</f>
        <v>1576911.6</v>
      </c>
      <c r="F33" s="209">
        <f>'[4]Rate Class Energy Model'!L12</f>
        <v>1580058</v>
      </c>
      <c r="G33" s="209">
        <f>'[4]Rate Class Energy Model'!L13</f>
        <v>1457369.41</v>
      </c>
      <c r="H33" s="209">
        <f>'[4]Rate Class Energy Model'!L14</f>
        <v>1569708.8405002926</v>
      </c>
      <c r="I33" s="209">
        <f>'[4]Rate Class Energy Model'!L15</f>
        <v>1472134.2629375483</v>
      </c>
      <c r="J33" s="209">
        <f>'[4]Rate Class Energy Model'!L16</f>
        <v>1625553.4323642934</v>
      </c>
      <c r="K33" s="209">
        <f>'[4]Rate Class Energy Model'!L17</f>
        <v>1106444</v>
      </c>
      <c r="L33" s="209">
        <f>'[4]Rate Class Energy Model'!L71</f>
        <v>657418.89922655048</v>
      </c>
      <c r="M33" s="68">
        <f>'[4]Rate Class Energy Model'!L72</f>
        <v>669627.3173472397</v>
      </c>
      <c r="N33" s="68"/>
      <c r="O33" s="68"/>
      <c r="P33" s="68"/>
      <c r="Q33" s="68"/>
      <c r="T33" s="294"/>
      <c r="U33" s="173">
        <f>AVERAGE(M33:Q33)</f>
        <v>669627.3173472397</v>
      </c>
      <c r="V33" s="294"/>
      <c r="W33" s="294"/>
      <c r="X33" s="294"/>
    </row>
    <row r="34" spans="1:24" x14ac:dyDescent="0.25">
      <c r="A34" t="s">
        <v>48</v>
      </c>
      <c r="B34" s="209">
        <f>'[4]Rate Class Load Model'!D2</f>
        <v>4014</v>
      </c>
      <c r="C34" s="209">
        <f>'[4]Rate Class Load Model'!D3</f>
        <v>4153</v>
      </c>
      <c r="D34" s="209">
        <f>'[4]Rate Class Load Model'!D4</f>
        <v>4260.83</v>
      </c>
      <c r="E34" s="209">
        <f>'[4]Rate Class Load Model'!D5</f>
        <v>4370.32</v>
      </c>
      <c r="F34" s="28">
        <f>'[4]Rate Class Load Model'!D6</f>
        <v>4389.05</v>
      </c>
      <c r="G34" s="28">
        <f>'[4]Rate Class Load Model'!D7</f>
        <v>4416</v>
      </c>
      <c r="H34" s="28">
        <f>'[4]Rate Class Load Model'!D8</f>
        <v>4424</v>
      </c>
      <c r="I34" s="28">
        <f>'[4]Rate Class Load Model'!D9</f>
        <v>4149</v>
      </c>
      <c r="J34" s="28">
        <f>'[4]Rate Class Load Model'!D10</f>
        <v>4581.3899999999994</v>
      </c>
      <c r="K34" s="28">
        <f>'[4]Rate Class Load Model'!D11</f>
        <v>3139.7699999999995</v>
      </c>
      <c r="L34" s="209">
        <f>'[4]Rate Class Load Model'!D12</f>
        <v>1854.1136637654336</v>
      </c>
      <c r="M34" s="209">
        <f>'[4]Rate Class Load Model'!D13</f>
        <v>1888.5449751821914</v>
      </c>
      <c r="N34" s="209"/>
      <c r="O34" s="209"/>
      <c r="P34" s="209"/>
      <c r="Q34" s="209"/>
      <c r="T34" s="294"/>
      <c r="U34" s="173">
        <f>AVERAGE(M34:Q34)</f>
        <v>1888.5449751821914</v>
      </c>
      <c r="V34" s="294"/>
      <c r="W34" s="294"/>
      <c r="X34" s="294"/>
    </row>
    <row r="35" spans="1:24" x14ac:dyDescent="0.25">
      <c r="T35" s="294"/>
      <c r="U35" s="173" t="s">
        <v>164</v>
      </c>
      <c r="V35" s="294"/>
      <c r="W35" s="294"/>
      <c r="X35" s="294"/>
    </row>
    <row r="36" spans="1:24" x14ac:dyDescent="0.25">
      <c r="A36" s="41" t="str">
        <f>'[4]Rate Class Energy Model'!M3</f>
        <v>USL</v>
      </c>
      <c r="T36" s="294"/>
      <c r="U36" s="294"/>
      <c r="V36" s="294"/>
      <c r="W36" s="294"/>
      <c r="X36" s="294"/>
    </row>
    <row r="37" spans="1:24" x14ac:dyDescent="0.25">
      <c r="A37" t="s">
        <v>65</v>
      </c>
      <c r="B37" s="209">
        <f>'[4]Rate Class Customer Model'!G3</f>
        <v>90</v>
      </c>
      <c r="C37" s="209">
        <f>'[4]Rate Class Customer Model'!G4</f>
        <v>89</v>
      </c>
      <c r="D37" s="209">
        <f>'[4]Rate Class Customer Model'!G5</f>
        <v>84</v>
      </c>
      <c r="E37" s="209">
        <f>'[4]Rate Class Customer Model'!G6</f>
        <v>83</v>
      </c>
      <c r="F37" s="28">
        <f>'[4]Rate Class Customer Model'!G7</f>
        <v>82</v>
      </c>
      <c r="G37" s="28">
        <f>'[4]Rate Class Customer Model'!G8</f>
        <v>81</v>
      </c>
      <c r="H37" s="28">
        <f>'[4]Rate Class Customer Model'!G9</f>
        <v>78.666666666666671</v>
      </c>
      <c r="I37" s="28">
        <f>'[4]Rate Class Customer Model'!G10</f>
        <v>77.583333333333329</v>
      </c>
      <c r="J37" s="28">
        <f>'[4]Rate Class Customer Model'!G11</f>
        <v>75.583333333333329</v>
      </c>
      <c r="K37" s="28">
        <f>'[4]Rate Class Customer Model'!G12</f>
        <v>76</v>
      </c>
      <c r="L37" s="209">
        <f>'[4]Rate Class Customer Model'!G13</f>
        <v>75</v>
      </c>
      <c r="M37" s="209">
        <f>'[4]Rate Class Customer Model'!G14</f>
        <v>74</v>
      </c>
      <c r="N37" s="209"/>
      <c r="O37" s="209"/>
      <c r="P37" s="209"/>
      <c r="Q37" s="209"/>
      <c r="T37" s="294"/>
      <c r="U37" s="173">
        <f>AVERAGE(M37:Q37)</f>
        <v>74</v>
      </c>
      <c r="V37" s="294"/>
      <c r="W37" s="294"/>
      <c r="X37" s="294"/>
    </row>
    <row r="38" spans="1:24" x14ac:dyDescent="0.25">
      <c r="A38" t="s">
        <v>47</v>
      </c>
      <c r="B38" s="209">
        <f>'[4]Rate Class Energy Model'!M8+B56*B60</f>
        <v>296356.21072812018</v>
      </c>
      <c r="C38" s="209">
        <f>'[4]Rate Class Energy Model'!M9+C56*C60</f>
        <v>523446.52909785032</v>
      </c>
      <c r="D38" s="209">
        <f>'[4]Rate Class Energy Model'!M10+D56*D60</f>
        <v>511651.39899779594</v>
      </c>
      <c r="E38" s="209">
        <f>'[4]Rate Class Energy Model'!M11+E56*E60</f>
        <v>496924.19260237826</v>
      </c>
      <c r="F38" s="209">
        <f>'[4]Rate Class Energy Model'!M12+F56*F60</f>
        <v>496989.71323771565</v>
      </c>
      <c r="G38" s="209">
        <f>'[4]Rate Class Energy Model'!M13+G56*G60</f>
        <v>492456.22757582989</v>
      </c>
      <c r="H38" s="209">
        <f>'[4]Rate Class Energy Model'!M14+H56*H60</f>
        <v>481034.65506622108</v>
      </c>
      <c r="I38" s="209">
        <f>'[4]Rate Class Energy Model'!M15+I56*I60</f>
        <v>473256.31021658465</v>
      </c>
      <c r="J38" s="209">
        <f>'[4]Rate Class Energy Model'!M16+J56*J60</f>
        <v>465477.96536694834</v>
      </c>
      <c r="K38" s="209">
        <f>'[4]Rate Class Energy Model'!M17+K56*K60</f>
        <v>465054.82051731192</v>
      </c>
      <c r="L38" s="209">
        <f>'[4]Rate Class Energy Model'!M71+L56*L60</f>
        <v>496660.25825870311</v>
      </c>
      <c r="M38" s="209">
        <f>'[4]Rate Class Energy Model'!M72+M56*M60</f>
        <v>530366.92860140104</v>
      </c>
      <c r="N38" s="209"/>
      <c r="O38" s="209"/>
      <c r="P38" s="209"/>
      <c r="Q38" s="209"/>
      <c r="T38" s="294"/>
      <c r="U38" s="173">
        <f>AVERAGE(M38:Q38)</f>
        <v>530366.92860140104</v>
      </c>
      <c r="V38" s="294"/>
      <c r="W38" s="294"/>
      <c r="X38" s="294"/>
    </row>
    <row r="39" spans="1:24" x14ac:dyDescent="0.25"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173"/>
      <c r="O39" s="173"/>
      <c r="P39" s="173"/>
      <c r="Q39" s="173"/>
      <c r="T39" s="294"/>
      <c r="U39" s="173" t="s">
        <v>164</v>
      </c>
      <c r="V39" s="294"/>
      <c r="W39" s="294"/>
      <c r="X39" s="294"/>
    </row>
    <row r="40" spans="1:24" x14ac:dyDescent="0.25">
      <c r="A40" s="41" t="s">
        <v>66</v>
      </c>
      <c r="B40" s="209"/>
      <c r="D40" s="209"/>
      <c r="E40" s="209"/>
      <c r="F40" s="209"/>
      <c r="G40" s="209"/>
      <c r="H40" s="209"/>
      <c r="I40" s="209"/>
      <c r="J40" s="209"/>
      <c r="K40" s="209"/>
      <c r="L40" s="209"/>
      <c r="T40" s="294" t="s">
        <v>337</v>
      </c>
      <c r="U40" s="333">
        <f>U14+U18+U22+U27+U32+U37</f>
        <v>20318.5</v>
      </c>
      <c r="V40" s="294"/>
      <c r="W40" s="294"/>
      <c r="X40" s="294"/>
    </row>
    <row r="41" spans="1:24" x14ac:dyDescent="0.25">
      <c r="A41" s="200" t="s">
        <v>52</v>
      </c>
      <c r="B41" s="209">
        <f t="shared" ref="B41:M41" si="2">B37+B32+B14+B18+B22+B27</f>
        <v>16394</v>
      </c>
      <c r="C41" s="209">
        <f t="shared" si="2"/>
        <v>16645</v>
      </c>
      <c r="D41" s="209">
        <f t="shared" si="2"/>
        <v>17044</v>
      </c>
      <c r="E41" s="209">
        <f t="shared" si="2"/>
        <v>17361</v>
      </c>
      <c r="F41" s="209">
        <f t="shared" si="2"/>
        <v>17552</v>
      </c>
      <c r="G41" s="209">
        <f t="shared" si="2"/>
        <v>17776</v>
      </c>
      <c r="H41" s="209">
        <f t="shared" si="2"/>
        <v>17903.333333333332</v>
      </c>
      <c r="I41" s="209">
        <f t="shared" si="2"/>
        <v>18286.166666666668</v>
      </c>
      <c r="J41" s="209">
        <f t="shared" si="2"/>
        <v>18735.916666666668</v>
      </c>
      <c r="K41" s="209">
        <f t="shared" si="2"/>
        <v>19073.083333333332</v>
      </c>
      <c r="L41" s="209">
        <f t="shared" si="2"/>
        <v>19717.5</v>
      </c>
      <c r="M41" s="323">
        <f t="shared" si="2"/>
        <v>20318.5</v>
      </c>
      <c r="N41" s="323"/>
      <c r="O41" s="323"/>
      <c r="P41" s="323"/>
      <c r="Q41" s="323"/>
      <c r="T41" t="s">
        <v>91</v>
      </c>
      <c r="U41" s="173">
        <f>U15+U19+U23+U28+U33+U38</f>
        <v>239587667.33067667</v>
      </c>
    </row>
    <row r="42" spans="1:24" x14ac:dyDescent="0.25">
      <c r="A42" s="200" t="s">
        <v>47</v>
      </c>
      <c r="B42" s="209">
        <f>B15+B19+B23+B28+B33+B38</f>
        <v>219381471.09999999</v>
      </c>
      <c r="C42" s="209">
        <f t="shared" ref="C42:M42" si="3">C15+C19+C23+C28+C33+C38</f>
        <v>219752747.39999998</v>
      </c>
      <c r="D42" s="209">
        <f t="shared" si="3"/>
        <v>226836185.94999999</v>
      </c>
      <c r="E42" s="209">
        <f t="shared" si="3"/>
        <v>229135055.51199996</v>
      </c>
      <c r="F42" s="209">
        <f t="shared" si="3"/>
        <v>231850248.90999994</v>
      </c>
      <c r="G42" s="209">
        <f t="shared" si="3"/>
        <v>233577129.06799999</v>
      </c>
      <c r="H42" s="209">
        <f t="shared" si="3"/>
        <v>229785721.25834411</v>
      </c>
      <c r="I42" s="209">
        <f t="shared" si="3"/>
        <v>232518309.85753286</v>
      </c>
      <c r="J42" s="209">
        <f t="shared" si="3"/>
        <v>237858386.56148809</v>
      </c>
      <c r="K42" s="209">
        <f t="shared" si="3"/>
        <v>242165066.05775237</v>
      </c>
      <c r="L42" s="209">
        <f t="shared" si="3"/>
        <v>238940858.31243584</v>
      </c>
      <c r="M42" s="209">
        <f t="shared" si="3"/>
        <v>239587667.33067667</v>
      </c>
      <c r="N42" s="173"/>
      <c r="O42" s="173"/>
      <c r="P42" s="173"/>
      <c r="Q42" s="173"/>
      <c r="T42" t="s">
        <v>91</v>
      </c>
      <c r="U42" s="173">
        <f>U24+U29+U34</f>
        <v>159422.58063481041</v>
      </c>
    </row>
    <row r="43" spans="1:24" x14ac:dyDescent="0.25">
      <c r="A43" t="s">
        <v>51</v>
      </c>
      <c r="B43" s="209">
        <f t="shared" ref="B43:M43" si="4">B34+B29+B24</f>
        <v>122691</v>
      </c>
      <c r="C43" s="209">
        <f t="shared" si="4"/>
        <v>121460</v>
      </c>
      <c r="D43" s="209">
        <f t="shared" si="4"/>
        <v>139298.71227777778</v>
      </c>
      <c r="E43" s="209">
        <f t="shared" si="4"/>
        <v>140831.5575</v>
      </c>
      <c r="F43" s="209">
        <f t="shared" si="4"/>
        <v>149215.43422222222</v>
      </c>
      <c r="G43" s="209">
        <f t="shared" si="4"/>
        <v>144147.67894444443</v>
      </c>
      <c r="H43" s="209">
        <f t="shared" si="4"/>
        <v>149721</v>
      </c>
      <c r="I43" s="209">
        <f t="shared" si="4"/>
        <v>135367</v>
      </c>
      <c r="J43" s="209">
        <f t="shared" si="4"/>
        <v>140274.97344444442</v>
      </c>
      <c r="K43" s="209">
        <f t="shared" si="4"/>
        <v>145414.171</v>
      </c>
      <c r="L43" s="28">
        <f t="shared" si="4"/>
        <v>156307.95249744682</v>
      </c>
      <c r="M43" s="209">
        <f t="shared" si="4"/>
        <v>159422.58063481044</v>
      </c>
      <c r="N43" s="173"/>
      <c r="O43" s="173"/>
      <c r="P43" s="173"/>
      <c r="Q43" s="173"/>
    </row>
    <row r="44" spans="1:24" x14ac:dyDescent="0.25">
      <c r="A44" s="20"/>
    </row>
    <row r="45" spans="1:24" x14ac:dyDescent="0.25">
      <c r="A45" s="173" t="s">
        <v>67</v>
      </c>
      <c r="L45" s="1"/>
      <c r="M45" s="209"/>
      <c r="N45" s="1"/>
      <c r="O45" s="1"/>
      <c r="P45" s="1"/>
      <c r="Q45" s="1"/>
    </row>
    <row r="46" spans="1:24" x14ac:dyDescent="0.25">
      <c r="A46" t="s">
        <v>52</v>
      </c>
      <c r="B46" s="209">
        <f>'[4]Rate Class Customer Model'!H3</f>
        <v>16394</v>
      </c>
      <c r="C46" s="209">
        <f>'[4]Rate Class Customer Model'!H4</f>
        <v>16645</v>
      </c>
      <c r="D46" s="209">
        <f>'[4]Rate Class Customer Model'!H5</f>
        <v>17044</v>
      </c>
      <c r="E46" s="209">
        <f>'[4]Rate Class Customer Model'!H6</f>
        <v>17361</v>
      </c>
      <c r="F46" s="209">
        <f>'[4]Rate Class Customer Model'!H7</f>
        <v>17552</v>
      </c>
      <c r="G46" s="209">
        <f>'[4]Rate Class Customer Model'!H8</f>
        <v>17776</v>
      </c>
      <c r="H46" s="209">
        <f>'[4]Rate Class Customer Model'!H9</f>
        <v>17903.333333333332</v>
      </c>
      <c r="I46" s="209">
        <f>'[4]Rate Class Customer Model'!H10</f>
        <v>18286.166666666664</v>
      </c>
      <c r="J46" s="209">
        <f>'[4]Rate Class Customer Model'!H11</f>
        <v>18735.916666666664</v>
      </c>
      <c r="K46" s="209">
        <f>'[4]Rate Class Customer Model'!H12</f>
        <v>19073.083333333336</v>
      </c>
      <c r="L46" s="209">
        <f>'[4]Rate Class Customer Model'!H13</f>
        <v>19717.5</v>
      </c>
      <c r="M46" s="209">
        <f>'[4]Rate Class Customer Model'!H14</f>
        <v>20318.5</v>
      </c>
      <c r="N46" s="209"/>
      <c r="O46" s="209"/>
      <c r="P46" s="209"/>
      <c r="Q46" s="209"/>
    </row>
    <row r="47" spans="1:24" x14ac:dyDescent="0.25">
      <c r="A47" t="s">
        <v>47</v>
      </c>
      <c r="B47" s="209">
        <f>'[4]Rate Class Energy Model'!G8</f>
        <v>219381471.09999999</v>
      </c>
      <c r="C47" s="209">
        <f>'[4]Rate Class Energy Model'!G9</f>
        <v>219752747.40000001</v>
      </c>
      <c r="D47" s="209">
        <f>'[4]Rate Class Energy Model'!G10</f>
        <v>226836185.95000002</v>
      </c>
      <c r="E47" s="209">
        <f>'[4]Rate Class Energy Model'!G11</f>
        <v>229135055.51199999</v>
      </c>
      <c r="F47" s="209">
        <f>'[4]Rate Class Energy Model'!G12</f>
        <v>231850248.90999997</v>
      </c>
      <c r="G47" s="209">
        <f>'[4]Rate Class Energy Model'!G13</f>
        <v>233577129.06799996</v>
      </c>
      <c r="H47" s="209">
        <f>'[4]Rate Class Energy Model'!G14</f>
        <v>229785721.25834411</v>
      </c>
      <c r="I47" s="209">
        <f>'[4]Rate Class Energy Model'!G15</f>
        <v>232518309.85753286</v>
      </c>
      <c r="J47" s="209">
        <f>'[4]Rate Class Energy Model'!G16</f>
        <v>237858386.56148806</v>
      </c>
      <c r="K47" s="209">
        <f>'[4]Rate Class Energy Model'!G17</f>
        <v>242165066.05775237</v>
      </c>
      <c r="L47" s="209">
        <f>'[4]Rate Class Energy Model'!O71</f>
        <v>238940858.31243581</v>
      </c>
      <c r="M47" s="209">
        <f>'[4]Rate Class Energy Model'!O72</f>
        <v>239587667.33067667</v>
      </c>
      <c r="N47" s="209"/>
      <c r="O47" s="209"/>
      <c r="P47" s="209"/>
      <c r="Q47" s="209"/>
    </row>
    <row r="48" spans="1:24" x14ac:dyDescent="0.25">
      <c r="A48" t="s">
        <v>51</v>
      </c>
      <c r="B48" s="209">
        <f>'[4]Rate Class Load Model'!E2</f>
        <v>122691</v>
      </c>
      <c r="C48" s="209">
        <f>'[4]Rate Class Load Model'!E3</f>
        <v>121460</v>
      </c>
      <c r="D48" s="209">
        <f>'[4]Rate Class Load Model'!E4</f>
        <v>139298.71227777778</v>
      </c>
      <c r="E48" s="209">
        <f>'[4]Rate Class Load Model'!E5</f>
        <v>140831.55750000002</v>
      </c>
      <c r="F48" s="209">
        <f>'[4]Rate Class Load Model'!E6</f>
        <v>149215.43422222219</v>
      </c>
      <c r="G48" s="209">
        <f>'[4]Rate Class Load Model'!E7</f>
        <v>144147.67894444443</v>
      </c>
      <c r="H48" s="209">
        <f>'[4]Rate Class Load Model'!E8</f>
        <v>149721</v>
      </c>
      <c r="I48" s="209">
        <f>'[4]Rate Class Load Model'!E9</f>
        <v>135367</v>
      </c>
      <c r="J48" s="209">
        <f>'[4]Rate Class Load Model'!E10</f>
        <v>140274.97344444442</v>
      </c>
      <c r="K48" s="209">
        <f>'[4]Rate Class Load Model'!E11</f>
        <v>145414.17099999997</v>
      </c>
      <c r="L48" s="28">
        <f>'[4]Rate Class Load Model'!E12</f>
        <v>156307.95249744682</v>
      </c>
      <c r="M48" s="209">
        <f>'[4]Rate Class Load Model'!E13</f>
        <v>159422.58063481041</v>
      </c>
      <c r="N48" s="173"/>
      <c r="O48" s="173"/>
      <c r="P48" s="173"/>
      <c r="Q48" s="173"/>
    </row>
    <row r="49" spans="1:17" x14ac:dyDescent="0.25">
      <c r="A49" s="20"/>
    </row>
    <row r="50" spans="1:17" x14ac:dyDescent="0.25">
      <c r="A50" s="173" t="s">
        <v>68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1"/>
      <c r="O50" s="1"/>
      <c r="P50" s="1"/>
      <c r="Q50" s="1"/>
    </row>
    <row r="51" spans="1:17" x14ac:dyDescent="0.25">
      <c r="A51" t="s">
        <v>52</v>
      </c>
      <c r="B51" s="209">
        <f t="shared" ref="B51:M53" si="5">B41-B46</f>
        <v>0</v>
      </c>
      <c r="C51" s="209">
        <f t="shared" si="5"/>
        <v>0</v>
      </c>
      <c r="D51" s="209">
        <f t="shared" si="5"/>
        <v>0</v>
      </c>
      <c r="E51" s="209">
        <f t="shared" si="5"/>
        <v>0</v>
      </c>
      <c r="F51" s="209">
        <f t="shared" si="5"/>
        <v>0</v>
      </c>
      <c r="G51" s="209">
        <f t="shared" si="5"/>
        <v>0</v>
      </c>
      <c r="H51" s="209">
        <f t="shared" si="5"/>
        <v>0</v>
      </c>
      <c r="I51" s="209">
        <f t="shared" si="5"/>
        <v>0</v>
      </c>
      <c r="J51" s="209">
        <f t="shared" si="5"/>
        <v>0</v>
      </c>
      <c r="K51" s="209">
        <f t="shared" si="5"/>
        <v>0</v>
      </c>
      <c r="L51" s="28">
        <f t="shared" si="5"/>
        <v>0</v>
      </c>
      <c r="M51" s="209">
        <f t="shared" si="5"/>
        <v>0</v>
      </c>
      <c r="N51" s="209"/>
      <c r="O51" s="209"/>
      <c r="P51" s="209"/>
      <c r="Q51" s="209"/>
    </row>
    <row r="52" spans="1:17" x14ac:dyDescent="0.25">
      <c r="A52" t="s">
        <v>47</v>
      </c>
      <c r="B52" s="209">
        <f t="shared" si="5"/>
        <v>0</v>
      </c>
      <c r="C52" s="209">
        <f t="shared" si="5"/>
        <v>0</v>
      </c>
      <c r="D52" s="209">
        <f t="shared" si="5"/>
        <v>0</v>
      </c>
      <c r="E52" s="209">
        <f t="shared" si="5"/>
        <v>0</v>
      </c>
      <c r="F52" s="28">
        <f t="shared" si="5"/>
        <v>0</v>
      </c>
      <c r="G52" s="28">
        <f t="shared" si="5"/>
        <v>0</v>
      </c>
      <c r="H52" s="28">
        <f t="shared" si="5"/>
        <v>0</v>
      </c>
      <c r="I52" s="28">
        <f t="shared" si="5"/>
        <v>0</v>
      </c>
      <c r="J52" s="28">
        <f t="shared" si="5"/>
        <v>0</v>
      </c>
      <c r="K52" s="28">
        <f t="shared" si="5"/>
        <v>0</v>
      </c>
      <c r="L52" s="209">
        <f t="shared" si="5"/>
        <v>0</v>
      </c>
      <c r="M52" s="209">
        <f>M42-M47</f>
        <v>0</v>
      </c>
      <c r="N52" s="209"/>
      <c r="O52" s="209"/>
      <c r="P52" s="209"/>
      <c r="Q52" s="209"/>
    </row>
    <row r="53" spans="1:17" x14ac:dyDescent="0.25">
      <c r="A53" t="s">
        <v>51</v>
      </c>
      <c r="B53" s="209">
        <f t="shared" si="5"/>
        <v>0</v>
      </c>
      <c r="C53" s="209">
        <f t="shared" si="5"/>
        <v>0</v>
      </c>
      <c r="D53" s="209">
        <f t="shared" si="5"/>
        <v>0</v>
      </c>
      <c r="E53" s="209">
        <f t="shared" si="5"/>
        <v>0</v>
      </c>
      <c r="F53" s="209">
        <f t="shared" si="5"/>
        <v>0</v>
      </c>
      <c r="G53" s="209">
        <f t="shared" si="5"/>
        <v>0</v>
      </c>
      <c r="H53" s="209">
        <f t="shared" si="5"/>
        <v>0</v>
      </c>
      <c r="I53" s="209">
        <f t="shared" si="5"/>
        <v>0</v>
      </c>
      <c r="J53" s="209">
        <f t="shared" si="5"/>
        <v>0</v>
      </c>
      <c r="K53" s="209">
        <f t="shared" si="5"/>
        <v>0</v>
      </c>
      <c r="L53" s="28">
        <f t="shared" si="5"/>
        <v>0</v>
      </c>
      <c r="M53" s="209">
        <f>M43-M48</f>
        <v>0</v>
      </c>
      <c r="N53" s="173"/>
      <c r="O53" s="173"/>
      <c r="P53" s="173"/>
      <c r="Q53" s="173"/>
    </row>
    <row r="54" spans="1:17" x14ac:dyDescent="0.25">
      <c r="A54" s="20"/>
      <c r="L54" s="1"/>
    </row>
    <row r="55" spans="1:17" x14ac:dyDescent="0.25">
      <c r="A55" s="173" t="str">
        <f>'[4]Rate Class Energy Model'!N3</f>
        <v>Hydro One Load Transfers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1"/>
      <c r="O55" s="1"/>
      <c r="P55" s="1"/>
      <c r="Q55" s="1"/>
    </row>
    <row r="56" spans="1:17" x14ac:dyDescent="0.25">
      <c r="A56" t="s">
        <v>47</v>
      </c>
      <c r="B56" s="209">
        <f>'[4]Rate Class Energy Model'!N31</f>
        <v>1386067.1</v>
      </c>
      <c r="C56" s="209">
        <f>'[4]Rate Class Energy Model'!N32</f>
        <v>1135841.3999999999</v>
      </c>
      <c r="D56" s="209">
        <f>'[4]Rate Class Energy Model'!N33</f>
        <v>1040152.96</v>
      </c>
      <c r="E56" s="209">
        <f>'[4]Rate Class Energy Model'!N34</f>
        <v>981974.60200000007</v>
      </c>
      <c r="F56" s="209">
        <f>'[4]Rate Class Energy Model'!N35</f>
        <v>1001806.8400000001</v>
      </c>
      <c r="G56" s="209">
        <f>'[4]Rate Class Energy Model'!N36</f>
        <v>951716.49800000002</v>
      </c>
      <c r="H56" s="209">
        <f>'[4]Rate Class Energy Model'!N14</f>
        <v>819723.06186666701</v>
      </c>
      <c r="I56" s="209">
        <f>'[4]Rate Class Energy Model'!N15</f>
        <v>744522.06049523805</v>
      </c>
      <c r="J56" s="209">
        <f>'[4]Rate Class Energy Model'!N16</f>
        <v>669321.05912381003</v>
      </c>
      <c r="K56" s="209">
        <f>'[4]Rate Class Energy Model'!N17</f>
        <v>594120.05775238096</v>
      </c>
      <c r="L56" s="209">
        <f>'[4]Rate Class Energy Model'!N71</f>
        <v>542444.72954968503</v>
      </c>
      <c r="M56" s="209">
        <f>'[4]Rate Class Energy Model'!N72</f>
        <v>495264.01402672008</v>
      </c>
      <c r="N56" s="209"/>
      <c r="O56" s="209"/>
      <c r="P56" s="209"/>
      <c r="Q56" s="209"/>
    </row>
    <row r="57" spans="1:17" x14ac:dyDescent="0.25">
      <c r="L57" s="1"/>
      <c r="N57" s="1"/>
      <c r="O57" s="1"/>
      <c r="P57" s="1"/>
      <c r="Q57" s="1"/>
    </row>
    <row r="58" spans="1:17" x14ac:dyDescent="0.25">
      <c r="A58" t="s">
        <v>248</v>
      </c>
      <c r="B58" s="5">
        <f>B65/B67</f>
        <v>0.8146368353453961</v>
      </c>
      <c r="C58" s="5">
        <f>B58</f>
        <v>0.8146368353453961</v>
      </c>
      <c r="D58" s="5">
        <f t="shared" ref="D58:M58" si="6">C58</f>
        <v>0.8146368353453961</v>
      </c>
      <c r="E58" s="5">
        <f t="shared" si="6"/>
        <v>0.8146368353453961</v>
      </c>
      <c r="F58" s="5">
        <f t="shared" si="6"/>
        <v>0.8146368353453961</v>
      </c>
      <c r="G58" s="5">
        <f t="shared" si="6"/>
        <v>0.8146368353453961</v>
      </c>
      <c r="H58" s="5">
        <f t="shared" si="6"/>
        <v>0.8146368353453961</v>
      </c>
      <c r="I58" s="5">
        <f t="shared" si="6"/>
        <v>0.8146368353453961</v>
      </c>
      <c r="J58" s="5">
        <f t="shared" si="6"/>
        <v>0.8146368353453961</v>
      </c>
      <c r="K58" s="5">
        <f t="shared" si="6"/>
        <v>0.8146368353453961</v>
      </c>
      <c r="L58" s="295">
        <f t="shared" si="6"/>
        <v>0.8146368353453961</v>
      </c>
      <c r="M58" s="5">
        <f t="shared" si="6"/>
        <v>0.8146368353453961</v>
      </c>
      <c r="N58" s="296"/>
      <c r="O58" s="296"/>
      <c r="P58" s="296"/>
      <c r="Q58" s="296"/>
    </row>
    <row r="59" spans="1:17" x14ac:dyDescent="0.25">
      <c r="A59" t="s">
        <v>249</v>
      </c>
      <c r="B59" s="5">
        <f>B64/B67</f>
        <v>0.1820594207535185</v>
      </c>
      <c r="C59" s="5">
        <f t="shared" ref="C59:M60" si="7">B59</f>
        <v>0.1820594207535185</v>
      </c>
      <c r="D59" s="5">
        <f t="shared" si="7"/>
        <v>0.1820594207535185</v>
      </c>
      <c r="E59" s="5">
        <f t="shared" si="7"/>
        <v>0.1820594207535185</v>
      </c>
      <c r="F59" s="5">
        <f t="shared" si="7"/>
        <v>0.1820594207535185</v>
      </c>
      <c r="G59" s="5">
        <f t="shared" si="7"/>
        <v>0.1820594207535185</v>
      </c>
      <c r="H59" s="5">
        <f t="shared" si="7"/>
        <v>0.1820594207535185</v>
      </c>
      <c r="I59" s="5">
        <f t="shared" si="7"/>
        <v>0.1820594207535185</v>
      </c>
      <c r="J59" s="5">
        <f t="shared" si="7"/>
        <v>0.1820594207535185</v>
      </c>
      <c r="K59" s="5">
        <f t="shared" si="7"/>
        <v>0.1820594207535185</v>
      </c>
      <c r="L59" s="5">
        <f t="shared" si="7"/>
        <v>0.1820594207535185</v>
      </c>
      <c r="M59" s="5">
        <f t="shared" si="7"/>
        <v>0.1820594207535185</v>
      </c>
      <c r="N59" s="296"/>
      <c r="O59" s="296"/>
      <c r="P59" s="296"/>
      <c r="Q59" s="296"/>
    </row>
    <row r="60" spans="1:17" x14ac:dyDescent="0.25">
      <c r="A60" t="s">
        <v>250</v>
      </c>
      <c r="B60" s="5">
        <f>B66/B67</f>
        <v>3.3037439010854225E-3</v>
      </c>
      <c r="C60" s="5">
        <f t="shared" si="7"/>
        <v>3.3037439010854225E-3</v>
      </c>
      <c r="D60" s="5">
        <f t="shared" si="7"/>
        <v>3.3037439010854225E-3</v>
      </c>
      <c r="E60" s="5">
        <f t="shared" si="7"/>
        <v>3.3037439010854225E-3</v>
      </c>
      <c r="F60" s="5">
        <f t="shared" si="7"/>
        <v>3.3037439010854225E-3</v>
      </c>
      <c r="G60" s="5">
        <f t="shared" si="7"/>
        <v>3.3037439010854225E-3</v>
      </c>
      <c r="H60" s="5">
        <f t="shared" si="7"/>
        <v>3.3037439010854225E-3</v>
      </c>
      <c r="I60" s="5">
        <f t="shared" si="7"/>
        <v>3.3037439010854225E-3</v>
      </c>
      <c r="J60" s="5">
        <f t="shared" si="7"/>
        <v>3.3037439010854225E-3</v>
      </c>
      <c r="K60" s="5">
        <f t="shared" si="7"/>
        <v>3.3037439010854225E-3</v>
      </c>
      <c r="L60" s="5">
        <f t="shared" si="7"/>
        <v>3.3037439010854225E-3</v>
      </c>
      <c r="M60" s="5">
        <f t="shared" si="7"/>
        <v>3.3037439010854225E-3</v>
      </c>
      <c r="N60" s="296"/>
      <c r="O60" s="296"/>
      <c r="P60" s="296"/>
      <c r="Q60" s="296"/>
    </row>
    <row r="61" spans="1:17" x14ac:dyDescent="0.25">
      <c r="A61" t="s">
        <v>240</v>
      </c>
      <c r="B61" s="296">
        <f>SUM(B58:B60)</f>
        <v>1</v>
      </c>
      <c r="C61" s="296">
        <f t="shared" ref="C61:M61" si="8">SUM(C58:C60)</f>
        <v>1</v>
      </c>
      <c r="D61" s="296">
        <f t="shared" si="8"/>
        <v>1</v>
      </c>
      <c r="E61" s="296">
        <f t="shared" si="8"/>
        <v>1</v>
      </c>
      <c r="F61" s="296">
        <f t="shared" si="8"/>
        <v>1</v>
      </c>
      <c r="G61" s="296">
        <f t="shared" si="8"/>
        <v>1</v>
      </c>
      <c r="H61" s="296">
        <f t="shared" si="8"/>
        <v>1</v>
      </c>
      <c r="I61" s="296">
        <f t="shared" si="8"/>
        <v>1</v>
      </c>
      <c r="J61" s="296">
        <f t="shared" si="8"/>
        <v>1</v>
      </c>
      <c r="K61" s="296">
        <f t="shared" si="8"/>
        <v>1</v>
      </c>
      <c r="L61" s="296">
        <f t="shared" si="8"/>
        <v>1</v>
      </c>
      <c r="M61" s="296">
        <f t="shared" si="8"/>
        <v>1</v>
      </c>
      <c r="N61" s="296"/>
      <c r="O61" s="296"/>
      <c r="P61" s="296"/>
      <c r="Q61" s="296"/>
    </row>
    <row r="62" spans="1:17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1:17" x14ac:dyDescent="0.25">
      <c r="A63" t="s">
        <v>180</v>
      </c>
      <c r="B63" t="s">
        <v>91</v>
      </c>
      <c r="C63"/>
      <c r="D63"/>
      <c r="E63"/>
      <c r="F63"/>
      <c r="G63"/>
      <c r="H63"/>
      <c r="I63"/>
      <c r="J63"/>
      <c r="K63"/>
      <c r="L63"/>
      <c r="M63"/>
    </row>
    <row r="64" spans="1:17" x14ac:dyDescent="0.25">
      <c r="A64" t="s">
        <v>181</v>
      </c>
      <c r="B64" s="297">
        <v>195189</v>
      </c>
      <c r="C64"/>
      <c r="D64"/>
      <c r="E64"/>
      <c r="F64"/>
      <c r="G64"/>
      <c r="H64"/>
      <c r="I64"/>
      <c r="J64"/>
      <c r="K64"/>
      <c r="L64"/>
      <c r="M64"/>
    </row>
    <row r="65" spans="1:13" x14ac:dyDescent="0.25">
      <c r="A65" t="s">
        <v>182</v>
      </c>
      <c r="B65" s="297">
        <v>873386</v>
      </c>
      <c r="C65"/>
      <c r="D65"/>
      <c r="E65"/>
      <c r="F65"/>
      <c r="G65"/>
      <c r="H65"/>
      <c r="I65"/>
      <c r="J65"/>
      <c r="K65"/>
      <c r="L65"/>
      <c r="M65"/>
    </row>
    <row r="66" spans="1:13" x14ac:dyDescent="0.25">
      <c r="A66" t="s">
        <v>183</v>
      </c>
      <c r="B66" s="297">
        <v>3542</v>
      </c>
      <c r="C66"/>
      <c r="D66"/>
      <c r="E66"/>
      <c r="F66"/>
      <c r="G66"/>
      <c r="H66"/>
      <c r="I66"/>
      <c r="J66"/>
      <c r="K66"/>
      <c r="L66"/>
      <c r="M66"/>
    </row>
    <row r="67" spans="1:13" x14ac:dyDescent="0.25">
      <c r="A67" t="s">
        <v>9</v>
      </c>
      <c r="B67" s="297">
        <f>SUM(B64:B66)</f>
        <v>1072117</v>
      </c>
      <c r="C67"/>
      <c r="D67"/>
      <c r="E67"/>
      <c r="F67"/>
      <c r="G67"/>
      <c r="H67"/>
      <c r="I67"/>
      <c r="J67"/>
      <c r="K67"/>
      <c r="L67"/>
      <c r="M67"/>
    </row>
    <row r="68" spans="1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25">
      <c r="B70"/>
      <c r="C70"/>
      <c r="D70"/>
      <c r="E70"/>
      <c r="F70"/>
      <c r="G70"/>
      <c r="H70"/>
      <c r="I70"/>
      <c r="J70"/>
      <c r="K70"/>
      <c r="L70"/>
      <c r="M70"/>
    </row>
  </sheetData>
  <mergeCells count="1">
    <mergeCell ref="A1:C1"/>
  </mergeCells>
  <phoneticPr fontId="0" type="noConversion"/>
  <printOptions horizontalCentered="1"/>
  <pageMargins left="0.11811023622047245" right="0.15748031496062992" top="0.19685039370078741" bottom="0.31496062992125984" header="0.51181102362204722" footer="0.51181102362204722"/>
  <pageSetup paperSize="5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87"/>
  <sheetViews>
    <sheetView zoomScaleNormal="100" workbookViewId="0">
      <selection sqref="A1:Q287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109" customWidth="1"/>
    <col min="4" max="4" width="13.44140625" style="109" customWidth="1"/>
    <col min="5" max="5" width="10.109375" style="1" customWidth="1"/>
    <col min="6" max="6" width="12.44140625" style="1" customWidth="1"/>
    <col min="7" max="7" width="14.44140625" style="24" customWidth="1"/>
    <col min="8" max="8" width="15.44140625" style="1" bestFit="1" customWidth="1"/>
    <col min="9" max="9" width="16.33203125" style="1" customWidth="1"/>
    <col min="10" max="10" width="12.44140625" style="1" customWidth="1"/>
    <col min="11" max="11" width="34.109375" customWidth="1"/>
    <col min="12" max="14" width="18" customWidth="1"/>
    <col min="15" max="15" width="17.109375" customWidth="1"/>
    <col min="16" max="18" width="15.6640625" customWidth="1"/>
    <col min="19" max="20" width="19.33203125" bestFit="1" customWidth="1"/>
    <col min="21" max="21" width="19.109375" bestFit="1" customWidth="1"/>
    <col min="22" max="22" width="23" bestFit="1" customWidth="1"/>
    <col min="23" max="23" width="14.6640625" bestFit="1" customWidth="1"/>
    <col min="24" max="24" width="35.109375" bestFit="1" customWidth="1"/>
    <col min="25" max="25" width="9.33203125" customWidth="1"/>
    <col min="27" max="27" width="11.6640625" bestFit="1" customWidth="1"/>
    <col min="28" max="28" width="10.6640625" bestFit="1" customWidth="1"/>
  </cols>
  <sheetData>
    <row r="1" spans="1:36" ht="15.6" x14ac:dyDescent="0.3">
      <c r="A1" s="42" t="str">
        <f>Summary!A1</f>
        <v>InnPower Forecast for 2017 EB-2016-0086  Rate Application</v>
      </c>
      <c r="G1" s="1"/>
    </row>
    <row r="2" spans="1:36" ht="42" customHeight="1" x14ac:dyDescent="0.25">
      <c r="B2" s="82" t="s">
        <v>0</v>
      </c>
      <c r="C2" s="110" t="s">
        <v>3</v>
      </c>
      <c r="D2" s="110" t="s">
        <v>4</v>
      </c>
      <c r="E2" s="12" t="s">
        <v>5</v>
      </c>
      <c r="F2" s="12" t="s">
        <v>17</v>
      </c>
      <c r="G2" s="83" t="s">
        <v>72</v>
      </c>
      <c r="H2" s="12" t="s">
        <v>10</v>
      </c>
      <c r="I2" s="12" t="s">
        <v>11</v>
      </c>
      <c r="J2" s="12" t="s">
        <v>12</v>
      </c>
      <c r="K2" t="s">
        <v>18</v>
      </c>
    </row>
    <row r="3" spans="1:36" s="15" customFormat="1" ht="13.8" thickBot="1" x14ac:dyDescent="0.3">
      <c r="A3" s="3">
        <v>38718</v>
      </c>
      <c r="B3" s="28">
        <f>'[5]Consumption Data '!B54</f>
        <v>23275097</v>
      </c>
      <c r="C3" s="109">
        <v>551.79999999999995</v>
      </c>
      <c r="D3" s="109">
        <v>0</v>
      </c>
      <c r="E3" s="10">
        <v>31</v>
      </c>
      <c r="F3" s="10">
        <v>0</v>
      </c>
      <c r="G3" s="18">
        <f>'[5]Consumption Data '!AG54</f>
        <v>13803</v>
      </c>
      <c r="H3" s="10">
        <f>$L$18+C3*$L$19+D3*$L$20+E3*$L$21+F3*$L$22+G3*$L$23</f>
        <v>23116209.379653953</v>
      </c>
      <c r="I3" s="10"/>
      <c r="J3" s="1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x14ac:dyDescent="0.25">
      <c r="A4" s="3">
        <v>38749</v>
      </c>
      <c r="B4" s="28">
        <f>'[5]Consumption Data '!B55</f>
        <v>21949172.799999997</v>
      </c>
      <c r="C4" s="109">
        <v>604.29999999999995</v>
      </c>
      <c r="D4" s="109">
        <v>0</v>
      </c>
      <c r="E4" s="10">
        <v>28</v>
      </c>
      <c r="F4" s="10">
        <v>0</v>
      </c>
      <c r="G4" s="18">
        <f>'[5]Consumption Data '!AG55</f>
        <v>13808</v>
      </c>
      <c r="H4" s="10">
        <f t="shared" ref="H4:H67" si="0">$L$18+C4*$L$19+D4*$L$20+E4*$L$21+F4*$L$22+G4*$L$23</f>
        <v>21884887.998469278</v>
      </c>
      <c r="I4" s="10"/>
      <c r="J4" s="14"/>
      <c r="K4" s="55" t="s">
        <v>19</v>
      </c>
      <c r="L4" s="55"/>
    </row>
    <row r="5" spans="1:36" x14ac:dyDescent="0.25">
      <c r="A5" s="3">
        <v>38777</v>
      </c>
      <c r="B5" s="28">
        <f>'[5]Consumption Data '!B56</f>
        <v>22008625.099999998</v>
      </c>
      <c r="C5" s="109">
        <v>516.6</v>
      </c>
      <c r="D5" s="109">
        <v>0</v>
      </c>
      <c r="E5" s="10">
        <v>31</v>
      </c>
      <c r="F5" s="10">
        <v>1</v>
      </c>
      <c r="G5" s="18">
        <f>'[5]Consumption Data '!AG56</f>
        <v>13817</v>
      </c>
      <c r="H5" s="10">
        <f t="shared" si="0"/>
        <v>21513309.552074339</v>
      </c>
      <c r="I5" s="10"/>
      <c r="J5" s="14"/>
      <c r="K5" s="34" t="s">
        <v>20</v>
      </c>
      <c r="L5" s="67">
        <v>0.97096035619044385</v>
      </c>
    </row>
    <row r="6" spans="1:36" x14ac:dyDescent="0.25">
      <c r="A6" s="3">
        <v>38808</v>
      </c>
      <c r="B6" s="28">
        <f>'[5]Consumption Data '!B57</f>
        <v>17506649</v>
      </c>
      <c r="C6" s="109">
        <v>293.3</v>
      </c>
      <c r="D6" s="109">
        <v>0</v>
      </c>
      <c r="E6" s="10">
        <v>30</v>
      </c>
      <c r="F6" s="10">
        <v>1</v>
      </c>
      <c r="G6" s="18">
        <f>'[5]Consumption Data '!AG57</f>
        <v>13833</v>
      </c>
      <c r="H6" s="10">
        <f t="shared" si="0"/>
        <v>18083188.937630616</v>
      </c>
      <c r="I6" s="10"/>
      <c r="J6" s="14"/>
      <c r="K6" s="34" t="s">
        <v>21</v>
      </c>
      <c r="L6" s="67">
        <v>0.94276401329347359</v>
      </c>
    </row>
    <row r="7" spans="1:36" x14ac:dyDescent="0.25">
      <c r="A7" s="3">
        <v>38838</v>
      </c>
      <c r="B7" s="28">
        <f>'[5]Consumption Data '!B58</f>
        <v>16720482.399999999</v>
      </c>
      <c r="C7" s="109">
        <v>136.9</v>
      </c>
      <c r="D7" s="109">
        <v>26</v>
      </c>
      <c r="E7" s="10">
        <v>31</v>
      </c>
      <c r="F7" s="10">
        <v>1</v>
      </c>
      <c r="G7" s="18">
        <f>'[5]Consumption Data '!AG58</f>
        <v>13832</v>
      </c>
      <c r="H7" s="10">
        <f t="shared" si="0"/>
        <v>17537736.291731719</v>
      </c>
      <c r="I7" s="10"/>
      <c r="J7" s="14"/>
      <c r="K7" s="34" t="s">
        <v>22</v>
      </c>
      <c r="L7" s="67">
        <v>0.94025366299932778</v>
      </c>
    </row>
    <row r="8" spans="1:36" x14ac:dyDescent="0.25">
      <c r="A8" s="3">
        <v>38869</v>
      </c>
      <c r="B8" s="28">
        <f>'[5]Consumption Data '!B59</f>
        <v>17643644.800000001</v>
      </c>
      <c r="C8" s="109">
        <v>19.5</v>
      </c>
      <c r="D8" s="109">
        <v>73.599999999999994</v>
      </c>
      <c r="E8" s="10">
        <v>30</v>
      </c>
      <c r="F8" s="10">
        <v>0</v>
      </c>
      <c r="G8" s="18">
        <f>'[5]Consumption Data '!AG59</f>
        <v>13744</v>
      </c>
      <c r="H8" s="10">
        <f t="shared" si="0"/>
        <v>17995593.46109445</v>
      </c>
      <c r="I8" s="10"/>
      <c r="J8" s="14"/>
      <c r="K8" s="34" t="s">
        <v>23</v>
      </c>
      <c r="L8" s="34">
        <v>696812.72698010108</v>
      </c>
    </row>
    <row r="9" spans="1:36" ht="13.8" thickBot="1" x14ac:dyDescent="0.3">
      <c r="A9" s="3">
        <v>38899</v>
      </c>
      <c r="B9" s="28">
        <f>'[5]Consumption Data '!B60</f>
        <v>20377984.800000001</v>
      </c>
      <c r="C9" s="109">
        <v>0</v>
      </c>
      <c r="D9" s="109">
        <v>167.3</v>
      </c>
      <c r="E9" s="10">
        <v>31</v>
      </c>
      <c r="F9" s="10">
        <v>0</v>
      </c>
      <c r="G9" s="18">
        <f>'[5]Consumption Data '!AG60</f>
        <v>13764</v>
      </c>
      <c r="H9" s="10">
        <f t="shared" si="0"/>
        <v>21240865.026721369</v>
      </c>
      <c r="I9" s="10"/>
      <c r="J9" s="14"/>
      <c r="K9" s="53" t="s">
        <v>24</v>
      </c>
      <c r="L9" s="53">
        <v>120</v>
      </c>
    </row>
    <row r="10" spans="1:36" x14ac:dyDescent="0.25">
      <c r="A10" s="3">
        <v>38930</v>
      </c>
      <c r="B10" s="28">
        <f>'[5]Consumption Data '!B61</f>
        <v>18444800.600000001</v>
      </c>
      <c r="C10" s="109">
        <v>4.2</v>
      </c>
      <c r="D10" s="109">
        <v>101.6</v>
      </c>
      <c r="E10" s="10">
        <v>31</v>
      </c>
      <c r="F10" s="10">
        <v>0</v>
      </c>
      <c r="G10" s="18">
        <f>'[5]Consumption Data '!AG61</f>
        <v>13786</v>
      </c>
      <c r="H10" s="10">
        <f t="shared" si="0"/>
        <v>19309231.898903154</v>
      </c>
      <c r="I10" s="10"/>
      <c r="J10" s="14"/>
    </row>
    <row r="11" spans="1:36" ht="13.8" thickBot="1" x14ac:dyDescent="0.3">
      <c r="A11" s="3">
        <v>38961</v>
      </c>
      <c r="B11" s="28">
        <f>'[5]Consumption Data '!B62</f>
        <v>15835529.300000001</v>
      </c>
      <c r="C11" s="109">
        <v>80.900000000000006</v>
      </c>
      <c r="D11" s="109">
        <v>12.9</v>
      </c>
      <c r="E11" s="10">
        <v>30</v>
      </c>
      <c r="F11" s="10">
        <v>1</v>
      </c>
      <c r="G11" s="18">
        <f>'[5]Consumption Data '!AG62</f>
        <v>13796</v>
      </c>
      <c r="H11" s="10">
        <f t="shared" si="0"/>
        <v>15783820.677182335</v>
      </c>
      <c r="I11" s="10"/>
      <c r="J11" s="14"/>
      <c r="K11" t="s">
        <v>25</v>
      </c>
    </row>
    <row r="12" spans="1:36" x14ac:dyDescent="0.25">
      <c r="A12" s="3">
        <v>38991</v>
      </c>
      <c r="B12" s="28">
        <f>'[5]Consumption Data '!B63</f>
        <v>18304413.900000002</v>
      </c>
      <c r="C12" s="109">
        <v>288.3</v>
      </c>
      <c r="D12" s="109">
        <v>1.1000000000000001</v>
      </c>
      <c r="E12" s="10">
        <v>31</v>
      </c>
      <c r="F12" s="10">
        <v>1</v>
      </c>
      <c r="G12" s="18">
        <f>'[5]Consumption Data '!AG63</f>
        <v>13814</v>
      </c>
      <c r="H12" s="10">
        <f t="shared" si="0"/>
        <v>18674491.678024232</v>
      </c>
      <c r="I12" s="10"/>
      <c r="J12" s="14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</row>
    <row r="13" spans="1:36" x14ac:dyDescent="0.25">
      <c r="A13" s="3">
        <v>39022</v>
      </c>
      <c r="B13" s="28">
        <f>'[5]Consumption Data '!B64</f>
        <v>19538670.800000001</v>
      </c>
      <c r="C13" s="109">
        <v>382.2</v>
      </c>
      <c r="D13" s="109">
        <v>0</v>
      </c>
      <c r="E13" s="10">
        <v>30</v>
      </c>
      <c r="F13" s="10">
        <v>1</v>
      </c>
      <c r="G13" s="18">
        <f>'[5]Consumption Data '!AG64</f>
        <v>13635</v>
      </c>
      <c r="H13" s="10">
        <f t="shared" si="0"/>
        <v>19089721.174013518</v>
      </c>
      <c r="I13" s="10"/>
      <c r="J13" s="14"/>
      <c r="K13" s="34" t="s">
        <v>26</v>
      </c>
      <c r="L13" s="34">
        <v>5</v>
      </c>
      <c r="M13" s="34">
        <v>911739608654728.25</v>
      </c>
      <c r="N13" s="34">
        <v>182347921730945.66</v>
      </c>
      <c r="O13" s="34">
        <v>375.55078089778431</v>
      </c>
      <c r="P13" s="34">
        <v>4.7176619782713948E-69</v>
      </c>
    </row>
    <row r="14" spans="1:36" s="33" customFormat="1" x14ac:dyDescent="0.25">
      <c r="A14" s="3">
        <v>39052</v>
      </c>
      <c r="B14" s="28">
        <f>'[5]Consumption Data '!B65</f>
        <v>22793828.200000003</v>
      </c>
      <c r="C14" s="109">
        <v>500.5</v>
      </c>
      <c r="D14" s="109">
        <v>0</v>
      </c>
      <c r="E14" s="10">
        <v>31</v>
      </c>
      <c r="F14" s="10">
        <v>0</v>
      </c>
      <c r="G14" s="18">
        <f>'[5]Consumption Data '!AG65</f>
        <v>13832</v>
      </c>
      <c r="H14" s="10">
        <f t="shared" si="0"/>
        <v>22487477.594405957</v>
      </c>
      <c r="I14" s="18"/>
      <c r="J14" s="32"/>
      <c r="K14" s="34" t="s">
        <v>27</v>
      </c>
      <c r="L14" s="34">
        <v>114</v>
      </c>
      <c r="M14" s="34">
        <v>55352469318884.727</v>
      </c>
      <c r="N14" s="34">
        <v>485547976481.44495</v>
      </c>
      <c r="O14" s="34"/>
      <c r="P14" s="3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3.8" thickBot="1" x14ac:dyDescent="0.3">
      <c r="A15" s="3">
        <v>39083</v>
      </c>
      <c r="B15" s="28">
        <f>'[5]Consumption Data '!B66</f>
        <v>24279309.5</v>
      </c>
      <c r="C15" s="109">
        <v>647.1</v>
      </c>
      <c r="D15" s="109">
        <v>0</v>
      </c>
      <c r="E15" s="10">
        <v>31</v>
      </c>
      <c r="F15" s="10">
        <v>0</v>
      </c>
      <c r="G15" s="18">
        <f>'[5]Consumption Data '!AG66</f>
        <v>13849</v>
      </c>
      <c r="H15" s="10">
        <f t="shared" si="0"/>
        <v>24340327.622505404</v>
      </c>
      <c r="I15" s="10"/>
      <c r="J15" s="14"/>
      <c r="K15" s="53" t="s">
        <v>9</v>
      </c>
      <c r="L15" s="53">
        <v>119</v>
      </c>
      <c r="M15" s="53">
        <v>967092077973613</v>
      </c>
      <c r="N15" s="53"/>
      <c r="O15" s="53"/>
      <c r="P15" s="53"/>
    </row>
    <row r="16" spans="1:36" ht="13.8" thickBot="1" x14ac:dyDescent="0.3">
      <c r="A16" s="3">
        <v>39114</v>
      </c>
      <c r="B16" s="28">
        <f>'[5]Consumption Data '!B67</f>
        <v>23881688.099999998</v>
      </c>
      <c r="C16" s="109">
        <v>740.1</v>
      </c>
      <c r="D16" s="109">
        <v>0</v>
      </c>
      <c r="E16" s="10">
        <v>28</v>
      </c>
      <c r="F16" s="10">
        <v>0</v>
      </c>
      <c r="G16" s="18">
        <f>'[5]Consumption Data '!AG67</f>
        <v>13861</v>
      </c>
      <c r="H16" s="10">
        <f t="shared" si="0"/>
        <v>23622172.646944825</v>
      </c>
      <c r="I16" s="10"/>
      <c r="J16" s="14"/>
    </row>
    <row r="17" spans="1:17" x14ac:dyDescent="0.25">
      <c r="A17" s="3">
        <v>39142</v>
      </c>
      <c r="B17" s="28">
        <f>'[5]Consumption Data '!B68</f>
        <v>22297189.800000001</v>
      </c>
      <c r="C17" s="109">
        <v>546.70000000000005</v>
      </c>
      <c r="D17" s="109">
        <v>0</v>
      </c>
      <c r="E17" s="10">
        <v>31</v>
      </c>
      <c r="F17" s="10">
        <v>1</v>
      </c>
      <c r="G17" s="18">
        <f>'[5]Consumption Data '!AG68</f>
        <v>13865</v>
      </c>
      <c r="H17" s="10">
        <f t="shared" si="0"/>
        <v>21918749.764194641</v>
      </c>
      <c r="I17" s="10"/>
      <c r="J17" s="14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x14ac:dyDescent="0.25">
      <c r="A18" s="3">
        <v>39173</v>
      </c>
      <c r="B18" s="28">
        <f>'[5]Consumption Data '!B69</f>
        <v>18569417.100000001</v>
      </c>
      <c r="C18" s="109">
        <v>356.4</v>
      </c>
      <c r="D18" s="109">
        <v>0</v>
      </c>
      <c r="E18" s="10">
        <v>30</v>
      </c>
      <c r="F18" s="10">
        <v>1</v>
      </c>
      <c r="G18" s="18">
        <f>'[5]Consumption Data '!AG69</f>
        <v>13869</v>
      </c>
      <c r="H18" s="10">
        <f t="shared" si="0"/>
        <v>18896816.226500317</v>
      </c>
      <c r="I18" s="10"/>
      <c r="J18" s="14"/>
      <c r="K18" s="34" t="s">
        <v>28</v>
      </c>
      <c r="L18" s="65">
        <v>-11152353.863992907</v>
      </c>
      <c r="M18" s="34">
        <v>2795758.6493872874</v>
      </c>
      <c r="N18" s="63">
        <v>-3.9890259720512833</v>
      </c>
      <c r="O18" s="34">
        <v>1.1759158236377764E-4</v>
      </c>
      <c r="P18" s="34">
        <v>-16690730.215428516</v>
      </c>
      <c r="Q18" s="34">
        <v>-5613977.5125572989</v>
      </c>
    </row>
    <row r="19" spans="1:17" x14ac:dyDescent="0.25">
      <c r="A19" s="3">
        <v>39203</v>
      </c>
      <c r="B19" s="28">
        <f>'[5]Consumption Data '!B70</f>
        <v>16382762.399999999</v>
      </c>
      <c r="C19" s="109">
        <v>136.4</v>
      </c>
      <c r="D19" s="109">
        <v>22.4</v>
      </c>
      <c r="E19" s="10">
        <v>31</v>
      </c>
      <c r="F19" s="10">
        <v>1</v>
      </c>
      <c r="G19" s="18">
        <f>'[5]Consumption Data '!AG70</f>
        <v>13873</v>
      </c>
      <c r="H19" s="10">
        <f t="shared" si="0"/>
        <v>17445075.237986855</v>
      </c>
      <c r="I19" s="10"/>
      <c r="J19" s="14"/>
      <c r="K19" s="34" t="s">
        <v>3</v>
      </c>
      <c r="L19" s="65">
        <v>12573.649100048788</v>
      </c>
      <c r="M19" s="34">
        <v>413.7450040518205</v>
      </c>
      <c r="N19" s="63">
        <v>30.389851181076668</v>
      </c>
      <c r="O19" s="34">
        <v>1.6926846178586667E-56</v>
      </c>
      <c r="P19" s="34">
        <v>11754.02343369614</v>
      </c>
      <c r="Q19" s="34">
        <v>13393.274766401435</v>
      </c>
    </row>
    <row r="20" spans="1:17" x14ac:dyDescent="0.25">
      <c r="A20" s="3">
        <v>39234</v>
      </c>
      <c r="B20" s="28">
        <f>'[5]Consumption Data '!B71</f>
        <v>17880105.399999999</v>
      </c>
      <c r="C20" s="109">
        <v>16.5</v>
      </c>
      <c r="D20" s="109">
        <v>99.2</v>
      </c>
      <c r="E20" s="10">
        <v>30</v>
      </c>
      <c r="F20" s="10">
        <v>0</v>
      </c>
      <c r="G20" s="18">
        <f>'[5]Consumption Data '!AG71</f>
        <v>13881</v>
      </c>
      <c r="H20" s="10">
        <f t="shared" si="0"/>
        <v>18812914.033261929</v>
      </c>
      <c r="I20" s="10"/>
      <c r="J20" s="14"/>
      <c r="K20" s="34" t="s">
        <v>4</v>
      </c>
      <c r="L20" s="65">
        <v>30392.773980986316</v>
      </c>
      <c r="M20" s="34">
        <v>2560.9993073301134</v>
      </c>
      <c r="N20" s="63">
        <v>11.867544787691221</v>
      </c>
      <c r="O20" s="34">
        <v>1.2155821821774379E-21</v>
      </c>
      <c r="P20" s="34">
        <v>25319.454078043851</v>
      </c>
      <c r="Q20" s="34">
        <v>35466.093883928785</v>
      </c>
    </row>
    <row r="21" spans="1:17" x14ac:dyDescent="0.25">
      <c r="A21" s="3">
        <v>39264</v>
      </c>
      <c r="B21" s="28">
        <f>'[5]Consumption Data '!B72</f>
        <v>18476519.899999999</v>
      </c>
      <c r="C21" s="109">
        <v>3.2</v>
      </c>
      <c r="D21" s="109">
        <v>106.1</v>
      </c>
      <c r="E21" s="10">
        <v>31</v>
      </c>
      <c r="F21" s="10">
        <v>0</v>
      </c>
      <c r="G21" s="18">
        <f>'[5]Consumption Data '!AG72</f>
        <v>13905</v>
      </c>
      <c r="H21" s="10">
        <f t="shared" si="0"/>
        <v>19500297.222943611</v>
      </c>
      <c r="I21" s="10"/>
      <c r="J21" s="14"/>
      <c r="K21" s="34" t="s">
        <v>5</v>
      </c>
      <c r="L21" s="65">
        <v>631415.8951391083</v>
      </c>
      <c r="M21" s="34">
        <v>80720.426284717745</v>
      </c>
      <c r="N21" s="63">
        <v>7.8222566976043089</v>
      </c>
      <c r="O21" s="34">
        <v>2.871480061327748E-12</v>
      </c>
      <c r="P21" s="34">
        <v>471509.3523797543</v>
      </c>
      <c r="Q21" s="34">
        <v>791322.43789846229</v>
      </c>
    </row>
    <row r="22" spans="1:17" x14ac:dyDescent="0.25">
      <c r="A22" s="3">
        <v>39295</v>
      </c>
      <c r="B22" s="28">
        <f>'[5]Consumption Data '!B73</f>
        <v>19239333.699999999</v>
      </c>
      <c r="C22" s="109">
        <v>5.2</v>
      </c>
      <c r="D22" s="109">
        <v>141</v>
      </c>
      <c r="E22" s="10">
        <v>31</v>
      </c>
      <c r="F22" s="10">
        <v>0</v>
      </c>
      <c r="G22" s="18">
        <f>'[5]Consumption Data '!AG73</f>
        <v>13925</v>
      </c>
      <c r="H22" s="10">
        <f t="shared" si="0"/>
        <v>20597391.239000477</v>
      </c>
      <c r="I22" s="10"/>
      <c r="J22" s="14"/>
      <c r="K22" s="34" t="s">
        <v>17</v>
      </c>
      <c r="L22" s="65">
        <v>-1168174.6134021422</v>
      </c>
      <c r="M22" s="34">
        <v>174483.16420208474</v>
      </c>
      <c r="N22" s="63">
        <v>-6.6950563324790089</v>
      </c>
      <c r="O22" s="34">
        <v>8.503019227466306E-10</v>
      </c>
      <c r="P22" s="34">
        <v>-1513824.4178129293</v>
      </c>
      <c r="Q22" s="34">
        <v>-822524.80899135512</v>
      </c>
    </row>
    <row r="23" spans="1:17" ht="12.75" customHeight="1" thickBot="1" x14ac:dyDescent="0.3">
      <c r="A23" s="3">
        <v>39326</v>
      </c>
      <c r="B23" s="28">
        <f>'[5]Consumption Data '!B74</f>
        <v>16489843.199999999</v>
      </c>
      <c r="C23" s="109">
        <v>36.9</v>
      </c>
      <c r="D23" s="109">
        <v>47.5</v>
      </c>
      <c r="E23" s="10">
        <v>30</v>
      </c>
      <c r="F23" s="10">
        <v>1</v>
      </c>
      <c r="G23" s="18">
        <f>'[5]Consumption Data '!AG74</f>
        <v>13949</v>
      </c>
      <c r="H23" s="10">
        <f t="shared" si="0"/>
        <v>16368147.726812972</v>
      </c>
      <c r="I23" s="10"/>
      <c r="J23" s="14"/>
      <c r="K23" s="114" t="s">
        <v>72</v>
      </c>
      <c r="L23" s="66">
        <v>561.94529601735746</v>
      </c>
      <c r="M23" s="53">
        <v>96.230543861249402</v>
      </c>
      <c r="N23" s="64">
        <v>5.8395731071373946</v>
      </c>
      <c r="O23" s="53">
        <v>5.0296012411428711E-8</v>
      </c>
      <c r="P23" s="53">
        <v>371.31332979819422</v>
      </c>
      <c r="Q23" s="53">
        <v>752.57726223652071</v>
      </c>
    </row>
    <row r="24" spans="1:17" x14ac:dyDescent="0.25">
      <c r="A24" s="3">
        <v>39356</v>
      </c>
      <c r="B24" s="28">
        <f>'[5]Consumption Data '!B75</f>
        <v>17241374.899999999</v>
      </c>
      <c r="C24" s="109">
        <v>137.69999999999999</v>
      </c>
      <c r="D24" s="109">
        <v>19.8</v>
      </c>
      <c r="E24" s="10">
        <v>31</v>
      </c>
      <c r="F24" s="10">
        <v>1</v>
      </c>
      <c r="G24" s="18">
        <f>'[5]Consumption Data '!AG75</f>
        <v>13987</v>
      </c>
      <c r="H24" s="10">
        <f t="shared" si="0"/>
        <v>17446461.533212334</v>
      </c>
      <c r="I24" s="10"/>
      <c r="J24" s="14"/>
    </row>
    <row r="25" spans="1:17" x14ac:dyDescent="0.25">
      <c r="A25" s="3">
        <v>39387</v>
      </c>
      <c r="B25" s="28">
        <f>'[5]Consumption Data '!B76</f>
        <v>20822608.399999999</v>
      </c>
      <c r="C25" s="109">
        <v>462.5</v>
      </c>
      <c r="D25" s="109">
        <v>0</v>
      </c>
      <c r="E25" s="10">
        <v>30</v>
      </c>
      <c r="F25" s="10">
        <v>1</v>
      </c>
      <c r="G25" s="18">
        <f>'[5]Consumption Data '!AG76</f>
        <v>14001</v>
      </c>
      <c r="H25" s="10">
        <f t="shared" si="0"/>
        <v>20305057.175089788</v>
      </c>
      <c r="I25" s="10"/>
      <c r="J25" s="14"/>
    </row>
    <row r="26" spans="1:17" x14ac:dyDescent="0.25">
      <c r="A26" s="3">
        <v>39417</v>
      </c>
      <c r="B26" s="28">
        <f>'[5]Consumption Data '!B77</f>
        <v>25594483.699999999</v>
      </c>
      <c r="C26" s="109">
        <v>630.70000000000005</v>
      </c>
      <c r="D26" s="109">
        <v>0</v>
      </c>
      <c r="E26" s="10">
        <v>31</v>
      </c>
      <c r="F26" s="10">
        <v>0</v>
      </c>
      <c r="G26" s="18">
        <f>'[5]Consumption Data '!AG77</f>
        <v>14035</v>
      </c>
      <c r="H26" s="10">
        <f t="shared" si="0"/>
        <v>24238641.60232383</v>
      </c>
      <c r="I26" s="10"/>
      <c r="J26" s="14"/>
    </row>
    <row r="27" spans="1:17" x14ac:dyDescent="0.25">
      <c r="A27" s="3">
        <v>39448</v>
      </c>
      <c r="B27" s="28">
        <f>'[5]Consumption Data '!B78</f>
        <v>25337707.800000001</v>
      </c>
      <c r="C27" s="109">
        <f>'Weather Analysis'!N8</f>
        <v>623.5</v>
      </c>
      <c r="D27" s="109">
        <f>'Weather Analysis'!N28</f>
        <v>0</v>
      </c>
      <c r="E27" s="10">
        <v>31</v>
      </c>
      <c r="F27" s="10">
        <v>0</v>
      </c>
      <c r="G27" s="18">
        <f>'[5]Consumption Data '!AG78</f>
        <v>14052</v>
      </c>
      <c r="H27" s="10">
        <f t="shared" si="0"/>
        <v>24157664.398835775</v>
      </c>
      <c r="I27" s="10"/>
      <c r="J27" s="14"/>
    </row>
    <row r="28" spans="1:17" x14ac:dyDescent="0.25">
      <c r="A28" s="3">
        <v>39479</v>
      </c>
      <c r="B28" s="28">
        <f>'[5]Consumption Data '!B79</f>
        <v>23919251.399999999</v>
      </c>
      <c r="C28" s="109">
        <f>'Weather Analysis'!N9</f>
        <v>674.7</v>
      </c>
      <c r="D28" s="109">
        <f>'Weather Analysis'!N29</f>
        <v>0</v>
      </c>
      <c r="E28" s="10">
        <v>29</v>
      </c>
      <c r="F28" s="10">
        <v>0</v>
      </c>
      <c r="G28" s="18">
        <f>'[5]Consumption Data '!AG79</f>
        <v>14069</v>
      </c>
      <c r="H28" s="10">
        <f t="shared" si="0"/>
        <v>23548156.512512356</v>
      </c>
      <c r="I28" s="10"/>
      <c r="J28" s="14"/>
    </row>
    <row r="29" spans="1:17" x14ac:dyDescent="0.25">
      <c r="A29" s="3">
        <v>39508</v>
      </c>
      <c r="B29" s="28">
        <f>'[5]Consumption Data '!B80</f>
        <v>23324392.199999999</v>
      </c>
      <c r="C29" s="109">
        <f>'Weather Analysis'!N10</f>
        <v>610.20000000000005</v>
      </c>
      <c r="D29" s="109">
        <f>'Weather Analysis'!N30</f>
        <v>0</v>
      </c>
      <c r="E29" s="10">
        <v>31</v>
      </c>
      <c r="F29" s="10">
        <v>1</v>
      </c>
      <c r="G29" s="18">
        <f>'[5]Consumption Data '!AG80</f>
        <v>14091</v>
      </c>
      <c r="H29" s="10">
        <f t="shared" si="0"/>
        <v>22844176.118947662</v>
      </c>
      <c r="I29" s="10"/>
      <c r="J29" s="14"/>
    </row>
    <row r="30" spans="1:17" x14ac:dyDescent="0.25">
      <c r="A30" s="3">
        <v>39539</v>
      </c>
      <c r="B30" s="28">
        <f>'[5]Consumption Data '!B81</f>
        <v>17845472.600000001</v>
      </c>
      <c r="C30" s="109">
        <f>'Weather Analysis'!N11</f>
        <v>253.9</v>
      </c>
      <c r="D30" s="109">
        <f>'Weather Analysis'!N31</f>
        <v>0</v>
      </c>
      <c r="E30" s="10">
        <v>30</v>
      </c>
      <c r="F30" s="10">
        <v>1</v>
      </c>
      <c r="G30" s="18">
        <f>'[5]Consumption Data '!AG81</f>
        <v>14109</v>
      </c>
      <c r="H30" s="10">
        <f t="shared" si="0"/>
        <v>17742884.064789481</v>
      </c>
      <c r="I30" s="10"/>
      <c r="J30" s="14"/>
    </row>
    <row r="31" spans="1:17" x14ac:dyDescent="0.25">
      <c r="A31" s="3">
        <v>39569</v>
      </c>
      <c r="B31" s="28">
        <f>'[5]Consumption Data '!B82</f>
        <v>17203594.699999999</v>
      </c>
      <c r="C31" s="109">
        <f>'Weather Analysis'!N12</f>
        <v>193.5</v>
      </c>
      <c r="D31" s="109">
        <f>'Weather Analysis'!N32</f>
        <v>2.5</v>
      </c>
      <c r="E31" s="10">
        <v>31</v>
      </c>
      <c r="F31" s="10">
        <v>1</v>
      </c>
      <c r="G31" s="18">
        <f>'[5]Consumption Data '!AG82</f>
        <v>14151</v>
      </c>
      <c r="H31" s="10">
        <f t="shared" si="0"/>
        <v>17714435.191670839</v>
      </c>
      <c r="I31" s="10"/>
      <c r="J31" s="14"/>
    </row>
    <row r="32" spans="1:17" x14ac:dyDescent="0.25">
      <c r="A32" s="3">
        <v>39600</v>
      </c>
      <c r="B32" s="28">
        <f>'[5]Consumption Data '!B83</f>
        <v>17657148.199999999</v>
      </c>
      <c r="C32" s="109">
        <f>'Weather Analysis'!N13</f>
        <v>22.7</v>
      </c>
      <c r="D32" s="109">
        <f>'Weather Analysis'!N33</f>
        <v>71.5</v>
      </c>
      <c r="E32" s="10">
        <v>30</v>
      </c>
      <c r="F32" s="10">
        <v>0</v>
      </c>
      <c r="G32" s="18">
        <f>'[5]Consumption Data '!AG83</f>
        <v>14186</v>
      </c>
      <c r="H32" s="10">
        <f t="shared" si="0"/>
        <v>18220384.133694205</v>
      </c>
      <c r="I32" s="10"/>
      <c r="J32" s="14"/>
    </row>
    <row r="33" spans="1:10" x14ac:dyDescent="0.25">
      <c r="A33" s="3">
        <v>39630</v>
      </c>
      <c r="B33" s="28">
        <f>'[5]Consumption Data '!B84</f>
        <v>19399005.699999999</v>
      </c>
      <c r="C33" s="109">
        <f>'Weather Analysis'!N14</f>
        <v>1</v>
      </c>
      <c r="D33" s="109">
        <f>'Weather Analysis'!N34</f>
        <v>111</v>
      </c>
      <c r="E33" s="10">
        <v>31</v>
      </c>
      <c r="F33" s="10">
        <v>0</v>
      </c>
      <c r="G33" s="18">
        <f>'[5]Consumption Data '!AG84</f>
        <v>14218</v>
      </c>
      <c r="H33" s="10">
        <f t="shared" si="0"/>
        <v>19797448.665083766</v>
      </c>
      <c r="I33" s="10"/>
      <c r="J33" s="14"/>
    </row>
    <row r="34" spans="1:10" x14ac:dyDescent="0.25">
      <c r="A34" s="3">
        <v>39661</v>
      </c>
      <c r="B34" s="28">
        <f>'[5]Consumption Data '!B85</f>
        <v>18496934.800000001</v>
      </c>
      <c r="C34" s="109">
        <f>'Weather Analysis'!N15</f>
        <v>12.7</v>
      </c>
      <c r="D34" s="109">
        <f>'Weather Analysis'!N35</f>
        <v>64</v>
      </c>
      <c r="E34" s="10">
        <v>31</v>
      </c>
      <c r="F34" s="10">
        <v>0</v>
      </c>
      <c r="G34" s="18">
        <f>'[5]Consumption Data '!AG85</f>
        <v>14260</v>
      </c>
      <c r="H34" s="10">
        <f t="shared" si="0"/>
        <v>18539701.684880711</v>
      </c>
      <c r="I34" s="10"/>
      <c r="J34" s="14"/>
    </row>
    <row r="35" spans="1:10" x14ac:dyDescent="0.25">
      <c r="A35" s="3">
        <v>39692</v>
      </c>
      <c r="B35" s="28">
        <f>'[5]Consumption Data '!B86</f>
        <v>16944225</v>
      </c>
      <c r="C35" s="109">
        <f>'Weather Analysis'!N16</f>
        <v>59</v>
      </c>
      <c r="D35" s="109">
        <f>'Weather Analysis'!N36</f>
        <v>26.7</v>
      </c>
      <c r="E35" s="10">
        <v>30</v>
      </c>
      <c r="F35" s="10">
        <v>1</v>
      </c>
      <c r="G35" s="18">
        <f>'[5]Consumption Data '!AG86</f>
        <v>14297</v>
      </c>
      <c r="H35" s="10">
        <f t="shared" si="0"/>
        <v>16209412.636133574</v>
      </c>
      <c r="I35" s="10"/>
      <c r="J35" s="14"/>
    </row>
    <row r="36" spans="1:10" x14ac:dyDescent="0.25">
      <c r="A36" s="3">
        <v>39722</v>
      </c>
      <c r="B36" s="28">
        <f>'[5]Consumption Data '!B87</f>
        <v>18736114.300000001</v>
      </c>
      <c r="C36" s="109">
        <f>'Weather Analysis'!N17</f>
        <v>278.60000000000002</v>
      </c>
      <c r="D36" s="109">
        <f>'Weather Analysis'!N37</f>
        <v>0</v>
      </c>
      <c r="E36" s="10">
        <v>31</v>
      </c>
      <c r="F36" s="10">
        <v>1</v>
      </c>
      <c r="G36" s="18">
        <f>'[5]Consumption Data '!AG87</f>
        <v>14337</v>
      </c>
      <c r="H36" s="10">
        <f t="shared" si="0"/>
        <v>18812992.620191753</v>
      </c>
      <c r="I36" s="10"/>
      <c r="J36" s="14"/>
    </row>
    <row r="37" spans="1:10" x14ac:dyDescent="0.25">
      <c r="A37" s="3">
        <v>39753</v>
      </c>
      <c r="B37" s="28">
        <f>'[5]Consumption Data '!B88</f>
        <v>20914295.899999999</v>
      </c>
      <c r="C37" s="109">
        <f>'Weather Analysis'!N18</f>
        <v>451.6</v>
      </c>
      <c r="D37" s="109">
        <f>'Weather Analysis'!N38</f>
        <v>0</v>
      </c>
      <c r="E37" s="10">
        <v>30</v>
      </c>
      <c r="F37" s="10">
        <v>1</v>
      </c>
      <c r="G37" s="18">
        <f>'[5]Consumption Data '!AG88</f>
        <v>14348</v>
      </c>
      <c r="H37" s="10">
        <f t="shared" si="0"/>
        <v>20362999.41761728</v>
      </c>
      <c r="I37" s="10"/>
      <c r="J37" s="14"/>
    </row>
    <row r="38" spans="1:10" x14ac:dyDescent="0.25">
      <c r="A38" s="3">
        <v>39783</v>
      </c>
      <c r="B38" s="28">
        <f>'[5]Consumption Data '!B89</f>
        <v>25844885.199999999</v>
      </c>
      <c r="C38" s="109">
        <f>'Weather Analysis'!N19</f>
        <v>654.6</v>
      </c>
      <c r="D38" s="109">
        <f>'Weather Analysis'!N39</f>
        <v>0</v>
      </c>
      <c r="E38" s="10">
        <v>31</v>
      </c>
      <c r="F38" s="10">
        <v>0</v>
      </c>
      <c r="G38" s="18">
        <f>'[5]Consumption Data '!AG89</f>
        <v>14388</v>
      </c>
      <c r="H38" s="10">
        <f t="shared" si="0"/>
        <v>24737518.505309127</v>
      </c>
      <c r="I38" s="10"/>
      <c r="J38" s="14"/>
    </row>
    <row r="39" spans="1:10" x14ac:dyDescent="0.25">
      <c r="A39" s="3">
        <v>39814</v>
      </c>
      <c r="B39" s="28">
        <f>'[5]Consumption Data '!B90</f>
        <v>27698757.900000002</v>
      </c>
      <c r="C39" s="109">
        <f>'Weather Analysis'!O8</f>
        <v>830.2</v>
      </c>
      <c r="D39" s="109">
        <f>'Weather Analysis'!O28</f>
        <v>0</v>
      </c>
      <c r="E39" s="10">
        <v>31</v>
      </c>
      <c r="F39" s="10">
        <v>0</v>
      </c>
      <c r="G39" s="18">
        <f>'[5]Consumption Data '!AG90</f>
        <v>14411</v>
      </c>
      <c r="H39" s="10">
        <f t="shared" si="0"/>
        <v>26958376.029086094</v>
      </c>
      <c r="I39" s="10"/>
      <c r="J39" s="14"/>
    </row>
    <row r="40" spans="1:10" x14ac:dyDescent="0.25">
      <c r="A40" s="3">
        <v>39845</v>
      </c>
      <c r="B40" s="28">
        <f>'[5]Consumption Data '!B91</f>
        <v>22854686.900000002</v>
      </c>
      <c r="C40" s="109">
        <f>'Weather Analysis'!O9</f>
        <v>606.4</v>
      </c>
      <c r="D40" s="109">
        <f>'Weather Analysis'!O29</f>
        <v>0</v>
      </c>
      <c r="E40" s="10">
        <v>28</v>
      </c>
      <c r="F40" s="10">
        <v>0</v>
      </c>
      <c r="G40" s="18">
        <f>'[5]Consumption Data '!AG91</f>
        <v>14426</v>
      </c>
      <c r="H40" s="10">
        <f t="shared" si="0"/>
        <v>22258574.854518108</v>
      </c>
      <c r="I40" s="10"/>
      <c r="J40" s="14"/>
    </row>
    <row r="41" spans="1:10" x14ac:dyDescent="0.25">
      <c r="A41" s="3">
        <v>39873</v>
      </c>
      <c r="B41" s="28">
        <f>'[5]Consumption Data '!B92</f>
        <v>22750703.800000001</v>
      </c>
      <c r="C41" s="109">
        <f>'Weather Analysis'!O10</f>
        <v>533.79999999999995</v>
      </c>
      <c r="D41" s="109">
        <f>'Weather Analysis'!O30</f>
        <v>0</v>
      </c>
      <c r="E41" s="10">
        <v>31</v>
      </c>
      <c r="F41" s="10">
        <v>1</v>
      </c>
      <c r="G41" s="18">
        <f>'[5]Consumption Data '!AG92</f>
        <v>14438</v>
      </c>
      <c r="H41" s="10">
        <f t="shared" si="0"/>
        <v>22078544.345421955</v>
      </c>
      <c r="I41" s="10"/>
      <c r="J41" s="14"/>
    </row>
    <row r="42" spans="1:10" x14ac:dyDescent="0.25">
      <c r="A42" s="3">
        <v>39904</v>
      </c>
      <c r="B42" s="28">
        <f>'[5]Consumption Data '!B93</f>
        <v>18949041.899999999</v>
      </c>
      <c r="C42" s="109">
        <f>'Weather Analysis'!O11</f>
        <v>305.8</v>
      </c>
      <c r="D42" s="109">
        <f>'Weather Analysis'!O31</f>
        <v>1.2</v>
      </c>
      <c r="E42" s="10">
        <v>30</v>
      </c>
      <c r="F42" s="10">
        <v>1</v>
      </c>
      <c r="G42" s="18">
        <f>'[5]Consumption Data '!AG93</f>
        <v>14448</v>
      </c>
      <c r="H42" s="10">
        <f t="shared" si="0"/>
        <v>18622427.237209085</v>
      </c>
      <c r="I42" s="10"/>
      <c r="J42" s="14"/>
    </row>
    <row r="43" spans="1:10" x14ac:dyDescent="0.25">
      <c r="A43" s="3">
        <v>39934</v>
      </c>
      <c r="B43" s="28">
        <f>'[5]Consumption Data '!B94</f>
        <v>17348781.300000001</v>
      </c>
      <c r="C43" s="109">
        <f>'Weather Analysis'!O12</f>
        <v>158.80000000000001</v>
      </c>
      <c r="D43" s="109">
        <f>'Weather Analysis'!O32</f>
        <v>6.9</v>
      </c>
      <c r="E43" s="10">
        <v>31</v>
      </c>
      <c r="F43" s="10">
        <v>1</v>
      </c>
      <c r="G43" s="18">
        <f>'[5]Consumption Data '!AG94</f>
        <v>14455</v>
      </c>
      <c r="H43" s="10">
        <f t="shared" si="0"/>
        <v>17582689.143404759</v>
      </c>
      <c r="I43" s="10"/>
      <c r="J43" s="14"/>
    </row>
    <row r="44" spans="1:10" x14ac:dyDescent="0.25">
      <c r="A44" s="3">
        <v>39965</v>
      </c>
      <c r="B44" s="28">
        <f>'[5]Consumption Data '!B95</f>
        <v>17392957.300000001</v>
      </c>
      <c r="C44" s="109">
        <f>'Weather Analysis'!O13</f>
        <v>49.3</v>
      </c>
      <c r="D44" s="109">
        <f>'Weather Analysis'!O33</f>
        <v>34.200000000000003</v>
      </c>
      <c r="E44" s="10">
        <v>30</v>
      </c>
      <c r="F44" s="10">
        <v>0</v>
      </c>
      <c r="G44" s="18">
        <f>'[5]Consumption Data '!AG95</f>
        <v>14460</v>
      </c>
      <c r="H44" s="10">
        <f t="shared" si="0"/>
        <v>17575165.741373472</v>
      </c>
      <c r="I44" s="10"/>
      <c r="J44" s="14"/>
    </row>
    <row r="45" spans="1:10" x14ac:dyDescent="0.25">
      <c r="A45" s="3">
        <v>39995</v>
      </c>
      <c r="B45" s="28">
        <f>'[5]Consumption Data '!B96</f>
        <v>18006297.300000001</v>
      </c>
      <c r="C45" s="109">
        <f>'Weather Analysis'!O14</f>
        <v>6.2</v>
      </c>
      <c r="D45" s="109">
        <f>'Weather Analysis'!O34</f>
        <v>43.7</v>
      </c>
      <c r="E45" s="10">
        <v>31</v>
      </c>
      <c r="F45" s="10">
        <v>0</v>
      </c>
      <c r="G45" s="18">
        <f>'[5]Consumption Data '!AG96</f>
        <v>14710</v>
      </c>
      <c r="H45" s="10">
        <f t="shared" si="0"/>
        <v>18093875.037124179</v>
      </c>
      <c r="I45" s="10"/>
      <c r="J45" s="14"/>
    </row>
    <row r="46" spans="1:10" x14ac:dyDescent="0.25">
      <c r="A46" s="3">
        <v>40026</v>
      </c>
      <c r="B46" s="28">
        <f>'[5]Consumption Data '!B97</f>
        <v>20135392.300000001</v>
      </c>
      <c r="C46" s="109">
        <f>'Weather Analysis'!O15</f>
        <v>9.8000000000000007</v>
      </c>
      <c r="D46" s="109">
        <f>'Weather Analysis'!O35</f>
        <v>91</v>
      </c>
      <c r="E46" s="10">
        <v>31</v>
      </c>
      <c r="F46" s="10">
        <v>0</v>
      </c>
      <c r="G46" s="18">
        <f>'[5]Consumption Data '!AG97</f>
        <v>14976</v>
      </c>
      <c r="H46" s="10">
        <f t="shared" si="0"/>
        <v>19726195.831925623</v>
      </c>
      <c r="I46" s="10"/>
      <c r="J46" s="14"/>
    </row>
    <row r="47" spans="1:10" x14ac:dyDescent="0.25">
      <c r="A47" s="3">
        <v>40057</v>
      </c>
      <c r="B47" s="28">
        <f>'[5]Consumption Data '!B98</f>
        <v>17368091.399999999</v>
      </c>
      <c r="C47" s="109">
        <f>'Weather Analysis'!O16</f>
        <v>55.2</v>
      </c>
      <c r="D47" s="109">
        <f>'Weather Analysis'!O36</f>
        <v>20.9</v>
      </c>
      <c r="E47" s="10">
        <v>30</v>
      </c>
      <c r="F47" s="10">
        <v>1</v>
      </c>
      <c r="G47" s="18">
        <f>'[5]Consumption Data '!AG98</f>
        <v>15073</v>
      </c>
      <c r="H47" s="10">
        <f t="shared" si="0"/>
        <v>16421424.230173137</v>
      </c>
      <c r="I47" s="10"/>
      <c r="J47" s="14"/>
    </row>
    <row r="48" spans="1:10" x14ac:dyDescent="0.25">
      <c r="A48" s="3">
        <v>40087</v>
      </c>
      <c r="B48" s="28">
        <f>'[5]Consumption Data '!B99</f>
        <v>19458169</v>
      </c>
      <c r="C48" s="109">
        <f>'Weather Analysis'!O17</f>
        <v>287.8</v>
      </c>
      <c r="D48" s="109">
        <f>'Weather Analysis'!O37</f>
        <v>0</v>
      </c>
      <c r="E48" s="10">
        <v>31</v>
      </c>
      <c r="F48" s="10">
        <v>1</v>
      </c>
      <c r="G48" s="18">
        <f>'[5]Consumption Data '!AG99</f>
        <v>15110</v>
      </c>
      <c r="H48" s="10">
        <f t="shared" si="0"/>
        <v>19363053.905733619</v>
      </c>
      <c r="I48" s="10"/>
      <c r="J48" s="14"/>
    </row>
    <row r="49" spans="1:10" x14ac:dyDescent="0.25">
      <c r="A49" s="3">
        <v>40118</v>
      </c>
      <c r="B49" s="28">
        <f>'[5]Consumption Data '!B100</f>
        <v>19998429.5</v>
      </c>
      <c r="C49" s="109">
        <f>'Weather Analysis'!O18</f>
        <v>361.2</v>
      </c>
      <c r="D49" s="109">
        <f>'Weather Analysis'!O38</f>
        <v>0</v>
      </c>
      <c r="E49" s="10">
        <v>30</v>
      </c>
      <c r="F49" s="10">
        <v>1</v>
      </c>
      <c r="G49" s="18">
        <f>'[5]Consumption Data '!AG100</f>
        <v>15107</v>
      </c>
      <c r="H49" s="10">
        <f t="shared" si="0"/>
        <v>19652858.018650044</v>
      </c>
      <c r="I49" s="10"/>
      <c r="J49" s="14"/>
    </row>
    <row r="50" spans="1:10" x14ac:dyDescent="0.25">
      <c r="A50" s="3">
        <v>40148</v>
      </c>
      <c r="B50" s="28">
        <f>'[5]Consumption Data '!B101</f>
        <v>25277880.599999998</v>
      </c>
      <c r="C50" s="109">
        <f>'Weather Analysis'!O19</f>
        <v>631.29999999999995</v>
      </c>
      <c r="D50" s="109">
        <f>'Weather Analysis'!O39</f>
        <v>0</v>
      </c>
      <c r="E50" s="10">
        <v>31</v>
      </c>
      <c r="F50" s="10">
        <v>0</v>
      </c>
      <c r="G50" s="18">
        <f>'[5]Consumption Data '!AG101</f>
        <v>14563</v>
      </c>
      <c r="H50" s="10">
        <f t="shared" si="0"/>
        <v>24542892.908081025</v>
      </c>
      <c r="I50" s="10"/>
      <c r="J50" s="14"/>
    </row>
    <row r="51" spans="1:10" x14ac:dyDescent="0.25">
      <c r="A51" s="3">
        <v>40179</v>
      </c>
      <c r="B51" s="28">
        <f>'[5]Consumption Data '!B102</f>
        <v>26451955.599999998</v>
      </c>
      <c r="C51" s="109">
        <f>'Weather Analysis'!P8</f>
        <v>720</v>
      </c>
      <c r="D51" s="109">
        <f>'Weather Analysis'!P28</f>
        <v>0</v>
      </c>
      <c r="E51" s="10">
        <v>31</v>
      </c>
      <c r="F51" s="10">
        <v>0</v>
      </c>
      <c r="G51" s="18">
        <f>'[5]Consumption Data '!AG102</f>
        <v>14554</v>
      </c>
      <c r="H51" s="10">
        <f t="shared" si="0"/>
        <v>25653118.075591199</v>
      </c>
      <c r="I51" s="10"/>
      <c r="J51" s="14"/>
    </row>
    <row r="52" spans="1:10" x14ac:dyDescent="0.25">
      <c r="A52" s="3">
        <v>40210</v>
      </c>
      <c r="B52" s="28">
        <f>'[5]Consumption Data '!B103</f>
        <v>22355017.900000002</v>
      </c>
      <c r="C52" s="109">
        <f>'Weather Analysis'!P9</f>
        <v>598.29999999999995</v>
      </c>
      <c r="D52" s="109">
        <f>'Weather Analysis'!P29</f>
        <v>0</v>
      </c>
      <c r="E52" s="10">
        <v>28</v>
      </c>
      <c r="F52" s="10">
        <v>0</v>
      </c>
      <c r="G52" s="18">
        <f>'[5]Consumption Data '!AG103</f>
        <v>14553</v>
      </c>
      <c r="H52" s="10">
        <f t="shared" si="0"/>
        <v>22228095.349401917</v>
      </c>
      <c r="I52" s="10"/>
      <c r="J52" s="14"/>
    </row>
    <row r="53" spans="1:10" x14ac:dyDescent="0.25">
      <c r="A53" s="3">
        <v>40238</v>
      </c>
      <c r="B53" s="28">
        <f>'[5]Consumption Data '!B104</f>
        <v>21335193</v>
      </c>
      <c r="C53" s="109">
        <f>'Weather Analysis'!P10</f>
        <v>422.8</v>
      </c>
      <c r="D53" s="109">
        <f>'Weather Analysis'!P30</f>
        <v>0</v>
      </c>
      <c r="E53" s="10">
        <v>31</v>
      </c>
      <c r="F53" s="10">
        <v>1</v>
      </c>
      <c r="G53" s="18">
        <f>'[5]Consumption Data '!AG104</f>
        <v>14566</v>
      </c>
      <c r="H53" s="10">
        <f t="shared" si="0"/>
        <v>20754798.293206763</v>
      </c>
      <c r="I53" s="10"/>
      <c r="J53" s="14"/>
    </row>
    <row r="54" spans="1:10" x14ac:dyDescent="0.25">
      <c r="A54" s="3">
        <v>40269</v>
      </c>
      <c r="B54" s="28">
        <f>'[5]Consumption Data '!B105</f>
        <v>17366211</v>
      </c>
      <c r="C54" s="109">
        <f>'Weather Analysis'!P11</f>
        <v>225.1</v>
      </c>
      <c r="D54" s="109">
        <f>'Weather Analysis'!P31</f>
        <v>0</v>
      </c>
      <c r="E54" s="10">
        <v>30</v>
      </c>
      <c r="F54" s="10">
        <v>1</v>
      </c>
      <c r="G54" s="18">
        <f>'[5]Consumption Data '!AG105</f>
        <v>14576</v>
      </c>
      <c r="H54" s="10">
        <f t="shared" si="0"/>
        <v>17643191.423948187</v>
      </c>
      <c r="I54" s="10"/>
      <c r="J54" s="14"/>
    </row>
    <row r="55" spans="1:10" x14ac:dyDescent="0.25">
      <c r="A55" s="3">
        <v>40299</v>
      </c>
      <c r="B55" s="28">
        <f>'[5]Consumption Data '!B106</f>
        <v>18594842.100000001</v>
      </c>
      <c r="C55" s="109">
        <f>'Weather Analysis'!P12</f>
        <v>107.9</v>
      </c>
      <c r="D55" s="109">
        <f>'Weather Analysis'!P32</f>
        <v>45.7</v>
      </c>
      <c r="E55" s="10">
        <v>31</v>
      </c>
      <c r="F55" s="10">
        <v>1</v>
      </c>
      <c r="G55" s="18">
        <f>'[5]Consumption Data '!AG106</f>
        <v>14570</v>
      </c>
      <c r="H55" s="10">
        <f t="shared" si="0"/>
        <v>18186553.743716545</v>
      </c>
      <c r="I55" s="10"/>
      <c r="J55" s="14"/>
    </row>
    <row r="56" spans="1:10" x14ac:dyDescent="0.25">
      <c r="A56" s="3">
        <v>40330</v>
      </c>
      <c r="B56" s="28">
        <f>'[5]Consumption Data '!B107</f>
        <v>18232281.300000001</v>
      </c>
      <c r="C56" s="109">
        <f>'Weather Analysis'!P13</f>
        <v>21.7</v>
      </c>
      <c r="D56" s="109">
        <f>'Weather Analysis'!P33</f>
        <v>58.7</v>
      </c>
      <c r="E56" s="10">
        <v>30</v>
      </c>
      <c r="F56" s="10">
        <v>0</v>
      </c>
      <c r="G56" s="18">
        <f>'[5]Consumption Data '!AG107</f>
        <v>14584</v>
      </c>
      <c r="H56" s="10">
        <f t="shared" si="0"/>
        <v>18042437.205452438</v>
      </c>
      <c r="I56" s="10"/>
      <c r="J56" s="14"/>
    </row>
    <row r="57" spans="1:10" x14ac:dyDescent="0.25">
      <c r="A57" s="3">
        <v>40360</v>
      </c>
      <c r="B57" s="28">
        <f>'[5]Consumption Data '!B108</f>
        <v>22225961.800000001</v>
      </c>
      <c r="C57" s="109">
        <f>'Weather Analysis'!P14</f>
        <v>1.8</v>
      </c>
      <c r="D57" s="109">
        <f>'Weather Analysis'!P34</f>
        <v>164.9</v>
      </c>
      <c r="E57" s="10">
        <v>31</v>
      </c>
      <c r="F57" s="10">
        <v>0</v>
      </c>
      <c r="G57" s="18">
        <f>'[5]Consumption Data '!AG108</f>
        <v>14599</v>
      </c>
      <c r="H57" s="10">
        <f t="shared" si="0"/>
        <v>21659779.259721581</v>
      </c>
      <c r="I57" s="10"/>
      <c r="J57" s="14"/>
    </row>
    <row r="58" spans="1:10" x14ac:dyDescent="0.25">
      <c r="A58" s="3">
        <v>40391</v>
      </c>
      <c r="B58" s="28">
        <f>'[5]Consumption Data '!B109</f>
        <v>21301864.899999999</v>
      </c>
      <c r="C58" s="109">
        <f>'Weather Analysis'!P15</f>
        <v>2.1</v>
      </c>
      <c r="D58" s="109">
        <f>'Weather Analysis'!P35</f>
        <v>138.80000000000001</v>
      </c>
      <c r="E58" s="10">
        <v>31</v>
      </c>
      <c r="F58" s="10">
        <v>0</v>
      </c>
      <c r="G58" s="18">
        <f>'[5]Consumption Data '!AG109</f>
        <v>14633</v>
      </c>
      <c r="H58" s="10">
        <f t="shared" si="0"/>
        <v>20889406.093612444</v>
      </c>
      <c r="I58" s="10"/>
      <c r="J58" s="14"/>
    </row>
    <row r="59" spans="1:10" x14ac:dyDescent="0.25">
      <c r="A59" s="3">
        <v>40422</v>
      </c>
      <c r="B59" s="28">
        <f>'[5]Consumption Data '!B110</f>
        <v>17785837.5</v>
      </c>
      <c r="C59" s="109">
        <f>'Weather Analysis'!P16</f>
        <v>78.099999999999994</v>
      </c>
      <c r="D59" s="109">
        <f>'Weather Analysis'!P36</f>
        <v>31.5</v>
      </c>
      <c r="E59" s="10">
        <v>30</v>
      </c>
      <c r="F59" s="10">
        <v>1</v>
      </c>
      <c r="G59" s="18">
        <f>'[5]Consumption Data '!AG110</f>
        <v>14646</v>
      </c>
      <c r="H59" s="10">
        <f t="shared" si="0"/>
        <v>16791573.557363298</v>
      </c>
      <c r="I59" s="10"/>
      <c r="J59" s="14"/>
    </row>
    <row r="60" spans="1:10" x14ac:dyDescent="0.25">
      <c r="A60" s="3">
        <v>40452</v>
      </c>
      <c r="B60" s="28">
        <f>'[5]Consumption Data '!B111</f>
        <v>18734173.199999999</v>
      </c>
      <c r="C60" s="109">
        <f>'Weather Analysis'!P17</f>
        <v>241.6</v>
      </c>
      <c r="D60" s="109">
        <f>'Weather Analysis'!P37</f>
        <v>0</v>
      </c>
      <c r="E60" s="10">
        <v>31</v>
      </c>
      <c r="F60" s="10">
        <v>1</v>
      </c>
      <c r="G60" s="18">
        <f>'[5]Consumption Data '!AG111</f>
        <v>14664</v>
      </c>
      <c r="H60" s="10">
        <f t="shared" si="0"/>
        <v>18531523.715287626</v>
      </c>
      <c r="I60" s="10"/>
      <c r="J60" s="14"/>
    </row>
    <row r="61" spans="1:10" x14ac:dyDescent="0.25">
      <c r="A61" s="3">
        <v>40483</v>
      </c>
      <c r="B61" s="28">
        <f>'[5]Consumption Data '!B112</f>
        <v>20451455.399999999</v>
      </c>
      <c r="C61" s="109">
        <f>'Weather Analysis'!P18</f>
        <v>405.3</v>
      </c>
      <c r="D61" s="109">
        <f>'Weather Analysis'!P38</f>
        <v>0</v>
      </c>
      <c r="E61" s="10">
        <v>30</v>
      </c>
      <c r="F61" s="10">
        <v>1</v>
      </c>
      <c r="G61" s="18">
        <f>'[5]Consumption Data '!AG112</f>
        <v>14688</v>
      </c>
      <c r="H61" s="10">
        <f t="shared" si="0"/>
        <v>19971900.86493092</v>
      </c>
      <c r="I61" s="10"/>
      <c r="J61" s="14"/>
    </row>
    <row r="62" spans="1:10" x14ac:dyDescent="0.25">
      <c r="A62" s="3">
        <v>40513</v>
      </c>
      <c r="B62" s="28">
        <f>'[5]Consumption Data '!B113</f>
        <v>25404585.100000001</v>
      </c>
      <c r="C62" s="109">
        <f>'Weather Analysis'!P19</f>
        <v>676.2</v>
      </c>
      <c r="D62" s="109">
        <f>'Weather Analysis'!P39</f>
        <v>0</v>
      </c>
      <c r="E62" s="10">
        <v>31</v>
      </c>
      <c r="F62" s="10">
        <v>0</v>
      </c>
      <c r="G62" s="18">
        <f>'[5]Consumption Data '!AG113</f>
        <v>14707</v>
      </c>
      <c r="H62" s="10">
        <f t="shared" si="0"/>
        <v>25188369.875299718</v>
      </c>
      <c r="I62" s="10"/>
      <c r="J62" s="14"/>
    </row>
    <row r="63" spans="1:10" x14ac:dyDescent="0.25">
      <c r="A63" s="3">
        <v>40544</v>
      </c>
      <c r="B63" s="28">
        <f>'[5]Consumption Data '!B114</f>
        <v>26274474</v>
      </c>
      <c r="C63" s="109">
        <f>'Weather Analysis'!Q8</f>
        <v>775.3</v>
      </c>
      <c r="D63" s="109">
        <f>'Weather Analysis'!Q28</f>
        <v>0</v>
      </c>
      <c r="E63" s="49">
        <v>31</v>
      </c>
      <c r="F63" s="10">
        <v>0</v>
      </c>
      <c r="G63" s="18">
        <f>'[5]Consumption Data '!AG114</f>
        <v>14713</v>
      </c>
      <c r="H63" s="10">
        <f t="shared" si="0"/>
        <v>26437790.172890656</v>
      </c>
      <c r="I63" s="10"/>
      <c r="J63" s="14"/>
    </row>
    <row r="64" spans="1:10" x14ac:dyDescent="0.25">
      <c r="A64" s="3">
        <v>40575</v>
      </c>
      <c r="B64" s="28">
        <f>'[5]Consumption Data '!B115</f>
        <v>22971970.300000001</v>
      </c>
      <c r="C64" s="109">
        <f>'Weather Analysis'!Q9</f>
        <v>654.20000000000005</v>
      </c>
      <c r="D64" s="109">
        <f>'Weather Analysis'!Q29</f>
        <v>0</v>
      </c>
      <c r="E64" s="49">
        <v>28</v>
      </c>
      <c r="F64" s="10">
        <v>0</v>
      </c>
      <c r="G64" s="18">
        <f>'[5]Consumption Data '!AG115</f>
        <v>14716</v>
      </c>
      <c r="H64" s="10">
        <f t="shared" si="0"/>
        <v>23022559.417345475</v>
      </c>
      <c r="I64" s="10"/>
      <c r="J64" s="14"/>
    </row>
    <row r="65" spans="1:10" x14ac:dyDescent="0.25">
      <c r="A65" s="3">
        <v>40603</v>
      </c>
      <c r="B65" s="28">
        <f>'[5]Consumption Data '!B116</f>
        <v>22951605.199999999</v>
      </c>
      <c r="C65" s="109">
        <f>'Weather Analysis'!Q10</f>
        <v>572.79999999999995</v>
      </c>
      <c r="D65" s="109">
        <f>'Weather Analysis'!Q30</f>
        <v>0</v>
      </c>
      <c r="E65" s="49">
        <v>31</v>
      </c>
      <c r="F65" s="10">
        <v>1</v>
      </c>
      <c r="G65" s="18">
        <f>'[5]Consumption Data '!AG116</f>
        <v>14728</v>
      </c>
      <c r="H65" s="10">
        <f t="shared" si="0"/>
        <v>22731880.796168894</v>
      </c>
      <c r="I65" s="10"/>
      <c r="J65" s="14"/>
    </row>
    <row r="66" spans="1:10" x14ac:dyDescent="0.25">
      <c r="A66" s="3">
        <v>40634</v>
      </c>
      <c r="B66" s="28">
        <f>'[5]Consumption Data '!B117</f>
        <v>18914566.699999999</v>
      </c>
      <c r="C66" s="109">
        <f>'Weather Analysis'!Q11</f>
        <v>332.3</v>
      </c>
      <c r="D66" s="109">
        <f>'Weather Analysis'!Q31</f>
        <v>0</v>
      </c>
      <c r="E66" s="49">
        <v>30</v>
      </c>
      <c r="F66" s="10">
        <v>1</v>
      </c>
      <c r="G66" s="18">
        <f>'[5]Consumption Data '!AG117</f>
        <v>14729</v>
      </c>
      <c r="H66" s="10">
        <f t="shared" si="0"/>
        <v>19077064.237764068</v>
      </c>
      <c r="I66" s="10"/>
      <c r="J66" s="14"/>
    </row>
    <row r="67" spans="1:10" x14ac:dyDescent="0.25">
      <c r="A67" s="3">
        <v>40664</v>
      </c>
      <c r="B67" s="28">
        <f>'[5]Consumption Data '!B118</f>
        <v>17615740</v>
      </c>
      <c r="C67" s="109">
        <f>'Weather Analysis'!Q12</f>
        <v>134.1</v>
      </c>
      <c r="D67" s="109">
        <f>'Weather Analysis'!Q32</f>
        <v>13</v>
      </c>
      <c r="E67" s="49">
        <v>31</v>
      </c>
      <c r="F67" s="10">
        <v>1</v>
      </c>
      <c r="G67" s="18">
        <f>'[5]Consumption Data '!AG118</f>
        <v>14733</v>
      </c>
      <c r="H67" s="10">
        <f t="shared" si="0"/>
        <v>17613736.724210396</v>
      </c>
      <c r="I67" s="10"/>
      <c r="J67" s="14"/>
    </row>
    <row r="68" spans="1:10" x14ac:dyDescent="0.25">
      <c r="A68" s="3">
        <v>40695</v>
      </c>
      <c r="B68" s="28">
        <f>'[5]Consumption Data '!B119</f>
        <v>17571916.300000001</v>
      </c>
      <c r="C68" s="109">
        <f>'Weather Analysis'!Q13</f>
        <v>19</v>
      </c>
      <c r="D68" s="109">
        <f>'Weather Analysis'!Q33</f>
        <v>52.2</v>
      </c>
      <c r="E68" s="49">
        <v>30</v>
      </c>
      <c r="F68" s="10">
        <v>0</v>
      </c>
      <c r="G68" s="18">
        <f>'[5]Consumption Data '!AG119</f>
        <v>14742</v>
      </c>
      <c r="H68" s="10">
        <f t="shared" ref="H68:H98" si="1">$L$18+C68*$L$19+D68*$L$20+E68*$L$21+F68*$L$22+G68*$L$23</f>
        <v>17899722.67877664</v>
      </c>
      <c r="I68" s="10"/>
      <c r="J68" s="14"/>
    </row>
    <row r="69" spans="1:10" x14ac:dyDescent="0.25">
      <c r="A69" s="3">
        <v>40725</v>
      </c>
      <c r="B69" s="28">
        <f>'[5]Consumption Data '!B120</f>
        <v>22292830.300000001</v>
      </c>
      <c r="C69" s="109">
        <f>'Weather Analysis'!Q14</f>
        <v>0</v>
      </c>
      <c r="D69" s="109">
        <f>'Weather Analysis'!Q34</f>
        <v>198.5</v>
      </c>
      <c r="E69" s="49">
        <v>31</v>
      </c>
      <c r="F69" s="10">
        <v>0</v>
      </c>
      <c r="G69" s="18">
        <f>'[5]Consumption Data '!AG120</f>
        <v>14759</v>
      </c>
      <c r="H69" s="10">
        <f t="shared" si="1"/>
        <v>22748255.144465413</v>
      </c>
      <c r="I69" s="10"/>
      <c r="J69" s="14"/>
    </row>
    <row r="70" spans="1:10" x14ac:dyDescent="0.25">
      <c r="A70" s="3">
        <v>40756</v>
      </c>
      <c r="B70" s="28">
        <f>'[5]Consumption Data '!B121</f>
        <v>19354570.300000001</v>
      </c>
      <c r="C70" s="109">
        <f>'Weather Analysis'!Q15</f>
        <v>0</v>
      </c>
      <c r="D70" s="109">
        <f>'Weather Analysis'!Q35</f>
        <v>122.2</v>
      </c>
      <c r="E70" s="49">
        <v>31</v>
      </c>
      <c r="F70" s="10">
        <v>0</v>
      </c>
      <c r="G70" s="18">
        <f>'[5]Consumption Data '!AG121</f>
        <v>14772</v>
      </c>
      <c r="H70" s="10">
        <f t="shared" si="1"/>
        <v>20436591.778564382</v>
      </c>
      <c r="I70" s="10"/>
      <c r="J70" s="14"/>
    </row>
    <row r="71" spans="1:10" x14ac:dyDescent="0.25">
      <c r="A71" s="3">
        <v>40787</v>
      </c>
      <c r="B71" s="28">
        <f>'[5]Consumption Data '!B122</f>
        <v>17323768.100000001</v>
      </c>
      <c r="C71" s="109">
        <f>'Weather Analysis'!Q16</f>
        <v>48.2</v>
      </c>
      <c r="D71" s="109">
        <f>'Weather Analysis'!Q36</f>
        <v>39.700000000000003</v>
      </c>
      <c r="E71" s="49">
        <v>30</v>
      </c>
      <c r="F71" s="10">
        <v>1</v>
      </c>
      <c r="G71" s="18">
        <f>'[5]Consumption Data '!AG122</f>
        <v>14772</v>
      </c>
      <c r="H71" s="10">
        <f t="shared" si="1"/>
        <v>16735647.303214114</v>
      </c>
      <c r="I71" s="10"/>
      <c r="J71" s="14"/>
    </row>
    <row r="72" spans="1:10" x14ac:dyDescent="0.25">
      <c r="A72" s="3">
        <v>40817</v>
      </c>
      <c r="B72" s="28">
        <f>'[5]Consumption Data '!B123</f>
        <v>18576164</v>
      </c>
      <c r="C72" s="109">
        <f>'Weather Analysis'!Q17</f>
        <v>235.5</v>
      </c>
      <c r="D72" s="109">
        <f>'Weather Analysis'!Q37</f>
        <v>2.4</v>
      </c>
      <c r="E72" s="49">
        <v>31</v>
      </c>
      <c r="F72" s="10">
        <v>1</v>
      </c>
      <c r="G72" s="18">
        <f>'[5]Consumption Data '!AG123</f>
        <v>14794</v>
      </c>
      <c r="H72" s="10">
        <f t="shared" si="1"/>
        <v>18600820.001813948</v>
      </c>
      <c r="I72" s="10"/>
      <c r="J72" s="14"/>
    </row>
    <row r="73" spans="1:10" x14ac:dyDescent="0.25">
      <c r="A73" s="3">
        <v>40848</v>
      </c>
      <c r="B73" s="28">
        <f>'[5]Consumption Data '!B124</f>
        <v>19598868</v>
      </c>
      <c r="C73" s="109">
        <f>'Weather Analysis'!Q18</f>
        <v>342.1</v>
      </c>
      <c r="D73" s="109">
        <f>'Weather Analysis'!Q38</f>
        <v>0</v>
      </c>
      <c r="E73" s="49">
        <v>30</v>
      </c>
      <c r="F73" s="10">
        <v>1</v>
      </c>
      <c r="G73" s="18">
        <f>'[5]Consumption Data '!AG124</f>
        <v>14809</v>
      </c>
      <c r="H73" s="10">
        <f t="shared" si="1"/>
        <v>19245241.62262594</v>
      </c>
      <c r="I73" s="10"/>
      <c r="J73" s="14"/>
    </row>
    <row r="74" spans="1:10" x14ac:dyDescent="0.25">
      <c r="A74" s="3">
        <v>40878</v>
      </c>
      <c r="B74" s="28">
        <f>'[5]Consumption Data '!B125</f>
        <v>23311694</v>
      </c>
      <c r="C74" s="109">
        <f>'Weather Analysis'!Q19</f>
        <v>534</v>
      </c>
      <c r="D74" s="109">
        <f>'Weather Analysis'!Q39</f>
        <v>0</v>
      </c>
      <c r="E74" s="49">
        <v>31</v>
      </c>
      <c r="F74" s="10">
        <v>0</v>
      </c>
      <c r="G74" s="18">
        <f>(G73+G75)/2</f>
        <v>14817.5</v>
      </c>
      <c r="H74" s="10">
        <f t="shared" si="1"/>
        <v>23462491.928482696</v>
      </c>
      <c r="I74" s="10"/>
      <c r="J74" s="14"/>
    </row>
    <row r="75" spans="1:10" x14ac:dyDescent="0.25">
      <c r="A75" s="3">
        <v>40909</v>
      </c>
      <c r="B75" s="28">
        <f>'[6]Power Purchased'!B123</f>
        <v>24487281</v>
      </c>
      <c r="C75" s="118">
        <f>'Weather Analysis'!R8</f>
        <v>611.1</v>
      </c>
      <c r="D75" s="118">
        <f>'Weather Analysis'!R28</f>
        <v>0</v>
      </c>
      <c r="E75" s="10">
        <v>31</v>
      </c>
      <c r="F75" s="18">
        <v>0</v>
      </c>
      <c r="G75" s="18">
        <f>'[6]Customer Numbers'!$J6</f>
        <v>14826</v>
      </c>
      <c r="H75" s="10">
        <f t="shared" si="1"/>
        <v>24436696.809112608</v>
      </c>
    </row>
    <row r="76" spans="1:10" x14ac:dyDescent="0.25">
      <c r="A76" s="3">
        <v>40940</v>
      </c>
      <c r="B76" s="28">
        <f>'[6]Power Purchased'!B124</f>
        <v>21711326.899999999</v>
      </c>
      <c r="C76" s="118">
        <f>'Weather Analysis'!R9</f>
        <v>531.70000000000005</v>
      </c>
      <c r="D76" s="118">
        <f>'Weather Analysis'!R29</f>
        <v>0</v>
      </c>
      <c r="E76" s="10">
        <v>29</v>
      </c>
      <c r="F76" s="18">
        <v>0</v>
      </c>
      <c r="G76" s="18">
        <f>'[6]Customer Numbers'!$J7</f>
        <v>14835</v>
      </c>
      <c r="H76" s="10">
        <f t="shared" si="1"/>
        <v>22180574.787954673</v>
      </c>
    </row>
    <row r="77" spans="1:10" x14ac:dyDescent="0.25">
      <c r="A77" s="3">
        <v>40969</v>
      </c>
      <c r="B77" s="28">
        <f>'[6]Power Purchased'!B125</f>
        <v>20140443.699999999</v>
      </c>
      <c r="C77" s="118">
        <f>'Weather Analysis'!R10</f>
        <v>349.40000000000009</v>
      </c>
      <c r="D77" s="118">
        <f>'Weather Analysis'!R30</f>
        <v>0.2</v>
      </c>
      <c r="E77" s="10">
        <v>31</v>
      </c>
      <c r="F77" s="18">
        <v>1</v>
      </c>
      <c r="G77" s="18">
        <f>'[6]Customer Numbers'!$J8</f>
        <v>14856</v>
      </c>
      <c r="H77" s="10">
        <f t="shared" si="1"/>
        <v>20000935.139904413</v>
      </c>
    </row>
    <row r="78" spans="1:10" x14ac:dyDescent="0.25">
      <c r="A78" s="3">
        <v>41000</v>
      </c>
      <c r="B78" s="28">
        <f>'[6]Power Purchased'!B126</f>
        <v>18335838.899999999</v>
      </c>
      <c r="C78" s="118">
        <f>'Weather Analysis'!R11</f>
        <v>321.70000000000005</v>
      </c>
      <c r="D78" s="118">
        <f>'Weather Analysis'!R31</f>
        <v>0</v>
      </c>
      <c r="E78" s="10">
        <v>30</v>
      </c>
      <c r="F78" s="18">
        <v>1</v>
      </c>
      <c r="G78" s="18">
        <f>'[6]Customer Numbers'!$J9</f>
        <v>14867</v>
      </c>
      <c r="H78" s="10">
        <f t="shared" si="1"/>
        <v>19021332.008153949</v>
      </c>
    </row>
    <row r="79" spans="1:10" x14ac:dyDescent="0.25">
      <c r="A79" s="3">
        <v>41030</v>
      </c>
      <c r="B79" s="28">
        <f>'[6]Power Purchased'!B127</f>
        <v>17673429</v>
      </c>
      <c r="C79" s="118">
        <f>'Weather Analysis'!R12</f>
        <v>80.7</v>
      </c>
      <c r="D79" s="118">
        <f>'Weather Analysis'!R32</f>
        <v>36.700000000000003</v>
      </c>
      <c r="E79" s="10">
        <v>31</v>
      </c>
      <c r="F79" s="18">
        <v>1</v>
      </c>
      <c r="G79" s="18">
        <f>'[6]Customer Numbers'!$J10</f>
        <v>14877</v>
      </c>
      <c r="H79" s="10">
        <f t="shared" si="1"/>
        <v>17743532.728243671</v>
      </c>
    </row>
    <row r="80" spans="1:10" x14ac:dyDescent="0.25">
      <c r="A80" s="3">
        <v>41061</v>
      </c>
      <c r="B80" s="28">
        <f>'[6]Power Purchased'!B128</f>
        <v>19474755.100000001</v>
      </c>
      <c r="C80" s="118">
        <f>'Weather Analysis'!R13</f>
        <v>23.2</v>
      </c>
      <c r="D80" s="118">
        <f>'Weather Analysis'!R33</f>
        <v>101.60000000000001</v>
      </c>
      <c r="E80" s="10">
        <v>30</v>
      </c>
      <c r="F80" s="18">
        <v>0</v>
      </c>
      <c r="G80" s="18">
        <f>'[6]Customer Numbers'!$J11</f>
        <v>14882</v>
      </c>
      <c r="H80" s="10">
        <f t="shared" si="1"/>
        <v>19532607.381099999</v>
      </c>
    </row>
    <row r="81" spans="1:10" x14ac:dyDescent="0.25">
      <c r="A81" s="3">
        <v>41091</v>
      </c>
      <c r="B81" s="28">
        <f>'[6]Power Purchased'!B129</f>
        <v>22780193</v>
      </c>
      <c r="C81" s="118">
        <f>'Weather Analysis'!R14</f>
        <v>0</v>
      </c>
      <c r="D81" s="118">
        <f>'Weather Analysis'!R34</f>
        <v>195.39999999999998</v>
      </c>
      <c r="E81" s="10">
        <v>31</v>
      </c>
      <c r="F81" s="18">
        <v>0</v>
      </c>
      <c r="G81" s="18">
        <f>'[6]Customer Numbers'!$J12</f>
        <v>14921</v>
      </c>
      <c r="H81" s="10">
        <f t="shared" si="1"/>
        <v>22745072.683079168</v>
      </c>
    </row>
    <row r="82" spans="1:10" x14ac:dyDescent="0.25">
      <c r="A82" s="3">
        <v>41122</v>
      </c>
      <c r="B82" s="28">
        <f>'[6]Power Purchased'!B130</f>
        <v>20627757.200000003</v>
      </c>
      <c r="C82" s="118">
        <f>'Weather Analysis'!R15</f>
        <v>2</v>
      </c>
      <c r="D82" s="118">
        <f>'Weather Analysis'!R35</f>
        <v>112.10000000000001</v>
      </c>
      <c r="E82" s="10">
        <v>31</v>
      </c>
      <c r="F82" s="18">
        <v>0</v>
      </c>
      <c r="G82" s="18">
        <f>'[6]Customer Numbers'!$J13</f>
        <v>14953</v>
      </c>
      <c r="H82" s="10">
        <f t="shared" si="1"/>
        <v>20256484.15813566</v>
      </c>
    </row>
    <row r="83" spans="1:10" x14ac:dyDescent="0.25">
      <c r="A83" s="3">
        <v>41153</v>
      </c>
      <c r="B83" s="28">
        <f>'[6]Power Purchased'!B131</f>
        <v>17795945.799999997</v>
      </c>
      <c r="C83" s="118">
        <f>'Weather Analysis'!R16</f>
        <v>85</v>
      </c>
      <c r="D83" s="118">
        <f>'Weather Analysis'!R36</f>
        <v>35.6</v>
      </c>
      <c r="E83" s="10">
        <v>30</v>
      </c>
      <c r="F83" s="18">
        <v>1</v>
      </c>
      <c r="G83" s="18">
        <f>'[6]Customer Numbers'!$J14</f>
        <v>14968</v>
      </c>
      <c r="H83" s="10">
        <f t="shared" si="1"/>
        <v>17183888.49479327</v>
      </c>
    </row>
    <row r="84" spans="1:10" x14ac:dyDescent="0.25">
      <c r="A84" s="3">
        <v>41183</v>
      </c>
      <c r="B84" s="28">
        <f>'[6]Power Purchased'!B132</f>
        <v>17475406.5</v>
      </c>
      <c r="C84" s="118">
        <f>'Weather Analysis'!R17</f>
        <v>242.50000000000003</v>
      </c>
      <c r="D84" s="118">
        <f>'Weather Analysis'!R37</f>
        <v>1.1000000000000001</v>
      </c>
      <c r="E84" s="10">
        <v>31</v>
      </c>
      <c r="F84" s="18">
        <v>1</v>
      </c>
      <c r="G84" s="18">
        <f>'[6]Customer Numbers'!$J15</f>
        <v>15012</v>
      </c>
      <c r="H84" s="10">
        <f t="shared" si="1"/>
        <v>18771829.013870791</v>
      </c>
    </row>
    <row r="85" spans="1:10" x14ac:dyDescent="0.25">
      <c r="A85" s="3">
        <v>41214</v>
      </c>
      <c r="B85" s="28">
        <f>'[6]Power Purchased'!B133</f>
        <v>20981769.300000001</v>
      </c>
      <c r="C85" s="118">
        <f>'Weather Analysis'!R18</f>
        <v>433.99999999999994</v>
      </c>
      <c r="D85" s="118">
        <f>'Weather Analysis'!R38</f>
        <v>0</v>
      </c>
      <c r="E85" s="10">
        <v>30</v>
      </c>
      <c r="F85" s="18">
        <v>1</v>
      </c>
      <c r="G85" s="18">
        <f>'[6]Customer Numbers'!$J16</f>
        <v>15036</v>
      </c>
      <c r="H85" s="10">
        <f t="shared" si="1"/>
        <v>20528321.557116359</v>
      </c>
    </row>
    <row r="86" spans="1:10" x14ac:dyDescent="0.25">
      <c r="A86" s="3">
        <v>41244</v>
      </c>
      <c r="B86" s="28">
        <f>'[6]Power Purchased'!B134</f>
        <v>23645692</v>
      </c>
      <c r="C86" s="118">
        <f>'Weather Analysis'!R19</f>
        <v>533.50000000000011</v>
      </c>
      <c r="D86" s="118">
        <f>'Weather Analysis'!R39</f>
        <v>0</v>
      </c>
      <c r="E86" s="10">
        <v>31</v>
      </c>
      <c r="F86" s="18">
        <v>0</v>
      </c>
      <c r="G86" s="18">
        <f>'[6]Customer Numbers'!$J17</f>
        <v>15062</v>
      </c>
      <c r="H86" s="10">
        <f t="shared" si="1"/>
        <v>23593600.728808917</v>
      </c>
      <c r="I86" s="50"/>
      <c r="J86" s="24"/>
    </row>
    <row r="87" spans="1:10" x14ac:dyDescent="0.25">
      <c r="A87" s="3">
        <v>41275</v>
      </c>
      <c r="B87" s="28">
        <f>'[6]Power Purchased'!B135</f>
        <v>24487280.699999999</v>
      </c>
      <c r="C87" s="118">
        <f>'Weather Analysis'!S8</f>
        <v>624.40000000000009</v>
      </c>
      <c r="D87" s="109">
        <f>'Weather Analysis'!S28</f>
        <v>0</v>
      </c>
      <c r="E87" s="10">
        <v>31</v>
      </c>
      <c r="F87" s="18">
        <v>0</v>
      </c>
      <c r="G87" s="18">
        <f>'[6]Customer Numbers'!J23</f>
        <v>15076</v>
      </c>
      <c r="H87" s="10">
        <f t="shared" si="1"/>
        <v>24744412.666147593</v>
      </c>
      <c r="I87" s="49"/>
    </row>
    <row r="88" spans="1:10" x14ac:dyDescent="0.25">
      <c r="A88" s="3">
        <v>41306</v>
      </c>
      <c r="B88" s="28">
        <f>'[6]Power Purchased'!B136</f>
        <v>21711326.899999999</v>
      </c>
      <c r="C88" s="118">
        <f>'Weather Analysis'!S9</f>
        <v>631.49999999999989</v>
      </c>
      <c r="D88" s="109">
        <f>'Weather Analysis'!S29</f>
        <v>0</v>
      </c>
      <c r="E88" s="10">
        <v>28</v>
      </c>
      <c r="F88" s="18">
        <v>0</v>
      </c>
      <c r="G88" s="18">
        <f>'[6]Customer Numbers'!J24</f>
        <v>15088</v>
      </c>
      <c r="H88" s="10">
        <f t="shared" si="1"/>
        <v>22946181.232892822</v>
      </c>
      <c r="I88" s="49"/>
    </row>
    <row r="89" spans="1:10" x14ac:dyDescent="0.25">
      <c r="A89" s="3">
        <v>41334</v>
      </c>
      <c r="B89" s="28">
        <f>'[6]Power Purchased'!B137</f>
        <v>20140443.699999999</v>
      </c>
      <c r="C89" s="118">
        <f>'Weather Analysis'!S10</f>
        <v>554.79999999999995</v>
      </c>
      <c r="D89" s="109">
        <f>'Weather Analysis'!S30</f>
        <v>0</v>
      </c>
      <c r="E89" s="10">
        <v>31</v>
      </c>
      <c r="F89" s="18">
        <v>1</v>
      </c>
      <c r="G89" s="18">
        <f>'[6]Customer Numbers'!J25</f>
        <v>15100</v>
      </c>
      <c r="H89" s="10">
        <f t="shared" si="1"/>
        <v>22714598.762486473</v>
      </c>
      <c r="I89" s="49"/>
    </row>
    <row r="90" spans="1:10" x14ac:dyDescent="0.25">
      <c r="A90" s="3">
        <v>41365</v>
      </c>
      <c r="B90" s="28">
        <f>'[6]Power Purchased'!B138</f>
        <v>18335838.899999999</v>
      </c>
      <c r="C90" s="118">
        <f>'Weather Analysis'!S11</f>
        <v>358.6</v>
      </c>
      <c r="D90" s="109">
        <f>'Weather Analysis'!S31</f>
        <v>0</v>
      </c>
      <c r="E90" s="10">
        <v>30</v>
      </c>
      <c r="F90" s="18">
        <v>1</v>
      </c>
      <c r="G90" s="18">
        <f>'[6]Customer Numbers'!J26</f>
        <v>15107</v>
      </c>
      <c r="H90" s="10">
        <f t="shared" si="1"/>
        <v>19620166.530989915</v>
      </c>
      <c r="I90" s="49"/>
      <c r="J90" s="49"/>
    </row>
    <row r="91" spans="1:10" x14ac:dyDescent="0.25">
      <c r="A91" s="3">
        <v>41395</v>
      </c>
      <c r="B91" s="28">
        <f>'[6]Power Purchased'!B139</f>
        <v>17673429</v>
      </c>
      <c r="C91" s="118">
        <f>'Weather Analysis'!S12</f>
        <v>109.10000000000001</v>
      </c>
      <c r="D91" s="109">
        <f>'Weather Analysis'!S32</f>
        <v>23.1</v>
      </c>
      <c r="E91" s="10">
        <v>31</v>
      </c>
      <c r="F91" s="18">
        <v>1</v>
      </c>
      <c r="G91" s="18">
        <f>'[6]Customer Numbers'!J27</f>
        <v>15139</v>
      </c>
      <c r="H91" s="10">
        <f t="shared" si="1"/>
        <v>17834512.304100189</v>
      </c>
      <c r="I91" s="49"/>
    </row>
    <row r="92" spans="1:10" x14ac:dyDescent="0.25">
      <c r="A92" s="3">
        <v>41426</v>
      </c>
      <c r="B92" s="28">
        <f>'[6]Power Purchased'!B140</f>
        <v>19474755.100000001</v>
      </c>
      <c r="C92" s="118">
        <f>'Weather Analysis'!S13</f>
        <v>32.999999999999993</v>
      </c>
      <c r="D92" s="109">
        <f>'Weather Analysis'!S33</f>
        <v>59.6</v>
      </c>
      <c r="E92" s="10">
        <v>30</v>
      </c>
      <c r="F92" s="18">
        <v>0</v>
      </c>
      <c r="G92" s="18">
        <f>'[6]Customer Numbers'!J28</f>
        <v>15172</v>
      </c>
      <c r="H92" s="10">
        <f t="shared" si="1"/>
        <v>18542296.770924084</v>
      </c>
      <c r="I92" s="49"/>
    </row>
    <row r="93" spans="1:10" x14ac:dyDescent="0.25">
      <c r="A93" s="3">
        <v>41456</v>
      </c>
      <c r="B93" s="28">
        <f>'[6]Power Purchased'!B141</f>
        <v>22780193</v>
      </c>
      <c r="C93" s="118">
        <f>'Weather Analysis'!S14</f>
        <v>1.2999999999999998</v>
      </c>
      <c r="D93" s="109">
        <f>'Weather Analysis'!S34</f>
        <v>120.80000000000003</v>
      </c>
      <c r="E93" s="10">
        <v>31</v>
      </c>
      <c r="F93" s="18">
        <v>0</v>
      </c>
      <c r="G93" s="18">
        <f>'[6]Customer Numbers'!J29</f>
        <v>15207</v>
      </c>
      <c r="H93" s="10">
        <f t="shared" si="1"/>
        <v>20654833.842588615</v>
      </c>
      <c r="I93" s="49"/>
    </row>
    <row r="94" spans="1:10" x14ac:dyDescent="0.25">
      <c r="A94" s="3">
        <v>41487</v>
      </c>
      <c r="B94" s="28">
        <f>'[6]Power Purchased'!B142</f>
        <v>20627757.200000003</v>
      </c>
      <c r="C94" s="118">
        <f>'Weather Analysis'!S15</f>
        <v>4.4000000000000004</v>
      </c>
      <c r="D94" s="109">
        <f>'Weather Analysis'!S35</f>
        <v>93.799999999999983</v>
      </c>
      <c r="E94" s="10">
        <v>31</v>
      </c>
      <c r="F94" s="18">
        <v>0</v>
      </c>
      <c r="G94" s="18">
        <f>'[6]Customer Numbers'!J30</f>
        <v>15244</v>
      </c>
      <c r="H94" s="10">
        <f t="shared" si="1"/>
        <v>19893999.233264778</v>
      </c>
      <c r="I94" s="49"/>
    </row>
    <row r="95" spans="1:10" x14ac:dyDescent="0.25">
      <c r="A95" s="3">
        <v>41518</v>
      </c>
      <c r="B95" s="28">
        <f>'[6]Power Purchased'!B143</f>
        <v>17795945.799999997</v>
      </c>
      <c r="C95" s="118">
        <f>'Weather Analysis'!S16</f>
        <v>82.999999999999986</v>
      </c>
      <c r="D95" s="109">
        <f>'Weather Analysis'!S36</f>
        <v>28.099999999999998</v>
      </c>
      <c r="E95" s="10">
        <v>30</v>
      </c>
      <c r="F95" s="18">
        <v>1</v>
      </c>
      <c r="G95" s="18">
        <f>'[6]Customer Numbers'!J31</f>
        <v>15260</v>
      </c>
      <c r="H95" s="10">
        <f t="shared" si="1"/>
        <v>17094883.418172844</v>
      </c>
      <c r="I95" s="49"/>
    </row>
    <row r="96" spans="1:10" x14ac:dyDescent="0.25">
      <c r="A96" s="3">
        <v>41548</v>
      </c>
      <c r="B96" s="28">
        <f>'[6]Power Purchased'!B144</f>
        <v>17475406.5</v>
      </c>
      <c r="C96" s="118">
        <f>'Weather Analysis'!S17</f>
        <v>208.5</v>
      </c>
      <c r="D96" s="109">
        <f>'Weather Analysis'!S37</f>
        <v>0.4</v>
      </c>
      <c r="E96" s="10">
        <v>31</v>
      </c>
      <c r="F96" s="18">
        <v>1</v>
      </c>
      <c r="G96" s="18">
        <f>'[6]Customer Numbers'!J32</f>
        <v>15288</v>
      </c>
      <c r="H96" s="10">
        <f t="shared" si="1"/>
        <v>18478146.904383235</v>
      </c>
      <c r="I96" s="49"/>
    </row>
    <row r="97" spans="1:12" x14ac:dyDescent="0.25">
      <c r="A97" s="3">
        <v>41579</v>
      </c>
      <c r="B97" s="28">
        <f>'[6]Power Purchased'!B145</f>
        <v>20981769.300000001</v>
      </c>
      <c r="C97" s="118">
        <f>'Weather Analysis'!S18</f>
        <v>478.20000000000005</v>
      </c>
      <c r="D97" s="109">
        <f>'Weather Analysis'!S38</f>
        <v>0</v>
      </c>
      <c r="E97" s="10">
        <v>30</v>
      </c>
      <c r="F97" s="18">
        <v>1</v>
      </c>
      <c r="G97" s="18">
        <f>'[6]Customer Numbers'!J33</f>
        <v>15334</v>
      </c>
      <c r="H97" s="10">
        <f t="shared" si="1"/>
        <v>21251536.545551687</v>
      </c>
      <c r="I97" s="49"/>
    </row>
    <row r="98" spans="1:12" x14ac:dyDescent="0.25">
      <c r="A98" s="3">
        <v>41609</v>
      </c>
      <c r="B98" s="28">
        <f>'[6]Power Purchased'!B146</f>
        <v>23645692</v>
      </c>
      <c r="C98" s="118">
        <f>'Weather Analysis'!S19</f>
        <v>687.9</v>
      </c>
      <c r="D98" s="109">
        <f>'Weather Analysis'!S39</f>
        <v>0</v>
      </c>
      <c r="E98" s="10">
        <v>31</v>
      </c>
      <c r="F98" s="18">
        <v>0</v>
      </c>
      <c r="G98" s="18">
        <f>'[6]Customer Numbers'!J34</f>
        <v>15352</v>
      </c>
      <c r="H98" s="10">
        <f t="shared" si="1"/>
        <v>25697936.285701483</v>
      </c>
      <c r="I98" s="49"/>
    </row>
    <row r="99" spans="1:12" x14ac:dyDescent="0.25">
      <c r="A99" s="3">
        <v>41640</v>
      </c>
      <c r="B99" s="28">
        <f>'[6]Power Purchased'!B147</f>
        <v>27344318</v>
      </c>
      <c r="C99" s="118">
        <f>'Weather Analysis'!T8</f>
        <v>825.90000000000009</v>
      </c>
      <c r="D99" s="109">
        <f>'Weather Analysis'!T28</f>
        <v>0</v>
      </c>
      <c r="E99" s="10">
        <v>31</v>
      </c>
      <c r="F99" s="18">
        <v>0</v>
      </c>
      <c r="G99" s="18">
        <f>'[6]Customer Numbers'!J41</f>
        <v>15406</v>
      </c>
      <c r="H99" s="10">
        <f>$L$18+C99*$L$19+D99*$L$20+E99*$L$21+F99*$L$22+G99*$L$23</f>
        <v>27463444.907493152</v>
      </c>
      <c r="I99" s="49"/>
    </row>
    <row r="100" spans="1:12" x14ac:dyDescent="0.25">
      <c r="A100" s="3">
        <v>41671</v>
      </c>
      <c r="B100" s="28">
        <f>'[6]Power Purchased'!B148</f>
        <v>23698938</v>
      </c>
      <c r="C100" s="118">
        <f>'Weather Analysis'!T9</f>
        <v>737.09999999999991</v>
      </c>
      <c r="D100" s="109">
        <f>'Weather Analysis'!T29</f>
        <v>0</v>
      </c>
      <c r="E100" s="10">
        <v>28</v>
      </c>
      <c r="F100" s="18">
        <v>0</v>
      </c>
      <c r="G100" s="18">
        <f>'[6]Customer Numbers'!J42</f>
        <v>15425</v>
      </c>
      <c r="H100" s="10">
        <f t="shared" ref="H100:H163" si="2">$L$18+C100*$L$19+D100*$L$20+E100*$L$21+F100*$L$22+G100*$L$23</f>
        <v>24463334.142615825</v>
      </c>
      <c r="I100" s="49"/>
    </row>
    <row r="101" spans="1:12" x14ac:dyDescent="0.25">
      <c r="A101" s="3">
        <v>41699</v>
      </c>
      <c r="B101" s="28">
        <f>'[6]Power Purchased'!B149</f>
        <v>24427815</v>
      </c>
      <c r="C101" s="118">
        <f>'Weather Analysis'!T10</f>
        <v>690.6</v>
      </c>
      <c r="D101" s="109">
        <f>'Weather Analysis'!T30</f>
        <v>0</v>
      </c>
      <c r="E101" s="10">
        <v>31</v>
      </c>
      <c r="F101" s="18">
        <v>1</v>
      </c>
      <c r="G101" s="18">
        <f>'[6]Customer Numbers'!J43</f>
        <v>15444</v>
      </c>
      <c r="H101" s="10">
        <f t="shared" si="2"/>
        <v>24615409.49210307</v>
      </c>
      <c r="I101" s="49"/>
    </row>
    <row r="102" spans="1:12" x14ac:dyDescent="0.25">
      <c r="A102" s="3">
        <v>41730</v>
      </c>
      <c r="B102" s="28">
        <f>'[6]Power Purchased'!B150</f>
        <v>19352181</v>
      </c>
      <c r="C102" s="118">
        <f>'Weather Analysis'!T11</f>
        <v>356.90000000000003</v>
      </c>
      <c r="D102" s="109">
        <f>'Weather Analysis'!T31</f>
        <v>0</v>
      </c>
      <c r="E102" s="10">
        <v>30</v>
      </c>
      <c r="F102" s="18">
        <v>1</v>
      </c>
      <c r="G102" s="18">
        <f>'[6]Customer Numbers'!J44</f>
        <v>15478</v>
      </c>
      <c r="H102" s="10">
        <f t="shared" si="2"/>
        <v>19807273.032342274</v>
      </c>
      <c r="I102" s="49"/>
    </row>
    <row r="103" spans="1:12" x14ac:dyDescent="0.25">
      <c r="A103" s="3">
        <v>41760</v>
      </c>
      <c r="B103" s="28">
        <f>'[6]Power Purchased'!B151</f>
        <v>17549445</v>
      </c>
      <c r="C103" s="118">
        <f>'Weather Analysis'!T12</f>
        <v>132.10000000000005</v>
      </c>
      <c r="D103" s="109">
        <f>'Weather Analysis'!T32</f>
        <v>11.9</v>
      </c>
      <c r="E103" s="10">
        <v>31</v>
      </c>
      <c r="F103" s="18">
        <v>1</v>
      </c>
      <c r="G103" s="18">
        <f>'[6]Customer Numbers'!J45</f>
        <v>15497</v>
      </c>
      <c r="H103" s="10">
        <f t="shared" si="2"/>
        <v>17984483.580788478</v>
      </c>
      <c r="I103" s="49"/>
    </row>
    <row r="104" spans="1:12" x14ac:dyDescent="0.25">
      <c r="A104" s="3">
        <v>41791</v>
      </c>
      <c r="B104" s="28">
        <f>'[6]Power Purchased'!B152</f>
        <v>18258424</v>
      </c>
      <c r="C104" s="118">
        <f>'Weather Analysis'!T13</f>
        <v>14.1</v>
      </c>
      <c r="D104" s="109">
        <f>'Weather Analysis'!T33</f>
        <v>68.099999999999994</v>
      </c>
      <c r="E104" s="10">
        <v>30</v>
      </c>
      <c r="F104" s="18">
        <v>0</v>
      </c>
      <c r="G104" s="18">
        <f>'[6]Customer Numbers'!J46</f>
        <v>15515</v>
      </c>
      <c r="H104" s="10">
        <f t="shared" si="2"/>
        <v>18755740.618305504</v>
      </c>
      <c r="I104" s="49"/>
    </row>
    <row r="105" spans="1:12" x14ac:dyDescent="0.25">
      <c r="A105" s="3">
        <v>41821</v>
      </c>
      <c r="B105" s="28">
        <f>'[6]Power Purchased'!B153</f>
        <v>19452973</v>
      </c>
      <c r="C105" s="118">
        <f>'Weather Analysis'!T14</f>
        <v>4</v>
      </c>
      <c r="D105" s="109">
        <f>'Weather Analysis'!T34</f>
        <v>71</v>
      </c>
      <c r="E105" s="10">
        <v>31</v>
      </c>
      <c r="F105" s="18">
        <v>0</v>
      </c>
      <c r="G105" s="18">
        <f>'[6]Customer Numbers'!J47</f>
        <v>15587</v>
      </c>
      <c r="H105" s="10">
        <f t="shared" si="2"/>
        <v>19388761.763392225</v>
      </c>
      <c r="I105" s="49"/>
    </row>
    <row r="106" spans="1:12" x14ac:dyDescent="0.25">
      <c r="A106" s="3">
        <v>41852</v>
      </c>
      <c r="B106" s="28">
        <f>'[6]Power Purchased'!B154</f>
        <v>19828414</v>
      </c>
      <c r="C106" s="118">
        <f>'Weather Analysis'!T15</f>
        <v>8.7999999999999989</v>
      </c>
      <c r="D106" s="109">
        <f>'Weather Analysis'!T35</f>
        <v>81.799999999999983</v>
      </c>
      <c r="E106" s="10">
        <v>31</v>
      </c>
      <c r="F106" s="18">
        <v>0</v>
      </c>
      <c r="G106" s="18">
        <f>'[6]Customer Numbers'!J48</f>
        <v>15628</v>
      </c>
      <c r="H106" s="10">
        <f t="shared" si="2"/>
        <v>19800396.995203823</v>
      </c>
      <c r="I106" s="49"/>
    </row>
    <row r="107" spans="1:12" x14ac:dyDescent="0.25">
      <c r="A107" s="3">
        <v>41883</v>
      </c>
      <c r="B107" s="28">
        <f>'[6]Power Purchased'!B155</f>
        <v>17976813</v>
      </c>
      <c r="C107" s="118">
        <f>'Weather Analysis'!T16</f>
        <v>69.700000000000017</v>
      </c>
      <c r="D107" s="109">
        <f>'Weather Analysis'!T36</f>
        <v>30.099999999999998</v>
      </c>
      <c r="E107" s="10">
        <v>30</v>
      </c>
      <c r="F107" s="18">
        <v>1</v>
      </c>
      <c r="G107" s="18">
        <f>'[6]Customer Numbers'!J49</f>
        <v>15648</v>
      </c>
      <c r="H107" s="10">
        <f t="shared" si="2"/>
        <v>17206474.207958899</v>
      </c>
      <c r="I107" s="49"/>
    </row>
    <row r="108" spans="1:12" x14ac:dyDescent="0.25">
      <c r="A108" s="3">
        <v>41913</v>
      </c>
      <c r="B108" s="28">
        <f>'[6]Power Purchased'!B156</f>
        <v>19058731</v>
      </c>
      <c r="C108" s="118">
        <f>'Weather Analysis'!T17</f>
        <v>224.30000000000004</v>
      </c>
      <c r="D108" s="109">
        <f>'Weather Analysis'!T37</f>
        <v>1.3</v>
      </c>
      <c r="E108" s="10">
        <v>31</v>
      </c>
      <c r="F108" s="18">
        <v>1</v>
      </c>
      <c r="G108" s="18">
        <f>'[6]Customer Numbers'!J50</f>
        <v>15688</v>
      </c>
      <c r="H108" s="10">
        <f t="shared" si="2"/>
        <v>18928942.175153837</v>
      </c>
      <c r="I108" s="49"/>
    </row>
    <row r="109" spans="1:12" x14ac:dyDescent="0.25">
      <c r="A109" s="3">
        <v>41944</v>
      </c>
      <c r="B109" s="28">
        <f>'[6]Power Purchased'!B157</f>
        <v>22053999</v>
      </c>
      <c r="C109" s="118">
        <f>'Weather Analysis'!T18</f>
        <v>482.1</v>
      </c>
      <c r="D109" s="109">
        <f>'Weather Analysis'!T38</f>
        <v>0</v>
      </c>
      <c r="E109" s="10">
        <v>30</v>
      </c>
      <c r="F109" s="18">
        <v>1</v>
      </c>
      <c r="G109" s="18">
        <f>'[6]Customer Numbers'!J51</f>
        <v>15720</v>
      </c>
      <c r="H109" s="10">
        <f t="shared" si="2"/>
        <v>21517484.661304578</v>
      </c>
      <c r="I109" s="49"/>
    </row>
    <row r="110" spans="1:12" x14ac:dyDescent="0.25">
      <c r="A110" s="3">
        <v>41974</v>
      </c>
      <c r="B110" s="28">
        <f>'[6]Power Purchased'!B158</f>
        <v>24252934</v>
      </c>
      <c r="C110" s="118">
        <f>'Weather Analysis'!T19</f>
        <v>557.29999999999995</v>
      </c>
      <c r="D110" s="109">
        <f>'Weather Analysis'!T39</f>
        <v>0</v>
      </c>
      <c r="E110" s="10">
        <v>31</v>
      </c>
      <c r="F110" s="18">
        <v>0</v>
      </c>
      <c r="G110" s="18">
        <f>'[6]Customer Numbers'!J52</f>
        <v>15775</v>
      </c>
      <c r="H110" s="10">
        <f t="shared" si="2"/>
        <v>24293520.573450454</v>
      </c>
      <c r="I110" s="49"/>
      <c r="L110" s="49"/>
    </row>
    <row r="111" spans="1:12" x14ac:dyDescent="0.25">
      <c r="A111" s="3">
        <v>42005</v>
      </c>
      <c r="B111" s="28">
        <f>'[6]Power Purchased'!B159</f>
        <v>26951654</v>
      </c>
      <c r="C111" s="118">
        <f>'Weather Analysis'!U8</f>
        <v>792.39999999999975</v>
      </c>
      <c r="D111" s="109">
        <f>'Weather Analysis'!U28</f>
        <v>0</v>
      </c>
      <c r="E111" s="49">
        <v>31</v>
      </c>
      <c r="F111" s="18">
        <v>0</v>
      </c>
      <c r="G111" s="162">
        <f>'[6]Customer Numbers'!J60</f>
        <v>15793</v>
      </c>
      <c r="H111" s="10">
        <f t="shared" si="2"/>
        <v>27259700.492200233</v>
      </c>
    </row>
    <row r="112" spans="1:12" x14ac:dyDescent="0.25">
      <c r="A112" s="3">
        <v>42036</v>
      </c>
      <c r="B112" s="28">
        <f>'[6]Power Purchased'!B160</f>
        <v>25657093</v>
      </c>
      <c r="C112" s="118">
        <f>'Weather Analysis'!U9</f>
        <v>856.8</v>
      </c>
      <c r="D112" s="109">
        <f>'Weather Analysis'!U29</f>
        <v>0</v>
      </c>
      <c r="E112" s="49">
        <v>28</v>
      </c>
      <c r="F112" s="18">
        <v>0</v>
      </c>
      <c r="G112" s="162">
        <f>'[6]Customer Numbers'!J61</f>
        <v>15802</v>
      </c>
      <c r="H112" s="10">
        <f t="shared" si="2"/>
        <v>26180253.316490211</v>
      </c>
    </row>
    <row r="113" spans="1:11" x14ac:dyDescent="0.25">
      <c r="A113" s="3">
        <v>42064</v>
      </c>
      <c r="B113" s="28">
        <f>'[6]Power Purchased'!B161</f>
        <v>23477412</v>
      </c>
      <c r="C113" s="118">
        <f>'Weather Analysis'!U10</f>
        <v>615.49999999999989</v>
      </c>
      <c r="D113" s="109">
        <f>'Weather Analysis'!U30</f>
        <v>0</v>
      </c>
      <c r="E113" s="49">
        <v>31</v>
      </c>
      <c r="F113" s="18">
        <v>1</v>
      </c>
      <c r="G113" s="162">
        <f>'[6]Customer Numbers'!J62</f>
        <v>15826</v>
      </c>
      <c r="H113" s="10">
        <f t="shared" si="2"/>
        <v>23885791.547768034</v>
      </c>
    </row>
    <row r="114" spans="1:11" x14ac:dyDescent="0.25">
      <c r="A114" s="3">
        <v>42095</v>
      </c>
      <c r="B114" s="28">
        <f>'[6]Power Purchased'!B162</f>
        <v>18850232</v>
      </c>
      <c r="C114" s="118">
        <f>'Weather Analysis'!U11</f>
        <v>313.7</v>
      </c>
      <c r="D114" s="109">
        <f>'Weather Analysis'!U31</f>
        <v>0</v>
      </c>
      <c r="E114" s="49">
        <v>30</v>
      </c>
      <c r="F114" s="18">
        <v>1</v>
      </c>
      <c r="G114" s="162">
        <f>'[6]Customer Numbers'!J63</f>
        <v>15843</v>
      </c>
      <c r="H114" s="10">
        <f t="shared" si="2"/>
        <v>19469201.424266499</v>
      </c>
    </row>
    <row r="115" spans="1:11" x14ac:dyDescent="0.25">
      <c r="A115" s="3">
        <v>42125</v>
      </c>
      <c r="B115" s="28">
        <f>'[6]Power Purchased'!B163</f>
        <v>18121126</v>
      </c>
      <c r="C115" s="118">
        <f>'Weather Analysis'!U12</f>
        <v>89.3</v>
      </c>
      <c r="D115" s="109">
        <f>'Weather Analysis'!U32</f>
        <v>34.1</v>
      </c>
      <c r="E115" s="49">
        <v>31</v>
      </c>
      <c r="F115" s="18">
        <v>1</v>
      </c>
      <c r="G115" s="162">
        <f>'[6]Customer Numbers'!J64</f>
        <v>15856</v>
      </c>
      <c r="H115" s="10">
        <f t="shared" si="2"/>
        <v>18322789.342954516</v>
      </c>
    </row>
    <row r="116" spans="1:11" x14ac:dyDescent="0.25">
      <c r="A116" s="3">
        <v>42156</v>
      </c>
      <c r="B116" s="28">
        <f>'[6]Power Purchased'!B164</f>
        <v>18217550</v>
      </c>
      <c r="C116" s="118">
        <f>'Weather Analysis'!U13</f>
        <v>33.800000000000004</v>
      </c>
      <c r="D116" s="109">
        <f>'Weather Analysis'!U33</f>
        <v>32.299999999999997</v>
      </c>
      <c r="E116" s="49">
        <v>30</v>
      </c>
      <c r="F116" s="18">
        <v>0</v>
      </c>
      <c r="G116" s="162">
        <f>'[6]Customer Numbers'!J65</f>
        <v>15883</v>
      </c>
      <c r="H116" s="10">
        <f t="shared" si="2"/>
        <v>18122176.06599154</v>
      </c>
      <c r="I116" s="49"/>
      <c r="J116" s="6"/>
      <c r="K116" s="49"/>
    </row>
    <row r="117" spans="1:11" x14ac:dyDescent="0.25">
      <c r="A117" s="3">
        <v>42186</v>
      </c>
      <c r="B117" s="28">
        <f>'[6]Power Purchased'!B165</f>
        <v>21783994</v>
      </c>
      <c r="C117" s="118">
        <f>'Weather Analysis'!U14</f>
        <v>4</v>
      </c>
      <c r="D117" s="109">
        <f>'Weather Analysis'!U34</f>
        <v>114.29999999999998</v>
      </c>
      <c r="E117" s="49">
        <v>31</v>
      </c>
      <c r="F117" s="18">
        <v>0</v>
      </c>
      <c r="G117" s="162">
        <f>'[6]Customer Numbers'!J66</f>
        <v>15881</v>
      </c>
      <c r="H117" s="10">
        <f t="shared" si="2"/>
        <v>20869980.793798037</v>
      </c>
    </row>
    <row r="118" spans="1:11" x14ac:dyDescent="0.25">
      <c r="A118" s="3">
        <v>42217</v>
      </c>
      <c r="B118" s="28">
        <v>20830602</v>
      </c>
      <c r="C118" s="118">
        <f>'Weather Analysis'!U15</f>
        <v>4.4000000000000004</v>
      </c>
      <c r="D118" s="109">
        <f>'Weather Analysis'!U35</f>
        <v>88.6</v>
      </c>
      <c r="E118" s="49">
        <v>31</v>
      </c>
      <c r="F118" s="18">
        <v>0</v>
      </c>
      <c r="G118" s="162">
        <f>'[6]Customer Numbers'!J67</f>
        <v>15970</v>
      </c>
      <c r="H118" s="10">
        <f t="shared" si="2"/>
        <v>20143929.09347225</v>
      </c>
    </row>
    <row r="119" spans="1:11" x14ac:dyDescent="0.25">
      <c r="A119" s="3">
        <v>42248</v>
      </c>
      <c r="B119" s="28">
        <v>19861337</v>
      </c>
      <c r="C119" s="118">
        <f>'Weather Analysis'!U16</f>
        <v>31.099999999999994</v>
      </c>
      <c r="D119" s="109">
        <f>'Weather Analysis'!U36</f>
        <v>81.900000000000006</v>
      </c>
      <c r="E119" s="49">
        <v>30</v>
      </c>
      <c r="F119" s="18">
        <v>1</v>
      </c>
      <c r="G119" s="162">
        <f>'[6]Customer Numbers'!J68</f>
        <v>16005</v>
      </c>
      <c r="H119" s="10">
        <f t="shared" si="2"/>
        <v>18496091.515590303</v>
      </c>
    </row>
    <row r="120" spans="1:11" x14ac:dyDescent="0.25">
      <c r="A120" s="3">
        <v>42278</v>
      </c>
      <c r="B120" s="28">
        <v>18777773</v>
      </c>
      <c r="C120" s="118">
        <f>'Weather Analysis'!U17</f>
        <v>249.8</v>
      </c>
      <c r="D120" s="109">
        <f>'Weather Analysis'!U37</f>
        <v>0</v>
      </c>
      <c r="E120" s="49">
        <v>31</v>
      </c>
      <c r="F120" s="18">
        <v>1</v>
      </c>
      <c r="G120" s="162">
        <f>'[6]Customer Numbers'!J69</f>
        <v>16050</v>
      </c>
      <c r="H120" s="10">
        <f t="shared" si="2"/>
        <v>19413483.818188082</v>
      </c>
    </row>
    <row r="121" spans="1:11" x14ac:dyDescent="0.25">
      <c r="A121" s="3">
        <v>42309</v>
      </c>
      <c r="B121" s="28">
        <v>20148030</v>
      </c>
      <c r="C121" s="118">
        <f>'Weather Analysis'!U18</f>
        <v>345</v>
      </c>
      <c r="D121" s="109">
        <f>'Weather Analysis'!U38</f>
        <v>0</v>
      </c>
      <c r="E121" s="49">
        <v>30</v>
      </c>
      <c r="F121" s="18">
        <v>1</v>
      </c>
      <c r="G121" s="162">
        <f>'[6]Customer Numbers'!J70</f>
        <v>16127</v>
      </c>
      <c r="H121" s="10">
        <f t="shared" si="2"/>
        <v>20022349.105166957</v>
      </c>
    </row>
    <row r="122" spans="1:11" x14ac:dyDescent="0.25">
      <c r="A122" s="3">
        <v>42339</v>
      </c>
      <c r="B122" s="28">
        <v>22509584</v>
      </c>
      <c r="C122" s="118">
        <f>'Weather Analysis'!U19</f>
        <v>429.70000000000005</v>
      </c>
      <c r="D122" s="109">
        <f>'Weather Analysis'!U39</f>
        <v>0</v>
      </c>
      <c r="E122" s="49">
        <v>31</v>
      </c>
      <c r="F122" s="18">
        <v>0</v>
      </c>
      <c r="G122" s="162">
        <f>'[6]Customer Numbers'!J71</f>
        <v>16168</v>
      </c>
      <c r="H122" s="10">
        <f t="shared" si="2"/>
        <v>22909967.449619047</v>
      </c>
      <c r="I122"/>
      <c r="J122"/>
    </row>
    <row r="123" spans="1:11" x14ac:dyDescent="0.25">
      <c r="A123" s="3">
        <v>42370</v>
      </c>
      <c r="C123" s="118">
        <f>'Weather Analysis'!V8</f>
        <v>700.17000000000007</v>
      </c>
      <c r="D123" s="109">
        <f>'Weather Analysis'!V28</f>
        <v>0</v>
      </c>
      <c r="E123" s="10">
        <v>31</v>
      </c>
      <c r="F123" s="18">
        <v>0</v>
      </c>
      <c r="G123" s="162">
        <f>G122+'Rate Class Customer Model'!$L$13</f>
        <v>16221.692307692309</v>
      </c>
      <c r="H123" s="10">
        <f t="shared" si="2"/>
        <v>26340934.461449254</v>
      </c>
      <c r="I123"/>
      <c r="J123"/>
    </row>
    <row r="124" spans="1:11" x14ac:dyDescent="0.25">
      <c r="A124" s="3">
        <v>42401</v>
      </c>
      <c r="C124" s="118">
        <f>'Weather Analysis'!V9</f>
        <v>663.51</v>
      </c>
      <c r="D124" s="109">
        <f>'Weather Analysis'!V29</f>
        <v>0</v>
      </c>
      <c r="E124" s="10">
        <v>29</v>
      </c>
      <c r="F124" s="18">
        <v>0</v>
      </c>
      <c r="G124" s="162">
        <f>G123+'Rate Class Customer Model'!$L$13</f>
        <v>16275.384615384617</v>
      </c>
      <c r="H124" s="10">
        <f t="shared" si="2"/>
        <v>24647324.834903263</v>
      </c>
      <c r="I124"/>
      <c r="J124"/>
    </row>
    <row r="125" spans="1:11" x14ac:dyDescent="0.25">
      <c r="A125" s="3">
        <v>42430</v>
      </c>
      <c r="C125" s="118">
        <f>'Weather Analysis'!V10</f>
        <v>541.32000000000005</v>
      </c>
      <c r="D125" s="109">
        <f>'Weather Analysis'!V30</f>
        <v>0.02</v>
      </c>
      <c r="E125" s="10">
        <v>31</v>
      </c>
      <c r="F125" s="18">
        <v>1</v>
      </c>
      <c r="G125" s="162">
        <f>G124+'Rate Class Customer Model'!$L$13</f>
        <v>16329.076923076926</v>
      </c>
      <c r="H125" s="10">
        <f t="shared" si="2"/>
        <v>23236387.823463999</v>
      </c>
      <c r="I125"/>
      <c r="J125"/>
    </row>
    <row r="126" spans="1:11" x14ac:dyDescent="0.25">
      <c r="A126" s="3">
        <v>42461</v>
      </c>
      <c r="C126" s="118">
        <f>'Weather Analysis'!V11</f>
        <v>311.77</v>
      </c>
      <c r="D126" s="109">
        <f>'Weather Analysis'!V31</f>
        <v>0.12</v>
      </c>
      <c r="E126" s="10">
        <v>30</v>
      </c>
      <c r="F126" s="18">
        <v>1</v>
      </c>
      <c r="G126" s="162">
        <f>G125+'Rate Class Customer Model'!$L$13</f>
        <v>16382.769230769234</v>
      </c>
      <c r="H126" s="10">
        <f t="shared" si="2"/>
        <v>19751902.194546804</v>
      </c>
      <c r="I126"/>
      <c r="J126"/>
    </row>
    <row r="127" spans="1:11" x14ac:dyDescent="0.25">
      <c r="A127" s="3">
        <v>42491</v>
      </c>
      <c r="C127" s="118">
        <f>'Weather Analysis'!V12</f>
        <v>127.88000000000002</v>
      </c>
      <c r="D127" s="109">
        <f>'Weather Analysis'!V32</f>
        <v>22.229999999999997</v>
      </c>
      <c r="E127" s="10">
        <v>31</v>
      </c>
      <c r="F127" s="18">
        <v>1</v>
      </c>
      <c r="G127" s="162">
        <f>G126+'Rate Class Customer Model'!$L$13</f>
        <v>16436.461538461543</v>
      </c>
      <c r="H127" s="10">
        <f t="shared" si="2"/>
        <v>18773306.129137553</v>
      </c>
      <c r="I127"/>
      <c r="J127"/>
    </row>
    <row r="128" spans="1:11" x14ac:dyDescent="0.25">
      <c r="A128" s="3">
        <v>42522</v>
      </c>
      <c r="C128" s="118">
        <f>'Weather Analysis'!V13</f>
        <v>25.279999999999998</v>
      </c>
      <c r="D128" s="109">
        <f>'Weather Analysis'!V33</f>
        <v>65.099999999999994</v>
      </c>
      <c r="E128" s="10">
        <v>30</v>
      </c>
      <c r="F128" s="18">
        <v>0</v>
      </c>
      <c r="G128" s="162">
        <f>G127+'Rate Class Customer Model'!$L$13</f>
        <v>16490.153846153851</v>
      </c>
      <c r="H128" s="10">
        <f t="shared" si="2"/>
        <v>19353118.810040478</v>
      </c>
      <c r="I128"/>
      <c r="J128"/>
    </row>
    <row r="129" spans="1:10" x14ac:dyDescent="0.25">
      <c r="A129" s="3">
        <v>42552</v>
      </c>
      <c r="C129" s="118">
        <f>'Weather Analysis'!V14</f>
        <v>2.15</v>
      </c>
      <c r="D129" s="109">
        <f>'Weather Analysis'!V34</f>
        <v>129.30000000000001</v>
      </c>
      <c r="E129" s="10">
        <v>31</v>
      </c>
      <c r="F129" s="18">
        <v>0</v>
      </c>
      <c r="G129" s="162">
        <f>G128+'Rate Class Customer Model'!$L$13</f>
        <v>16543.84615384616</v>
      </c>
      <c r="H129" s="10">
        <f t="shared" si="2"/>
        <v>21675094.430814788</v>
      </c>
      <c r="I129"/>
      <c r="J129"/>
    </row>
    <row r="130" spans="1:10" x14ac:dyDescent="0.25">
      <c r="A130" s="3">
        <v>42583</v>
      </c>
      <c r="C130" s="118">
        <f>'Weather Analysis'!V15</f>
        <v>5.3599999999999994</v>
      </c>
      <c r="D130" s="109">
        <f>'Weather Analysis'!V35</f>
        <v>103.49000000000001</v>
      </c>
      <c r="E130" s="10">
        <v>31</v>
      </c>
      <c r="F130" s="18">
        <v>0</v>
      </c>
      <c r="G130" s="162">
        <f>G129+'Rate Class Customer Model'!$L$13</f>
        <v>16597.538461538468</v>
      </c>
      <c r="H130" s="10">
        <f t="shared" si="2"/>
        <v>20961190.487716697</v>
      </c>
      <c r="I130"/>
      <c r="J130"/>
    </row>
    <row r="131" spans="1:10" x14ac:dyDescent="0.25">
      <c r="A131" s="3">
        <v>42614</v>
      </c>
      <c r="C131" s="118">
        <f>'Weather Analysis'!V16</f>
        <v>62.71</v>
      </c>
      <c r="D131" s="109">
        <f>'Weather Analysis'!V36</f>
        <v>35.489999999999995</v>
      </c>
      <c r="E131" s="10">
        <v>30</v>
      </c>
      <c r="F131" s="18">
        <v>1</v>
      </c>
      <c r="G131" s="162">
        <f>G130+'Rate Class Customer Model'!$L$13</f>
        <v>16651.230769230777</v>
      </c>
      <c r="H131" s="10">
        <f t="shared" si="2"/>
        <v>17846162.264096186</v>
      </c>
      <c r="I131"/>
      <c r="J131"/>
    </row>
    <row r="132" spans="1:10" x14ac:dyDescent="0.25">
      <c r="A132" s="3">
        <v>42644</v>
      </c>
      <c r="C132" s="118">
        <f>'Weather Analysis'!V17</f>
        <v>239.46000000000004</v>
      </c>
      <c r="D132" s="109">
        <f>'Weather Analysis'!V37</f>
        <v>2.6100000000000003</v>
      </c>
      <c r="E132" s="10">
        <v>31</v>
      </c>
      <c r="F132" s="18">
        <v>1</v>
      </c>
      <c r="G132" s="162">
        <f>G131+'Rate Class Customer Model'!$L$13</f>
        <v>16704.923076923085</v>
      </c>
      <c r="H132" s="10">
        <f t="shared" si="2"/>
        <v>19730828.36891409</v>
      </c>
      <c r="I132"/>
      <c r="J132"/>
    </row>
    <row r="133" spans="1:10" x14ac:dyDescent="0.25">
      <c r="A133" s="3">
        <v>42675</v>
      </c>
      <c r="C133" s="118">
        <f>'Weather Analysis'!V18</f>
        <v>414.42000000000007</v>
      </c>
      <c r="D133" s="109">
        <f>'Weather Analysis'!V38</f>
        <v>0</v>
      </c>
      <c r="E133" s="10">
        <v>30</v>
      </c>
      <c r="F133" s="18">
        <v>1</v>
      </c>
      <c r="G133" s="162">
        <f>G132+'Rate Class Customer Model'!$L$13</f>
        <v>16758.615384615394</v>
      </c>
      <c r="H133" s="10">
        <f t="shared" si="2"/>
        <v>21250145.119969159</v>
      </c>
      <c r="I133"/>
      <c r="J133"/>
    </row>
    <row r="134" spans="1:10" x14ac:dyDescent="0.25">
      <c r="A134" s="3">
        <v>42705</v>
      </c>
      <c r="C134" s="118">
        <f>'Weather Analysis'!V19</f>
        <v>583.56999999999994</v>
      </c>
      <c r="D134" s="109">
        <f>'Weather Analysis'!V39</f>
        <v>0</v>
      </c>
      <c r="E134" s="10">
        <v>31</v>
      </c>
      <c r="F134" s="18">
        <v>0</v>
      </c>
      <c r="G134" s="162">
        <f>G133+'Rate Class Customer Model'!$L$13</f>
        <v>16812.307692307702</v>
      </c>
      <c r="H134" s="10">
        <f t="shared" si="2"/>
        <v>25206740.513523668</v>
      </c>
      <c r="I134"/>
      <c r="J134"/>
    </row>
    <row r="135" spans="1:10" x14ac:dyDescent="0.25">
      <c r="A135" s="3">
        <v>42736</v>
      </c>
      <c r="C135" s="118">
        <f>C123</f>
        <v>700.17000000000007</v>
      </c>
      <c r="D135" s="109">
        <f>D123</f>
        <v>0</v>
      </c>
      <c r="E135" s="10">
        <v>31</v>
      </c>
      <c r="F135" s="18">
        <v>0</v>
      </c>
      <c r="G135" s="162">
        <f>G134+'Rate Class Customer Model'!$L$14</f>
        <v>16849.491124260367</v>
      </c>
      <c r="H135" s="10">
        <f t="shared" si="2"/>
        <v>26693723.053264938</v>
      </c>
      <c r="I135"/>
      <c r="J135"/>
    </row>
    <row r="136" spans="1:10" x14ac:dyDescent="0.25">
      <c r="A136" s="3">
        <v>42767</v>
      </c>
      <c r="C136" s="118">
        <f t="shared" ref="C136:D146" si="3">C124</f>
        <v>663.51</v>
      </c>
      <c r="D136" s="109">
        <f t="shared" si="3"/>
        <v>0</v>
      </c>
      <c r="E136" s="10">
        <v>28</v>
      </c>
      <c r="F136" s="18">
        <v>0</v>
      </c>
      <c r="G136" s="162">
        <f>G135+'Rate Class Customer Model'!$L$14</f>
        <v>16886.674556213031</v>
      </c>
      <c r="H136" s="10">
        <f t="shared" si="2"/>
        <v>24359420.446515407</v>
      </c>
      <c r="I136"/>
      <c r="J136"/>
    </row>
    <row r="137" spans="1:10" x14ac:dyDescent="0.25">
      <c r="A137" s="3">
        <v>42795</v>
      </c>
      <c r="C137" s="118">
        <f t="shared" si="3"/>
        <v>541.32000000000005</v>
      </c>
      <c r="D137" s="109">
        <f t="shared" si="3"/>
        <v>0.02</v>
      </c>
      <c r="E137" s="10">
        <v>31</v>
      </c>
      <c r="F137" s="18">
        <v>1</v>
      </c>
      <c r="G137" s="162">
        <f>G136+'Rate Class Customer Model'!$L$14</f>
        <v>16923.857988165695</v>
      </c>
      <c r="H137" s="10">
        <f t="shared" si="2"/>
        <v>23570622.245150827</v>
      </c>
      <c r="I137"/>
      <c r="J137"/>
    </row>
    <row r="138" spans="1:10" x14ac:dyDescent="0.25">
      <c r="A138" s="3">
        <v>42826</v>
      </c>
      <c r="C138" s="118">
        <f t="shared" si="3"/>
        <v>311.77</v>
      </c>
      <c r="D138" s="109">
        <f t="shared" si="3"/>
        <v>0.12</v>
      </c>
      <c r="E138" s="10">
        <v>30</v>
      </c>
      <c r="F138" s="18">
        <v>1</v>
      </c>
      <c r="G138" s="162">
        <f>G137+'Rate Class Customer Model'!$L$14</f>
        <v>16961.041420118359</v>
      </c>
      <c r="H138" s="10">
        <f t="shared" si="2"/>
        <v>20076859.531169202</v>
      </c>
      <c r="I138"/>
      <c r="J138"/>
    </row>
    <row r="139" spans="1:10" x14ac:dyDescent="0.25">
      <c r="A139" s="3">
        <v>42856</v>
      </c>
      <c r="C139" s="118">
        <f t="shared" si="3"/>
        <v>127.88000000000002</v>
      </c>
      <c r="D139" s="109">
        <f t="shared" si="3"/>
        <v>22.229999999999997</v>
      </c>
      <c r="E139" s="10">
        <v>31</v>
      </c>
      <c r="F139" s="18">
        <v>1</v>
      </c>
      <c r="G139" s="162">
        <f>G138+'Rate Class Customer Model'!$L$14</f>
        <v>16998.224852071024</v>
      </c>
      <c r="H139" s="10">
        <f t="shared" si="2"/>
        <v>19088986.380695529</v>
      </c>
      <c r="I139"/>
      <c r="J139"/>
    </row>
    <row r="140" spans="1:10" x14ac:dyDescent="0.25">
      <c r="A140" s="3">
        <v>42887</v>
      </c>
      <c r="C140" s="118">
        <f t="shared" si="3"/>
        <v>25.279999999999998</v>
      </c>
      <c r="D140" s="109">
        <f t="shared" si="3"/>
        <v>65.099999999999994</v>
      </c>
      <c r="E140" s="10">
        <v>30</v>
      </c>
      <c r="F140" s="18">
        <v>0</v>
      </c>
      <c r="G140" s="162">
        <f>G139+'Rate Class Customer Model'!$L$14</f>
        <v>17035.408284023688</v>
      </c>
      <c r="H140" s="10">
        <f t="shared" si="2"/>
        <v>19659521.97653402</v>
      </c>
      <c r="I140"/>
      <c r="J140"/>
    </row>
    <row r="141" spans="1:10" x14ac:dyDescent="0.25">
      <c r="A141" s="3">
        <v>42917</v>
      </c>
      <c r="C141" s="118">
        <f t="shared" si="3"/>
        <v>2.15</v>
      </c>
      <c r="D141" s="109">
        <f t="shared" si="3"/>
        <v>129.30000000000001</v>
      </c>
      <c r="E141" s="10">
        <v>31</v>
      </c>
      <c r="F141" s="18">
        <v>0</v>
      </c>
      <c r="G141" s="162">
        <f>G140+'Rate Class Customer Model'!$L$14</f>
        <v>17072.591715976352</v>
      </c>
      <c r="H141" s="10">
        <f t="shared" si="2"/>
        <v>21972220.5122439</v>
      </c>
      <c r="I141"/>
      <c r="J141"/>
    </row>
    <row r="142" spans="1:10" x14ac:dyDescent="0.25">
      <c r="A142" s="3">
        <v>42948</v>
      </c>
      <c r="C142" s="118">
        <f t="shared" si="3"/>
        <v>5.3599999999999994</v>
      </c>
      <c r="D142" s="109">
        <f t="shared" si="3"/>
        <v>103.49000000000001</v>
      </c>
      <c r="E142" s="10">
        <v>31</v>
      </c>
      <c r="F142" s="18">
        <v>0</v>
      </c>
      <c r="G142" s="162">
        <f>G141+'Rate Class Customer Model'!$L$14</f>
        <v>17109.775147929016</v>
      </c>
      <c r="H142" s="10">
        <f t="shared" si="2"/>
        <v>21249039.48408138</v>
      </c>
      <c r="I142"/>
      <c r="J142"/>
    </row>
    <row r="143" spans="1:10" x14ac:dyDescent="0.25">
      <c r="A143" s="3">
        <v>42979</v>
      </c>
      <c r="C143" s="118">
        <f t="shared" si="3"/>
        <v>62.71</v>
      </c>
      <c r="D143" s="109">
        <f t="shared" si="3"/>
        <v>35.489999999999995</v>
      </c>
      <c r="E143" s="10">
        <v>30</v>
      </c>
      <c r="F143" s="18">
        <v>1</v>
      </c>
      <c r="G143" s="162">
        <f>G142+'Rate Class Customer Model'!$L$14</f>
        <v>17146.958579881681</v>
      </c>
      <c r="H143" s="10">
        <f t="shared" si="2"/>
        <v>18124734.175396442</v>
      </c>
      <c r="I143"/>
      <c r="J143"/>
    </row>
    <row r="144" spans="1:10" x14ac:dyDescent="0.25">
      <c r="A144" s="3">
        <v>43009</v>
      </c>
      <c r="C144" s="118">
        <f t="shared" si="3"/>
        <v>239.46000000000004</v>
      </c>
      <c r="D144" s="109">
        <f t="shared" si="3"/>
        <v>2.6100000000000003</v>
      </c>
      <c r="E144" s="10">
        <v>31</v>
      </c>
      <c r="F144" s="18">
        <v>1</v>
      </c>
      <c r="G144" s="162">
        <f>G143+'Rate Class Customer Model'!$L$14</f>
        <v>17184.142011834345</v>
      </c>
      <c r="H144" s="10">
        <f t="shared" si="2"/>
        <v>20000123.195149921</v>
      </c>
      <c r="I144"/>
      <c r="J144"/>
    </row>
    <row r="145" spans="1:10" x14ac:dyDescent="0.25">
      <c r="A145" s="3">
        <v>43040</v>
      </c>
      <c r="C145" s="118">
        <f t="shared" si="3"/>
        <v>414.42000000000007</v>
      </c>
      <c r="D145" s="109">
        <f t="shared" si="3"/>
        <v>0</v>
      </c>
      <c r="E145" s="10">
        <v>30</v>
      </c>
      <c r="F145" s="18">
        <v>1</v>
      </c>
      <c r="G145" s="162">
        <f>G144+'Rate Class Customer Model'!$L$14</f>
        <v>17221.325443787009</v>
      </c>
      <c r="H145" s="10">
        <f t="shared" si="2"/>
        <v>21510162.86114056</v>
      </c>
      <c r="I145"/>
      <c r="J145"/>
    </row>
    <row r="146" spans="1:10" x14ac:dyDescent="0.25">
      <c r="A146" s="3">
        <v>43070</v>
      </c>
      <c r="C146" s="118">
        <f t="shared" si="3"/>
        <v>583.56999999999994</v>
      </c>
      <c r="D146" s="109">
        <f t="shared" si="3"/>
        <v>0</v>
      </c>
      <c r="E146" s="10">
        <v>31</v>
      </c>
      <c r="F146" s="18">
        <v>0</v>
      </c>
      <c r="G146" s="162">
        <f>G145+'Rate Class Customer Model'!$L$14</f>
        <v>17258.508875739673</v>
      </c>
      <c r="H146" s="10">
        <f t="shared" si="2"/>
        <v>25457481.169630639</v>
      </c>
      <c r="I146"/>
      <c r="J146"/>
    </row>
    <row r="147" spans="1:10" x14ac:dyDescent="0.25">
      <c r="A147" s="3">
        <v>43101</v>
      </c>
      <c r="C147" s="118">
        <f>C135</f>
        <v>700.17000000000007</v>
      </c>
      <c r="D147" s="109">
        <f>D135</f>
        <v>0</v>
      </c>
      <c r="E147" s="10">
        <v>31</v>
      </c>
      <c r="F147" s="18">
        <v>0</v>
      </c>
      <c r="G147" s="162">
        <f>G146+'Rate Class Customer Model'!$L$15</f>
        <v>17345.969048702795</v>
      </c>
      <c r="H147" s="10">
        <f t="shared" si="2"/>
        <v>26972716.487481825</v>
      </c>
      <c r="I147"/>
      <c r="J147"/>
    </row>
    <row r="148" spans="1:10" x14ac:dyDescent="0.25">
      <c r="A148" s="3">
        <v>43132</v>
      </c>
      <c r="C148" s="118">
        <f t="shared" ref="C148:D148" si="4">C136</f>
        <v>663.51</v>
      </c>
      <c r="D148" s="109">
        <f t="shared" si="4"/>
        <v>0</v>
      </c>
      <c r="E148" s="10">
        <v>28</v>
      </c>
      <c r="F148" s="18">
        <v>0</v>
      </c>
      <c r="G148" s="162">
        <f>G147+'Rate Class Customer Model'!$L$15</f>
        <v>17433.429221665916</v>
      </c>
      <c r="H148" s="10">
        <f t="shared" si="2"/>
        <v>24666666.658842199</v>
      </c>
      <c r="I148"/>
      <c r="J148"/>
    </row>
    <row r="149" spans="1:10" x14ac:dyDescent="0.25">
      <c r="A149" s="3">
        <v>43160</v>
      </c>
      <c r="C149" s="118">
        <f t="shared" ref="C149:D149" si="5">C137</f>
        <v>541.32000000000005</v>
      </c>
      <c r="D149" s="109">
        <f t="shared" si="5"/>
        <v>0.02</v>
      </c>
      <c r="E149" s="10">
        <v>31</v>
      </c>
      <c r="F149" s="18">
        <v>1</v>
      </c>
      <c r="G149" s="162">
        <f>G148+'Rate Class Customer Model'!$L$15</f>
        <v>17520.889394629037</v>
      </c>
      <c r="H149" s="10">
        <f t="shared" si="2"/>
        <v>23906121.23558753</v>
      </c>
      <c r="I149"/>
      <c r="J149"/>
    </row>
    <row r="150" spans="1:10" x14ac:dyDescent="0.25">
      <c r="A150" s="3">
        <v>43191</v>
      </c>
      <c r="C150" s="118">
        <f t="shared" ref="C150:D150" si="6">C138</f>
        <v>311.77</v>
      </c>
      <c r="D150" s="109">
        <f t="shared" si="6"/>
        <v>0.12</v>
      </c>
      <c r="E150" s="10">
        <v>30</v>
      </c>
      <c r="F150" s="18">
        <v>1</v>
      </c>
      <c r="G150" s="162">
        <f>G149+'Rate Class Customer Model'!$L$15</f>
        <v>17608.349567592159</v>
      </c>
      <c r="H150" s="10">
        <f t="shared" si="2"/>
        <v>20440611.299715813</v>
      </c>
      <c r="I150"/>
      <c r="J150"/>
    </row>
    <row r="151" spans="1:10" x14ac:dyDescent="0.25">
      <c r="A151" s="3">
        <v>43221</v>
      </c>
      <c r="C151" s="118">
        <f t="shared" ref="C151:D151" si="7">C139</f>
        <v>127.88000000000002</v>
      </c>
      <c r="D151" s="109">
        <f t="shared" si="7"/>
        <v>22.229999999999997</v>
      </c>
      <c r="E151" s="10">
        <v>31</v>
      </c>
      <c r="F151" s="18">
        <v>1</v>
      </c>
      <c r="G151" s="162">
        <f>G150+'Rate Class Customer Model'!$L$15</f>
        <v>17695.80974055528</v>
      </c>
      <c r="H151" s="10">
        <f t="shared" si="2"/>
        <v>19480990.927352048</v>
      </c>
      <c r="I151"/>
      <c r="J151"/>
    </row>
    <row r="152" spans="1:10" x14ac:dyDescent="0.25">
      <c r="A152" s="3">
        <v>43252</v>
      </c>
      <c r="C152" s="118">
        <f t="shared" ref="C152:D152" si="8">C140</f>
        <v>25.279999999999998</v>
      </c>
      <c r="D152" s="109">
        <f t="shared" si="8"/>
        <v>65.099999999999994</v>
      </c>
      <c r="E152" s="10">
        <v>30</v>
      </c>
      <c r="F152" s="18">
        <v>0</v>
      </c>
      <c r="G152" s="162">
        <f>G151+'Rate Class Customer Model'!$L$15</f>
        <v>17783.269913518401</v>
      </c>
      <c r="H152" s="10">
        <f t="shared" si="2"/>
        <v>20079779.301300451</v>
      </c>
      <c r="I152"/>
      <c r="J152"/>
    </row>
    <row r="153" spans="1:10" x14ac:dyDescent="0.25">
      <c r="A153" s="3">
        <v>43282</v>
      </c>
      <c r="C153" s="118">
        <f t="shared" ref="C153:D153" si="9">C141</f>
        <v>2.15</v>
      </c>
      <c r="D153" s="109">
        <f t="shared" si="9"/>
        <v>129.30000000000001</v>
      </c>
      <c r="E153" s="10">
        <v>31</v>
      </c>
      <c r="F153" s="18">
        <v>0</v>
      </c>
      <c r="G153" s="162">
        <f>G152+'Rate Class Customer Model'!$L$15</f>
        <v>17870.730086481522</v>
      </c>
      <c r="H153" s="10">
        <f t="shared" si="2"/>
        <v>22420730.61512024</v>
      </c>
      <c r="I153"/>
      <c r="J153"/>
    </row>
    <row r="154" spans="1:10" x14ac:dyDescent="0.25">
      <c r="A154" s="3">
        <v>43313</v>
      </c>
      <c r="C154" s="118">
        <f t="shared" ref="C154:D154" si="10">C142</f>
        <v>5.3599999999999994</v>
      </c>
      <c r="D154" s="109">
        <f t="shared" si="10"/>
        <v>103.49000000000001</v>
      </c>
      <c r="E154" s="10">
        <v>31</v>
      </c>
      <c r="F154" s="18">
        <v>0</v>
      </c>
      <c r="G154" s="162">
        <f>G153+'Rate Class Customer Model'!$L$15</f>
        <v>17958.190259444644</v>
      </c>
      <c r="H154" s="10">
        <f t="shared" si="2"/>
        <v>21725802.365067631</v>
      </c>
      <c r="I154"/>
      <c r="J154"/>
    </row>
    <row r="155" spans="1:10" x14ac:dyDescent="0.25">
      <c r="A155" s="3">
        <v>43344</v>
      </c>
      <c r="C155" s="118">
        <f t="shared" ref="C155:D155" si="11">C143</f>
        <v>62.71</v>
      </c>
      <c r="D155" s="109">
        <f t="shared" si="11"/>
        <v>35.489999999999995</v>
      </c>
      <c r="E155" s="10">
        <v>30</v>
      </c>
      <c r="F155" s="18">
        <v>1</v>
      </c>
      <c r="G155" s="162">
        <f>G154+'Rate Class Customer Model'!$L$15</f>
        <v>18045.650432407765</v>
      </c>
      <c r="H155" s="10">
        <f t="shared" si="2"/>
        <v>18629749.834492601</v>
      </c>
      <c r="I155"/>
      <c r="J155"/>
    </row>
    <row r="156" spans="1:10" x14ac:dyDescent="0.25">
      <c r="A156" s="3">
        <v>43374</v>
      </c>
      <c r="C156" s="118">
        <f t="shared" ref="C156:D156" si="12">C144</f>
        <v>239.46000000000004</v>
      </c>
      <c r="D156" s="109">
        <f t="shared" si="12"/>
        <v>2.6100000000000003</v>
      </c>
      <c r="E156" s="10">
        <v>31</v>
      </c>
      <c r="F156" s="18">
        <v>1</v>
      </c>
      <c r="G156" s="162">
        <f>G155+'Rate Class Customer Model'!$L$15</f>
        <v>18133.110605370886</v>
      </c>
      <c r="H156" s="10">
        <f t="shared" si="2"/>
        <v>20533391.632355988</v>
      </c>
      <c r="I156"/>
      <c r="J156"/>
    </row>
    <row r="157" spans="1:10" x14ac:dyDescent="0.25">
      <c r="A157" s="3">
        <v>43405</v>
      </c>
      <c r="C157" s="118">
        <f t="shared" ref="C157:D157" si="13">C145</f>
        <v>414.42000000000007</v>
      </c>
      <c r="D157" s="109">
        <f t="shared" si="13"/>
        <v>0</v>
      </c>
      <c r="E157" s="10">
        <v>30</v>
      </c>
      <c r="F157" s="18">
        <v>1</v>
      </c>
      <c r="G157" s="162">
        <f>G156+'Rate Class Customer Model'!$L$15</f>
        <v>18220.570778334008</v>
      </c>
      <c r="H157" s="10">
        <f t="shared" si="2"/>
        <v>22071684.076456536</v>
      </c>
      <c r="I157"/>
      <c r="J157"/>
    </row>
    <row r="158" spans="1:10" x14ac:dyDescent="0.25">
      <c r="A158" s="3">
        <v>43435</v>
      </c>
      <c r="C158" s="118">
        <f t="shared" ref="C158:D158" si="14">C146</f>
        <v>583.56999999999994</v>
      </c>
      <c r="D158" s="109">
        <f t="shared" si="14"/>
        <v>0</v>
      </c>
      <c r="E158" s="10">
        <v>31</v>
      </c>
      <c r="F158" s="18">
        <v>0</v>
      </c>
      <c r="G158" s="162">
        <f>G157+'Rate Class Customer Model'!$L$15</f>
        <v>18308.030951297129</v>
      </c>
      <c r="H158" s="10">
        <f t="shared" si="2"/>
        <v>26047255.163056526</v>
      </c>
      <c r="I158"/>
      <c r="J158"/>
    </row>
    <row r="159" spans="1:10" x14ac:dyDescent="0.25">
      <c r="A159" s="3">
        <v>43466</v>
      </c>
      <c r="C159" s="118">
        <f>C147</f>
        <v>700.17000000000007</v>
      </c>
      <c r="D159" s="109">
        <f>D147</f>
        <v>0</v>
      </c>
      <c r="E159" s="10">
        <v>31</v>
      </c>
      <c r="F159" s="18">
        <v>0</v>
      </c>
      <c r="G159" s="162">
        <f>G158+'Rate Class Customer Model'!$L$16</f>
        <v>18414.949266482185</v>
      </c>
      <c r="H159" s="10">
        <f t="shared" si="2"/>
        <v>27573424.892398559</v>
      </c>
      <c r="I159"/>
      <c r="J159"/>
    </row>
    <row r="160" spans="1:10" x14ac:dyDescent="0.25">
      <c r="A160" s="3">
        <v>43497</v>
      </c>
      <c r="C160" s="118">
        <f t="shared" ref="C160:D160" si="15">C148</f>
        <v>663.51</v>
      </c>
      <c r="D160" s="109">
        <f t="shared" si="15"/>
        <v>0</v>
      </c>
      <c r="E160" s="10">
        <v>28</v>
      </c>
      <c r="F160" s="18">
        <v>0</v>
      </c>
      <c r="G160" s="162">
        <f>G159+'Rate Class Customer Model'!$L$16</f>
        <v>18521.86758166724</v>
      </c>
      <c r="H160" s="10">
        <f t="shared" si="2"/>
        <v>25278309.47524979</v>
      </c>
      <c r="I160"/>
      <c r="J160"/>
    </row>
    <row r="161" spans="1:10" x14ac:dyDescent="0.25">
      <c r="A161" s="3">
        <v>43525</v>
      </c>
      <c r="C161" s="118">
        <f t="shared" ref="C161:D161" si="16">C149</f>
        <v>541.32000000000005</v>
      </c>
      <c r="D161" s="109">
        <f t="shared" si="16"/>
        <v>0.02</v>
      </c>
      <c r="E161" s="10">
        <v>31</v>
      </c>
      <c r="F161" s="18">
        <v>1</v>
      </c>
      <c r="G161" s="162">
        <f>G160+'Rate Class Customer Model'!$L$16</f>
        <v>18628.785896852296</v>
      </c>
      <c r="H161" s="10">
        <f t="shared" si="2"/>
        <v>24528698.463485975</v>
      </c>
      <c r="I161"/>
      <c r="J161"/>
    </row>
    <row r="162" spans="1:10" x14ac:dyDescent="0.25">
      <c r="A162" s="3">
        <v>43556</v>
      </c>
      <c r="C162" s="118">
        <f t="shared" ref="C162:D162" si="17">C150</f>
        <v>311.77</v>
      </c>
      <c r="D162" s="109">
        <f t="shared" si="17"/>
        <v>0.12</v>
      </c>
      <c r="E162" s="10">
        <v>30</v>
      </c>
      <c r="F162" s="18">
        <v>1</v>
      </c>
      <c r="G162" s="162">
        <f>G161+'Rate Class Customer Model'!$L$16</f>
        <v>18735.704212037352</v>
      </c>
      <c r="H162" s="10">
        <f t="shared" si="2"/>
        <v>21074122.939105108</v>
      </c>
      <c r="I162"/>
      <c r="J162"/>
    </row>
    <row r="163" spans="1:10" x14ac:dyDescent="0.25">
      <c r="A163" s="3">
        <v>43586</v>
      </c>
      <c r="C163" s="118">
        <f t="shared" ref="C163:D163" si="18">C151</f>
        <v>127.88000000000002</v>
      </c>
      <c r="D163" s="109">
        <f t="shared" si="18"/>
        <v>22.229999999999997</v>
      </c>
      <c r="E163" s="10">
        <v>31</v>
      </c>
      <c r="F163" s="18">
        <v>1</v>
      </c>
      <c r="G163" s="162">
        <f>G162+'Rate Class Customer Model'!$L$16</f>
        <v>18842.622527222407</v>
      </c>
      <c r="H163" s="10">
        <f t="shared" si="2"/>
        <v>20125436.978232197</v>
      </c>
      <c r="I163"/>
      <c r="J163"/>
    </row>
    <row r="164" spans="1:10" x14ac:dyDescent="0.25">
      <c r="A164" s="3">
        <v>43617</v>
      </c>
      <c r="C164" s="118">
        <f t="shared" ref="C164:D164" si="19">C152</f>
        <v>25.279999999999998</v>
      </c>
      <c r="D164" s="109">
        <f t="shared" si="19"/>
        <v>65.099999999999994</v>
      </c>
      <c r="E164" s="10">
        <v>30</v>
      </c>
      <c r="F164" s="18">
        <v>0</v>
      </c>
      <c r="G164" s="162">
        <f>G163+'Rate Class Customer Model'!$L$16</f>
        <v>18949.540842407463</v>
      </c>
      <c r="H164" s="10">
        <f t="shared" ref="H164:H194" si="20">$L$18+C164*$L$19+D164*$L$20+E164*$L$21+F164*$L$22+G164*$L$23</f>
        <v>20735159.76367145</v>
      </c>
      <c r="I164"/>
      <c r="J164"/>
    </row>
    <row r="165" spans="1:10" x14ac:dyDescent="0.25">
      <c r="A165" s="3">
        <v>43647</v>
      </c>
      <c r="C165" s="118">
        <f t="shared" ref="C165:D165" si="21">C153</f>
        <v>2.15</v>
      </c>
      <c r="D165" s="109">
        <f t="shared" si="21"/>
        <v>129.30000000000001</v>
      </c>
      <c r="E165" s="10">
        <v>31</v>
      </c>
      <c r="F165" s="18">
        <v>0</v>
      </c>
      <c r="G165" s="162">
        <f>G164+'Rate Class Customer Model'!$L$16</f>
        <v>19056.459157592519</v>
      </c>
      <c r="H165" s="10">
        <f t="shared" si="20"/>
        <v>23087045.488982096</v>
      </c>
      <c r="I165"/>
      <c r="J165"/>
    </row>
    <row r="166" spans="1:10" x14ac:dyDescent="0.25">
      <c r="A166" s="3">
        <v>43678</v>
      </c>
      <c r="C166" s="118">
        <f t="shared" ref="C166:D166" si="22">C154</f>
        <v>5.3599999999999994</v>
      </c>
      <c r="D166" s="109">
        <f t="shared" si="22"/>
        <v>103.49000000000001</v>
      </c>
      <c r="E166" s="10">
        <v>31</v>
      </c>
      <c r="F166" s="18">
        <v>0</v>
      </c>
      <c r="G166" s="162">
        <f>G165+'Rate Class Customer Model'!$L$16</f>
        <v>19163.377472777574</v>
      </c>
      <c r="H166" s="10">
        <f t="shared" si="20"/>
        <v>22403051.650420338</v>
      </c>
      <c r="I166"/>
      <c r="J166"/>
    </row>
    <row r="167" spans="1:10" x14ac:dyDescent="0.25">
      <c r="A167" s="3">
        <v>43709</v>
      </c>
      <c r="C167" s="118">
        <f t="shared" ref="C167:D167" si="23">C155</f>
        <v>62.71</v>
      </c>
      <c r="D167" s="109">
        <f t="shared" si="23"/>
        <v>35.489999999999995</v>
      </c>
      <c r="E167" s="10">
        <v>30</v>
      </c>
      <c r="F167" s="18">
        <v>1</v>
      </c>
      <c r="G167" s="162">
        <f>G166+'Rate Class Customer Model'!$L$16</f>
        <v>19270.29578796263</v>
      </c>
      <c r="H167" s="10">
        <f t="shared" si="20"/>
        <v>19317933.531336166</v>
      </c>
      <c r="I167"/>
      <c r="J167"/>
    </row>
    <row r="168" spans="1:10" x14ac:dyDescent="0.25">
      <c r="A168" s="3">
        <v>43739</v>
      </c>
      <c r="C168" s="118">
        <f t="shared" ref="C168:D168" si="24">C156</f>
        <v>239.46000000000004</v>
      </c>
      <c r="D168" s="109">
        <f t="shared" si="24"/>
        <v>2.6100000000000003</v>
      </c>
      <c r="E168" s="10">
        <v>31</v>
      </c>
      <c r="F168" s="18">
        <v>1</v>
      </c>
      <c r="G168" s="162">
        <f>G167+'Rate Class Customer Model'!$L$16</f>
        <v>19377.214103147686</v>
      </c>
      <c r="H168" s="10">
        <f t="shared" si="20"/>
        <v>21232509.740690403</v>
      </c>
      <c r="I168"/>
      <c r="J168"/>
    </row>
    <row r="169" spans="1:10" x14ac:dyDescent="0.25">
      <c r="A169" s="3">
        <v>43770</v>
      </c>
      <c r="C169" s="118">
        <f t="shared" ref="C169:D169" si="25">C157</f>
        <v>414.42000000000007</v>
      </c>
      <c r="D169" s="109">
        <f t="shared" si="25"/>
        <v>0</v>
      </c>
      <c r="E169" s="10">
        <v>30</v>
      </c>
      <c r="F169" s="18">
        <v>1</v>
      </c>
      <c r="G169" s="162">
        <f>G168+'Rate Class Customer Model'!$L$16</f>
        <v>19484.132418332742</v>
      </c>
      <c r="H169" s="10">
        <f t="shared" si="20"/>
        <v>22781736.596281804</v>
      </c>
      <c r="I169"/>
      <c r="J169"/>
    </row>
    <row r="170" spans="1:10" x14ac:dyDescent="0.25">
      <c r="A170" s="3">
        <v>43800</v>
      </c>
      <c r="C170" s="118">
        <f t="shared" ref="C170:D170" si="26">C158</f>
        <v>583.56999999999994</v>
      </c>
      <c r="D170" s="109">
        <f t="shared" si="26"/>
        <v>0</v>
      </c>
      <c r="E170" s="10">
        <v>31</v>
      </c>
      <c r="F170" s="18">
        <v>0</v>
      </c>
      <c r="G170" s="162">
        <f>G169+'Rate Class Customer Model'!$L$16</f>
        <v>19591.050733517797</v>
      </c>
      <c r="H170" s="10">
        <f t="shared" si="20"/>
        <v>26768242.094372645</v>
      </c>
      <c r="I170"/>
      <c r="J170"/>
    </row>
    <row r="171" spans="1:10" x14ac:dyDescent="0.25">
      <c r="A171" s="3">
        <v>43831</v>
      </c>
      <c r="C171" s="118">
        <f>C159</f>
        <v>700.17000000000007</v>
      </c>
      <c r="D171" s="109">
        <f>D159</f>
        <v>0</v>
      </c>
      <c r="E171" s="10">
        <v>31</v>
      </c>
      <c r="F171" s="18">
        <v>0</v>
      </c>
      <c r="G171" s="162">
        <f>G170+'Rate Class Customer Model'!$L$17</f>
        <v>19666.889082207366</v>
      </c>
      <c r="H171" s="10">
        <f t="shared" si="20"/>
        <v>28276946.582742162</v>
      </c>
      <c r="I171"/>
      <c r="J171"/>
    </row>
    <row r="172" spans="1:10" x14ac:dyDescent="0.25">
      <c r="A172" s="3">
        <v>43862</v>
      </c>
      <c r="C172" s="118">
        <f t="shared" ref="C172:D172" si="27">C160</f>
        <v>663.51</v>
      </c>
      <c r="D172" s="109">
        <f t="shared" si="27"/>
        <v>0</v>
      </c>
      <c r="E172" s="10">
        <v>29</v>
      </c>
      <c r="F172" s="18">
        <v>0</v>
      </c>
      <c r="G172" s="162">
        <f>G171+'Rate Class Customer Model'!$L$17</f>
        <v>19742.727430896935</v>
      </c>
      <c r="H172" s="10">
        <f t="shared" si="20"/>
        <v>26595781.819759987</v>
      </c>
      <c r="I172"/>
      <c r="J172"/>
    </row>
    <row r="173" spans="1:10" x14ac:dyDescent="0.25">
      <c r="A173" s="3">
        <v>43891</v>
      </c>
      <c r="C173" s="118">
        <f t="shared" ref="C173:D173" si="28">C161</f>
        <v>541.32000000000005</v>
      </c>
      <c r="D173" s="109">
        <f t="shared" si="28"/>
        <v>0.02</v>
      </c>
      <c r="E173" s="10">
        <v>31</v>
      </c>
      <c r="F173" s="18">
        <v>1</v>
      </c>
      <c r="G173" s="162">
        <f>G172+'Rate Class Customer Model'!$L$17</f>
        <v>19818.565779586505</v>
      </c>
      <c r="H173" s="10">
        <f t="shared" si="20"/>
        <v>25197289.671884544</v>
      </c>
      <c r="I173"/>
      <c r="J173"/>
    </row>
    <row r="174" spans="1:10" x14ac:dyDescent="0.25">
      <c r="A174" s="3">
        <v>43922</v>
      </c>
      <c r="C174" s="118">
        <f t="shared" ref="C174:D174" si="29">C162</f>
        <v>311.77</v>
      </c>
      <c r="D174" s="109">
        <f t="shared" si="29"/>
        <v>0.12</v>
      </c>
      <c r="E174" s="10">
        <v>30</v>
      </c>
      <c r="F174" s="18">
        <v>1</v>
      </c>
      <c r="G174" s="162">
        <f>G173+'Rate Class Customer Model'!$L$17</f>
        <v>19894.404128276074</v>
      </c>
      <c r="H174" s="10">
        <f t="shared" si="20"/>
        <v>21725248.906531166</v>
      </c>
      <c r="I174"/>
      <c r="J174"/>
    </row>
    <row r="175" spans="1:10" x14ac:dyDescent="0.25">
      <c r="A175" s="3">
        <v>43952</v>
      </c>
      <c r="C175" s="118">
        <f t="shared" ref="C175:D175" si="30">C163</f>
        <v>127.88000000000002</v>
      </c>
      <c r="D175" s="109">
        <f t="shared" si="30"/>
        <v>22.229999999999997</v>
      </c>
      <c r="E175" s="10">
        <v>31</v>
      </c>
      <c r="F175" s="18">
        <v>1</v>
      </c>
      <c r="G175" s="162">
        <f>G174+'Rate Class Customer Model'!$L$17</f>
        <v>19970.242476965643</v>
      </c>
      <c r="H175" s="10">
        <f t="shared" si="20"/>
        <v>20759097.70468574</v>
      </c>
      <c r="I175"/>
      <c r="J175"/>
    </row>
    <row r="176" spans="1:10" x14ac:dyDescent="0.25">
      <c r="A176" s="3">
        <v>43983</v>
      </c>
      <c r="C176" s="118">
        <f t="shared" ref="C176:D176" si="31">C164</f>
        <v>25.279999999999998</v>
      </c>
      <c r="D176" s="109">
        <f t="shared" si="31"/>
        <v>65.099999999999994</v>
      </c>
      <c r="E176" s="10">
        <v>30</v>
      </c>
      <c r="F176" s="18">
        <v>0</v>
      </c>
      <c r="G176" s="162">
        <f>G175+'Rate Class Customer Model'!$L$17</f>
        <v>20046.080825655212</v>
      </c>
      <c r="H176" s="10">
        <f t="shared" si="20"/>
        <v>21351355.249152478</v>
      </c>
      <c r="I176"/>
      <c r="J176"/>
    </row>
    <row r="177" spans="1:10" x14ac:dyDescent="0.25">
      <c r="A177" s="3">
        <v>44013</v>
      </c>
      <c r="C177" s="118">
        <f t="shared" ref="C177:D177" si="32">C165</f>
        <v>2.15</v>
      </c>
      <c r="D177" s="109">
        <f t="shared" si="32"/>
        <v>129.30000000000001</v>
      </c>
      <c r="E177" s="10">
        <v>31</v>
      </c>
      <c r="F177" s="18">
        <v>0</v>
      </c>
      <c r="G177" s="162">
        <f>G176+'Rate Class Customer Model'!$L$17</f>
        <v>20121.919174344781</v>
      </c>
      <c r="H177" s="10">
        <f t="shared" si="20"/>
        <v>23685775.733490601</v>
      </c>
      <c r="I177"/>
      <c r="J177"/>
    </row>
    <row r="178" spans="1:10" x14ac:dyDescent="0.25">
      <c r="A178" s="3">
        <v>44044</v>
      </c>
      <c r="C178" s="118">
        <f t="shared" ref="C178:D178" si="33">C166</f>
        <v>5.3599999999999994</v>
      </c>
      <c r="D178" s="109">
        <f t="shared" si="33"/>
        <v>103.49000000000001</v>
      </c>
      <c r="E178" s="10">
        <v>31</v>
      </c>
      <c r="F178" s="18">
        <v>0</v>
      </c>
      <c r="G178" s="162">
        <f>G177+'Rate Class Customer Model'!$L$17</f>
        <v>20197.75752303435</v>
      </c>
      <c r="H178" s="10">
        <f t="shared" si="20"/>
        <v>22984316.653956331</v>
      </c>
      <c r="I178"/>
      <c r="J178"/>
    </row>
    <row r="179" spans="1:10" x14ac:dyDescent="0.25">
      <c r="A179" s="3">
        <v>44075</v>
      </c>
      <c r="C179" s="118">
        <f t="shared" ref="C179:D179" si="34">C167</f>
        <v>62.71</v>
      </c>
      <c r="D179" s="109">
        <f t="shared" si="34"/>
        <v>35.489999999999995</v>
      </c>
      <c r="E179" s="10">
        <v>30</v>
      </c>
      <c r="F179" s="18">
        <v>1</v>
      </c>
      <c r="G179" s="162">
        <f>G178+'Rate Class Customer Model'!$L$17</f>
        <v>20273.595871723919</v>
      </c>
      <c r="H179" s="10">
        <f t="shared" si="20"/>
        <v>19881733.29389964</v>
      </c>
      <c r="I179"/>
      <c r="J179"/>
    </row>
    <row r="180" spans="1:10" x14ac:dyDescent="0.25">
      <c r="A180" s="3">
        <v>44105</v>
      </c>
      <c r="C180" s="118">
        <f t="shared" ref="C180:D180" si="35">C168</f>
        <v>239.46000000000004</v>
      </c>
      <c r="D180" s="109">
        <f t="shared" si="35"/>
        <v>2.6100000000000003</v>
      </c>
      <c r="E180" s="10">
        <v>31</v>
      </c>
      <c r="F180" s="18">
        <v>1</v>
      </c>
      <c r="G180" s="162">
        <f>G179+'Rate Class Customer Model'!$L$17</f>
        <v>20349.434220413488</v>
      </c>
      <c r="H180" s="10">
        <f t="shared" si="20"/>
        <v>21778844.262281366</v>
      </c>
      <c r="I180"/>
      <c r="J180"/>
    </row>
    <row r="181" spans="1:10" x14ac:dyDescent="0.25">
      <c r="A181" s="3">
        <v>44136</v>
      </c>
      <c r="C181" s="118">
        <f t="shared" ref="C181:D181" si="36">C169</f>
        <v>414.42000000000007</v>
      </c>
      <c r="D181" s="109">
        <f t="shared" si="36"/>
        <v>0</v>
      </c>
      <c r="E181" s="10">
        <v>30</v>
      </c>
      <c r="F181" s="18">
        <v>1</v>
      </c>
      <c r="G181" s="162">
        <f>G180+'Rate Class Customer Model'!$L$17</f>
        <v>20425.272569103057</v>
      </c>
      <c r="H181" s="10">
        <f t="shared" si="20"/>
        <v>23310605.876900248</v>
      </c>
      <c r="I181"/>
      <c r="J181"/>
    </row>
    <row r="182" spans="1:10" x14ac:dyDescent="0.25">
      <c r="A182" s="3">
        <v>44166</v>
      </c>
      <c r="C182" s="118">
        <f t="shared" ref="C182:D182" si="37">C170</f>
        <v>583.56999999999994</v>
      </c>
      <c r="D182" s="109">
        <f t="shared" si="37"/>
        <v>0</v>
      </c>
      <c r="E182" s="10">
        <v>31</v>
      </c>
      <c r="F182" s="18">
        <v>0</v>
      </c>
      <c r="G182" s="162">
        <f>G181+'Rate Class Customer Model'!$L$17</f>
        <v>20501.110917792626</v>
      </c>
      <c r="H182" s="10">
        <f t="shared" si="20"/>
        <v>27279646.134018578</v>
      </c>
      <c r="I182"/>
      <c r="J182"/>
    </row>
    <row r="183" spans="1:10" x14ac:dyDescent="0.25">
      <c r="A183" s="3">
        <v>44197</v>
      </c>
      <c r="C183" s="118">
        <f>C171</f>
        <v>700.17000000000007</v>
      </c>
      <c r="D183" s="109">
        <f>D171</f>
        <v>0</v>
      </c>
      <c r="E183" s="10">
        <v>31</v>
      </c>
      <c r="F183" s="18">
        <v>0</v>
      </c>
      <c r="G183" s="162">
        <f>G182+'Rate Class Customer Model'!$L$18</f>
        <v>20591.555391978371</v>
      </c>
      <c r="H183" s="10">
        <f t="shared" si="20"/>
        <v>28796558.465903707</v>
      </c>
      <c r="I183"/>
      <c r="J183"/>
    </row>
    <row r="184" spans="1:10" x14ac:dyDescent="0.25">
      <c r="A184" s="3">
        <v>44228</v>
      </c>
      <c r="C184" s="118">
        <f t="shared" ref="C184:D184" si="38">C172</f>
        <v>663.51</v>
      </c>
      <c r="D184" s="109">
        <f t="shared" si="38"/>
        <v>0</v>
      </c>
      <c r="E184" s="10">
        <v>28</v>
      </c>
      <c r="F184" s="18">
        <v>0</v>
      </c>
      <c r="G184" s="162">
        <f>G183+'Rate Class Customer Model'!$L$18</f>
        <v>20681.999866164115</v>
      </c>
      <c r="H184" s="10">
        <f t="shared" si="20"/>
        <v>26492185.651298039</v>
      </c>
      <c r="I184"/>
      <c r="J184"/>
    </row>
    <row r="185" spans="1:10" x14ac:dyDescent="0.25">
      <c r="A185" s="3">
        <v>44256</v>
      </c>
      <c r="C185" s="118">
        <f t="shared" ref="C185:D185" si="39">C173</f>
        <v>541.32000000000005</v>
      </c>
      <c r="D185" s="109">
        <f t="shared" si="39"/>
        <v>0.02</v>
      </c>
      <c r="E185" s="10">
        <v>31</v>
      </c>
      <c r="F185" s="18">
        <v>1</v>
      </c>
      <c r="G185" s="162">
        <f>G184+'Rate Class Customer Model'!$L$18</f>
        <v>20772.444340349859</v>
      </c>
      <c r="H185" s="10">
        <f t="shared" si="20"/>
        <v>25733317.242077321</v>
      </c>
      <c r="I185"/>
      <c r="J185"/>
    </row>
    <row r="186" spans="1:10" x14ac:dyDescent="0.25">
      <c r="A186" s="3">
        <v>44287</v>
      </c>
      <c r="C186" s="118">
        <f t="shared" ref="C186:D186" si="40">C174</f>
        <v>311.77</v>
      </c>
      <c r="D186" s="109">
        <f t="shared" si="40"/>
        <v>0.12</v>
      </c>
      <c r="E186" s="10">
        <v>30</v>
      </c>
      <c r="F186" s="18">
        <v>1</v>
      </c>
      <c r="G186" s="162">
        <f>G185+'Rate Class Customer Model'!$L$18</f>
        <v>20862.888814535603</v>
      </c>
      <c r="H186" s="10">
        <f t="shared" si="20"/>
        <v>22269484.320239555</v>
      </c>
      <c r="I186"/>
      <c r="J186"/>
    </row>
    <row r="187" spans="1:10" x14ac:dyDescent="0.25">
      <c r="A187" s="3">
        <v>44317</v>
      </c>
      <c r="C187" s="118">
        <f t="shared" ref="C187:D187" si="41">C175</f>
        <v>127.88000000000002</v>
      </c>
      <c r="D187" s="109">
        <f t="shared" si="41"/>
        <v>22.229999999999997</v>
      </c>
      <c r="E187" s="10">
        <v>31</v>
      </c>
      <c r="F187" s="18">
        <v>1</v>
      </c>
      <c r="G187" s="162">
        <f>G186+'Rate Class Customer Model'!$L$18</f>
        <v>20953.333288721347</v>
      </c>
      <c r="H187" s="10">
        <f t="shared" si="20"/>
        <v>21311540.961909741</v>
      </c>
      <c r="I187"/>
      <c r="J187"/>
    </row>
    <row r="188" spans="1:10" x14ac:dyDescent="0.25">
      <c r="A188" s="3">
        <v>44348</v>
      </c>
      <c r="C188" s="118">
        <f t="shared" ref="C188:D188" si="42">C176</f>
        <v>25.279999999999998</v>
      </c>
      <c r="D188" s="109">
        <f t="shared" si="42"/>
        <v>65.099999999999994</v>
      </c>
      <c r="E188" s="10">
        <v>30</v>
      </c>
      <c r="F188" s="18">
        <v>0</v>
      </c>
      <c r="G188" s="162">
        <f>G187+'Rate Class Customer Model'!$L$18</f>
        <v>21043.777762907092</v>
      </c>
      <c r="H188" s="10">
        <f t="shared" si="20"/>
        <v>21912006.349892095</v>
      </c>
      <c r="I188"/>
      <c r="J188"/>
    </row>
    <row r="189" spans="1:10" x14ac:dyDescent="0.25">
      <c r="A189" s="3">
        <v>44378</v>
      </c>
      <c r="C189" s="118">
        <f t="shared" ref="C189:D189" si="43">C177</f>
        <v>2.15</v>
      </c>
      <c r="D189" s="109">
        <f t="shared" si="43"/>
        <v>129.30000000000001</v>
      </c>
      <c r="E189" s="10">
        <v>31</v>
      </c>
      <c r="F189" s="18">
        <v>0</v>
      </c>
      <c r="G189" s="162">
        <f>G188+'Rate Class Customer Model'!$L$18</f>
        <v>21134.222237092836</v>
      </c>
      <c r="H189" s="10">
        <f t="shared" si="20"/>
        <v>24254634.677745838</v>
      </c>
      <c r="I189"/>
      <c r="J189"/>
    </row>
    <row r="190" spans="1:10" x14ac:dyDescent="0.25">
      <c r="A190" s="3">
        <v>44409</v>
      </c>
      <c r="C190" s="118">
        <f t="shared" ref="C190:D190" si="44">C178</f>
        <v>5.3599999999999994</v>
      </c>
      <c r="D190" s="109">
        <f t="shared" si="44"/>
        <v>103.49000000000001</v>
      </c>
      <c r="E190" s="10">
        <v>31</v>
      </c>
      <c r="F190" s="18">
        <v>0</v>
      </c>
      <c r="G190" s="162">
        <f>G189+'Rate Class Customer Model'!$L$18</f>
        <v>21224.66671127858</v>
      </c>
      <c r="H190" s="10">
        <f t="shared" si="20"/>
        <v>23561383.44172718</v>
      </c>
      <c r="I190"/>
      <c r="J190"/>
    </row>
    <row r="191" spans="1:10" x14ac:dyDescent="0.25">
      <c r="A191" s="3">
        <v>44440</v>
      </c>
      <c r="C191" s="118">
        <f t="shared" ref="C191:D191" si="45">C179</f>
        <v>62.71</v>
      </c>
      <c r="D191" s="109">
        <f t="shared" si="45"/>
        <v>35.489999999999995</v>
      </c>
      <c r="E191" s="10">
        <v>30</v>
      </c>
      <c r="F191" s="18">
        <v>1</v>
      </c>
      <c r="G191" s="162">
        <f>G190+'Rate Class Customer Model'!$L$18</f>
        <v>21315.111185464324</v>
      </c>
      <c r="H191" s="10">
        <f t="shared" si="20"/>
        <v>20467007.925186105</v>
      </c>
      <c r="I191"/>
      <c r="J191"/>
    </row>
    <row r="192" spans="1:10" x14ac:dyDescent="0.25">
      <c r="A192" s="3">
        <v>44470</v>
      </c>
      <c r="C192" s="118">
        <f t="shared" ref="C192:D192" si="46">C180</f>
        <v>239.46000000000004</v>
      </c>
      <c r="D192" s="109">
        <f t="shared" si="46"/>
        <v>2.6100000000000003</v>
      </c>
      <c r="E192" s="10">
        <v>31</v>
      </c>
      <c r="F192" s="18">
        <v>1</v>
      </c>
      <c r="G192" s="162">
        <f>G191+'Rate Class Customer Model'!$L$18</f>
        <v>21405.555659650068</v>
      </c>
      <c r="H192" s="10">
        <f t="shared" si="20"/>
        <v>22372326.737083443</v>
      </c>
      <c r="I192"/>
      <c r="J192"/>
    </row>
    <row r="193" spans="1:11" x14ac:dyDescent="0.25">
      <c r="A193" s="3">
        <v>44501</v>
      </c>
      <c r="C193" s="118">
        <f t="shared" ref="C193:D193" si="47">C181</f>
        <v>414.42000000000007</v>
      </c>
      <c r="D193" s="109">
        <f t="shared" si="47"/>
        <v>0</v>
      </c>
      <c r="E193" s="10">
        <v>30</v>
      </c>
      <c r="F193" s="18">
        <v>1</v>
      </c>
      <c r="G193" s="162">
        <f>G192+'Rate Class Customer Model'!$L$18</f>
        <v>21496.000133835812</v>
      </c>
      <c r="H193" s="10">
        <f t="shared" si="20"/>
        <v>23912296.195217941</v>
      </c>
      <c r="I193"/>
      <c r="J193"/>
    </row>
    <row r="194" spans="1:11" x14ac:dyDescent="0.25">
      <c r="A194" s="3">
        <v>44531</v>
      </c>
      <c r="C194" s="118">
        <f t="shared" ref="C194:D194" si="48">C182</f>
        <v>583.56999999999994</v>
      </c>
      <c r="D194" s="109">
        <f t="shared" si="48"/>
        <v>0</v>
      </c>
      <c r="E194" s="10">
        <v>31</v>
      </c>
      <c r="F194" s="18">
        <v>0</v>
      </c>
      <c r="G194" s="162">
        <f>G193+'Rate Class Customer Model'!$L$18</f>
        <v>21586.444608021557</v>
      </c>
      <c r="H194" s="10">
        <f t="shared" si="20"/>
        <v>27889544.295851883</v>
      </c>
      <c r="I194"/>
      <c r="J194"/>
    </row>
    <row r="195" spans="1:11" x14ac:dyDescent="0.25">
      <c r="A195" s="3"/>
      <c r="C195" s="118"/>
      <c r="E195" s="10"/>
      <c r="F195" s="18"/>
      <c r="G195" s="162"/>
      <c r="H195" s="10"/>
      <c r="I195"/>
      <c r="J195"/>
    </row>
    <row r="196" spans="1:11" x14ac:dyDescent="0.25">
      <c r="A196" s="3"/>
      <c r="C196" s="118"/>
      <c r="D196" s="416" t="s">
        <v>62</v>
      </c>
      <c r="E196" s="416"/>
      <c r="F196" s="18"/>
      <c r="G196" s="18"/>
      <c r="H196" s="49">
        <f>SUM(H3:H195)</f>
        <v>4098330476.1340399</v>
      </c>
      <c r="I196" s="116"/>
      <c r="J196" s="117"/>
    </row>
    <row r="197" spans="1:11" x14ac:dyDescent="0.25">
      <c r="A197" s="3"/>
      <c r="I197" s="116"/>
      <c r="J197" s="117"/>
    </row>
    <row r="198" spans="1:11" x14ac:dyDescent="0.25">
      <c r="A198" s="3"/>
      <c r="I198" s="116"/>
      <c r="J198" s="117"/>
    </row>
    <row r="199" spans="1:11" x14ac:dyDescent="0.25">
      <c r="A199" s="3"/>
      <c r="I199" s="116"/>
      <c r="J199" s="117"/>
    </row>
    <row r="200" spans="1:11" x14ac:dyDescent="0.25">
      <c r="A200">
        <v>2006</v>
      </c>
      <c r="B200" s="28">
        <f>SUM(B3:B14)</f>
        <v>234398898.69999999</v>
      </c>
      <c r="H200" s="28">
        <f>SUM(H3:H14)</f>
        <v>236716533.66990495</v>
      </c>
      <c r="I200" s="116"/>
      <c r="J200" s="117"/>
    </row>
    <row r="201" spans="1:11" x14ac:dyDescent="0.25">
      <c r="A201" s="17">
        <v>2007</v>
      </c>
      <c r="B201" s="28">
        <f>SUM(B15:B26)</f>
        <v>241154636.09999999</v>
      </c>
      <c r="H201" s="28">
        <f>SUM(H15:H26)</f>
        <v>243492052.03077695</v>
      </c>
      <c r="I201" s="116"/>
      <c r="J201" s="117"/>
    </row>
    <row r="202" spans="1:11" x14ac:dyDescent="0.25">
      <c r="A202">
        <v>2008</v>
      </c>
      <c r="B202" s="28">
        <f>SUM(B27:B38)</f>
        <v>245623027.80000001</v>
      </c>
      <c r="H202" s="28">
        <f>SUM(H27:H38)</f>
        <v>242687773.94966653</v>
      </c>
      <c r="I202" s="116"/>
      <c r="J202" s="117"/>
      <c r="K202" t="s">
        <v>173</v>
      </c>
    </row>
    <row r="203" spans="1:11" x14ac:dyDescent="0.25">
      <c r="A203" s="17">
        <v>2009</v>
      </c>
      <c r="B203" s="28">
        <f>SUM(B39:B50)</f>
        <v>247239189.20000002</v>
      </c>
      <c r="H203" s="28">
        <f>SUM(H39:H50)</f>
        <v>242876077.28270113</v>
      </c>
      <c r="I203" s="116"/>
      <c r="J203" s="117"/>
    </row>
    <row r="204" spans="1:11" x14ac:dyDescent="0.25">
      <c r="A204">
        <v>2010</v>
      </c>
      <c r="B204" s="28">
        <f>SUM(B51:B62)</f>
        <v>250239378.79999998</v>
      </c>
      <c r="H204" s="28">
        <f>SUM(H51:H62)</f>
        <v>245540747.45753264</v>
      </c>
      <c r="I204" s="116"/>
      <c r="J204" s="117"/>
    </row>
    <row r="205" spans="1:11" x14ac:dyDescent="0.25">
      <c r="A205">
        <v>2011</v>
      </c>
      <c r="B205" s="28">
        <f>SUM(B63:B74)</f>
        <v>246758167.20000002</v>
      </c>
      <c r="H205" s="28">
        <f>SUM(H63:H74)</f>
        <v>248011801.80632263</v>
      </c>
      <c r="I205" s="116"/>
      <c r="J205" s="117"/>
    </row>
    <row r="206" spans="1:11" x14ac:dyDescent="0.25">
      <c r="A206">
        <v>2012</v>
      </c>
      <c r="B206" s="6">
        <f>SUM(B75:B86)</f>
        <v>245129838.40000004</v>
      </c>
      <c r="H206" s="166">
        <f>SUM(H75:H86)</f>
        <v>245994875.49027348</v>
      </c>
      <c r="I206" s="116"/>
      <c r="J206" s="117"/>
    </row>
    <row r="207" spans="1:11" x14ac:dyDescent="0.25">
      <c r="A207">
        <v>2013</v>
      </c>
      <c r="B207" s="6">
        <f>SUM(B87:B98)</f>
        <v>245129838.10000002</v>
      </c>
      <c r="H207" s="166">
        <f>SUM(H87:H98)</f>
        <v>249473504.49720371</v>
      </c>
      <c r="I207" s="116"/>
      <c r="J207" s="117"/>
    </row>
    <row r="208" spans="1:11" x14ac:dyDescent="0.25">
      <c r="A208">
        <v>2014</v>
      </c>
      <c r="B208" s="28">
        <f>SUM(B99:B110)</f>
        <v>253254985</v>
      </c>
      <c r="H208" s="28">
        <f>SUM(H99:H110)</f>
        <v>254225266.15011215</v>
      </c>
      <c r="I208" s="116"/>
      <c r="J208" s="117"/>
    </row>
    <row r="209" spans="1:10" x14ac:dyDescent="0.25">
      <c r="A209" s="17">
        <v>2015</v>
      </c>
      <c r="B209" s="28">
        <f>SUM(B111:B122)</f>
        <v>255186387</v>
      </c>
      <c r="H209" s="28">
        <f>SUM(H111:H122)</f>
        <v>255095713.96550572</v>
      </c>
      <c r="I209" s="116"/>
      <c r="J209" s="117"/>
    </row>
    <row r="210" spans="1:10" x14ac:dyDescent="0.25">
      <c r="A210">
        <v>2016</v>
      </c>
      <c r="H210" s="6">
        <f>SUM(H123:H134)</f>
        <v>258773135.43857595</v>
      </c>
      <c r="I210" s="116"/>
      <c r="J210" s="117"/>
    </row>
    <row r="211" spans="1:10" x14ac:dyDescent="0.25">
      <c r="A211" s="17"/>
      <c r="H211" s="6"/>
      <c r="I211" s="116"/>
      <c r="J211" s="117"/>
    </row>
    <row r="212" spans="1:10" x14ac:dyDescent="0.25">
      <c r="H212" s="168"/>
      <c r="I212" s="116"/>
      <c r="J212" s="117"/>
    </row>
    <row r="213" spans="1:10" x14ac:dyDescent="0.25">
      <c r="A213" s="17"/>
      <c r="H213" s="168"/>
      <c r="I213" s="116"/>
      <c r="J213" s="117"/>
    </row>
    <row r="214" spans="1:10" x14ac:dyDescent="0.25">
      <c r="H214" s="168"/>
      <c r="I214" s="116"/>
      <c r="J214" s="117"/>
    </row>
    <row r="215" spans="1:10" x14ac:dyDescent="0.25">
      <c r="A215" s="17"/>
      <c r="H215" s="168"/>
      <c r="I215" s="116"/>
      <c r="J215" s="117"/>
    </row>
    <row r="216" spans="1:10" x14ac:dyDescent="0.25">
      <c r="A216" s="17"/>
      <c r="H216" s="6"/>
      <c r="I216" s="116"/>
      <c r="J216" s="117"/>
    </row>
    <row r="217" spans="1:10" x14ac:dyDescent="0.25">
      <c r="A217" s="119" t="s">
        <v>131</v>
      </c>
      <c r="B217" s="28">
        <f>SUM(B200:B209)</f>
        <v>2464114346.3000002</v>
      </c>
      <c r="H217" s="28">
        <f>SUM(H200:H209)</f>
        <v>2464114346.2999997</v>
      </c>
      <c r="I217" s="116">
        <f>B217-H217</f>
        <v>0</v>
      </c>
      <c r="J217" s="117"/>
    </row>
    <row r="218" spans="1:10" x14ac:dyDescent="0.25">
      <c r="I218" s="116"/>
      <c r="J218" s="117"/>
    </row>
    <row r="219" spans="1:10" x14ac:dyDescent="0.25">
      <c r="H219" s="49">
        <f>SUM(H200:H215)</f>
        <v>2722887481.7385755</v>
      </c>
      <c r="I219" s="116">
        <f>H196-H219</f>
        <v>1375442994.3954644</v>
      </c>
      <c r="J219" s="117"/>
    </row>
    <row r="220" spans="1:10" x14ac:dyDescent="0.25">
      <c r="H220"/>
      <c r="I220" s="116"/>
      <c r="J220" s="117"/>
    </row>
    <row r="221" spans="1:10" x14ac:dyDescent="0.25">
      <c r="I221" s="116"/>
      <c r="J221" s="117"/>
    </row>
    <row r="222" spans="1:10" x14ac:dyDescent="0.25">
      <c r="I222" s="116"/>
      <c r="J222" s="117"/>
    </row>
    <row r="223" spans="1:10" x14ac:dyDescent="0.25">
      <c r="B223" s="28" t="s">
        <v>90</v>
      </c>
      <c r="I223" s="116"/>
      <c r="J223" s="117"/>
    </row>
    <row r="224" spans="1:10" x14ac:dyDescent="0.25">
      <c r="A224" s="3">
        <v>42736</v>
      </c>
      <c r="C224" s="111">
        <f>'Weather Analysis'!W8</f>
        <v>721.82285714285717</v>
      </c>
      <c r="D224" s="112">
        <f>'Weather Analysis'!W28</f>
        <v>0</v>
      </c>
      <c r="E224" s="84">
        <f t="shared" ref="E224:G235" si="49">E135</f>
        <v>31</v>
      </c>
      <c r="F224" s="84">
        <f t="shared" si="49"/>
        <v>0</v>
      </c>
      <c r="G224" s="84">
        <f t="shared" si="49"/>
        <v>16849.491124260367</v>
      </c>
      <c r="H224" s="10">
        <f t="shared" ref="H224:H235" si="50">$L$18+C224*$L$19+D224*$L$20+E224*$L$21+F224*$L$22+G224*$L$23</f>
        <v>26965978.480992708</v>
      </c>
      <c r="I224" s="116"/>
      <c r="J224" s="117"/>
    </row>
    <row r="225" spans="1:10" x14ac:dyDescent="0.25">
      <c r="A225" s="3">
        <v>42767</v>
      </c>
      <c r="C225" s="111">
        <f>'Weather Analysis'!W9</f>
        <v>705.980375939851</v>
      </c>
      <c r="D225" s="112">
        <f>'Weather Analysis'!W29</f>
        <v>0</v>
      </c>
      <c r="E225" s="84">
        <f t="shared" si="49"/>
        <v>28</v>
      </c>
      <c r="F225" s="84">
        <f t="shared" si="49"/>
        <v>0</v>
      </c>
      <c r="G225" s="84">
        <f t="shared" si="49"/>
        <v>16886.674556213031</v>
      </c>
      <c r="H225" s="10">
        <f t="shared" si="50"/>
        <v>24893428.050730251</v>
      </c>
      <c r="I225" s="116"/>
      <c r="J225" s="117"/>
    </row>
    <row r="226" spans="1:10" x14ac:dyDescent="0.25">
      <c r="A226" s="3">
        <v>42795</v>
      </c>
      <c r="C226" s="111">
        <f>'Weather Analysis'!W10</f>
        <v>544.10278195488718</v>
      </c>
      <c r="D226" s="112">
        <f>'Weather Analysis'!W30</f>
        <v>3.2481203007518555E-2</v>
      </c>
      <c r="E226" s="84">
        <f t="shared" si="49"/>
        <v>31</v>
      </c>
      <c r="F226" s="84">
        <f t="shared" si="49"/>
        <v>1</v>
      </c>
      <c r="G226" s="84">
        <f t="shared" si="49"/>
        <v>16923.857988165695</v>
      </c>
      <c r="H226" s="10">
        <f t="shared" si="50"/>
        <v>23605991.307355545</v>
      </c>
      <c r="I226" s="116"/>
      <c r="J226" s="117"/>
    </row>
    <row r="227" spans="1:10" x14ac:dyDescent="0.25">
      <c r="A227" s="3">
        <v>42826</v>
      </c>
      <c r="C227" s="111">
        <f>'Weather Analysis'!W11</f>
        <v>305.9646616541354</v>
      </c>
      <c r="D227" s="112">
        <f>'Weather Analysis'!W31</f>
        <v>2.2556390977456431E-2</v>
      </c>
      <c r="E227" s="84">
        <f t="shared" si="49"/>
        <v>30</v>
      </c>
      <c r="F227" s="84">
        <f t="shared" si="49"/>
        <v>1</v>
      </c>
      <c r="G227" s="84">
        <f t="shared" si="49"/>
        <v>16961.041420118359</v>
      </c>
      <c r="H227" s="10">
        <f t="shared" si="50"/>
        <v>20000903.66231633</v>
      </c>
      <c r="I227" s="116"/>
      <c r="J227" s="117"/>
    </row>
    <row r="228" spans="1:10" x14ac:dyDescent="0.25">
      <c r="A228" s="3">
        <v>42856</v>
      </c>
      <c r="C228" s="111">
        <f>'Weather Analysis'!W12</f>
        <v>106.5682706766911</v>
      </c>
      <c r="D228" s="112">
        <f>'Weather Analysis'!W32</f>
        <v>25.988496240601535</v>
      </c>
      <c r="E228" s="84">
        <f t="shared" si="49"/>
        <v>31</v>
      </c>
      <c r="F228" s="84">
        <f t="shared" si="49"/>
        <v>1</v>
      </c>
      <c r="G228" s="84">
        <f t="shared" si="49"/>
        <v>16998.224852071024</v>
      </c>
      <c r="H228" s="10">
        <f t="shared" si="50"/>
        <v>18935251.30121801</v>
      </c>
      <c r="I228" s="116"/>
      <c r="J228" s="117"/>
    </row>
    <row r="229" spans="1:10" x14ac:dyDescent="0.25">
      <c r="A229" s="3">
        <v>42887</v>
      </c>
      <c r="C229" s="111">
        <f>'Weather Analysis'!W13</f>
        <v>23.863533834586406</v>
      </c>
      <c r="D229" s="112">
        <f>'Weather Analysis'!W33</f>
        <v>63.245714285714257</v>
      </c>
      <c r="E229" s="84">
        <f t="shared" si="49"/>
        <v>30</v>
      </c>
      <c r="F229" s="84">
        <f t="shared" si="49"/>
        <v>0</v>
      </c>
      <c r="G229" s="84">
        <f t="shared" si="49"/>
        <v>17035.408284023688</v>
      </c>
      <c r="H229" s="10">
        <f t="shared" si="50"/>
        <v>19585354.941397559</v>
      </c>
      <c r="I229" s="116"/>
      <c r="J229" s="117"/>
    </row>
    <row r="230" spans="1:10" x14ac:dyDescent="0.25">
      <c r="A230" s="3">
        <v>42917</v>
      </c>
      <c r="C230" s="111">
        <v>0</v>
      </c>
      <c r="D230" s="112">
        <f>'Weather Analysis'!W34</f>
        <v>140.32451127819513</v>
      </c>
      <c r="E230" s="84">
        <f t="shared" si="49"/>
        <v>31</v>
      </c>
      <c r="F230" s="84">
        <f t="shared" si="49"/>
        <v>0</v>
      </c>
      <c r="G230" s="84">
        <f t="shared" si="49"/>
        <v>17072.591715976352</v>
      </c>
      <c r="H230" s="10">
        <f t="shared" si="50"/>
        <v>22280252.646207817</v>
      </c>
      <c r="I230" s="116"/>
      <c r="J230" s="117"/>
    </row>
    <row r="231" spans="1:10" x14ac:dyDescent="0.25">
      <c r="A231" s="3">
        <v>42948</v>
      </c>
      <c r="C231" s="111">
        <v>0</v>
      </c>
      <c r="D231" s="112">
        <f>'Weather Analysis'!W35</f>
        <v>107.50812030075184</v>
      </c>
      <c r="E231" s="84">
        <f t="shared" si="49"/>
        <v>31</v>
      </c>
      <c r="F231" s="84">
        <f t="shared" si="49"/>
        <v>0</v>
      </c>
      <c r="G231" s="84">
        <f t="shared" si="49"/>
        <v>17109.775147929016</v>
      </c>
      <c r="H231" s="10">
        <f t="shared" si="50"/>
        <v>21303766.547034282</v>
      </c>
      <c r="I231" s="116"/>
      <c r="J231" s="117"/>
    </row>
    <row r="232" spans="1:10" x14ac:dyDescent="0.25">
      <c r="A232" s="3">
        <v>42979</v>
      </c>
      <c r="C232" s="111">
        <f>'Weather Analysis'!W16</f>
        <v>57.630451127819555</v>
      </c>
      <c r="D232" s="112">
        <f>'Weather Analysis'!W36</f>
        <v>42.195864661654014</v>
      </c>
      <c r="E232" s="84">
        <f t="shared" si="49"/>
        <v>30</v>
      </c>
      <c r="F232" s="84">
        <f t="shared" si="49"/>
        <v>1</v>
      </c>
      <c r="G232" s="84">
        <f t="shared" si="49"/>
        <v>17146.958579881681</v>
      </c>
      <c r="H232" s="10">
        <f t="shared" si="50"/>
        <v>18264675.539299831</v>
      </c>
      <c r="I232" s="116"/>
      <c r="J232" s="117"/>
    </row>
    <row r="233" spans="1:10" x14ac:dyDescent="0.25">
      <c r="A233" s="3">
        <v>43009</v>
      </c>
      <c r="C233" s="111">
        <f>'Weather Analysis'!W17</f>
        <v>230.44473684210516</v>
      </c>
      <c r="D233" s="112">
        <f>'Weather Analysis'!W37</f>
        <v>2.2867669172932352</v>
      </c>
      <c r="E233" s="84">
        <f t="shared" si="49"/>
        <v>31</v>
      </c>
      <c r="F233" s="84">
        <f t="shared" si="49"/>
        <v>1</v>
      </c>
      <c r="G233" s="84">
        <f t="shared" si="49"/>
        <v>17184.142011834345</v>
      </c>
      <c r="H233" s="10">
        <f t="shared" si="50"/>
        <v>19876944.48963207</v>
      </c>
      <c r="I233" s="116"/>
      <c r="J233" s="117"/>
    </row>
    <row r="234" spans="1:10" x14ac:dyDescent="0.25">
      <c r="A234" s="3">
        <v>43040</v>
      </c>
      <c r="C234" s="111">
        <f>'Weather Analysis'!W18</f>
        <v>402.97255639097762</v>
      </c>
      <c r="D234" s="112">
        <f>'Weather Analysis'!W38</f>
        <v>0</v>
      </c>
      <c r="E234" s="84">
        <f t="shared" si="49"/>
        <v>30</v>
      </c>
      <c r="F234" s="84">
        <f t="shared" si="49"/>
        <v>1</v>
      </c>
      <c r="G234" s="84">
        <f t="shared" si="49"/>
        <v>17221.325443787009</v>
      </c>
      <c r="H234" s="10">
        <f t="shared" si="50"/>
        <v>21366226.722108118</v>
      </c>
      <c r="I234" s="116"/>
      <c r="J234" s="117"/>
    </row>
    <row r="235" spans="1:10" x14ac:dyDescent="0.25">
      <c r="A235" s="3">
        <v>43070</v>
      </c>
      <c r="C235" s="111">
        <f>'Weather Analysis'!W19</f>
        <v>574.13691729323318</v>
      </c>
      <c r="D235" s="112">
        <f>'Weather Analysis'!W39</f>
        <v>0</v>
      </c>
      <c r="E235" s="84">
        <f t="shared" si="49"/>
        <v>31</v>
      </c>
      <c r="F235" s="84">
        <f t="shared" si="49"/>
        <v>0</v>
      </c>
      <c r="G235" s="84">
        <f t="shared" si="49"/>
        <v>17258.508875739673</v>
      </c>
      <c r="H235" s="10">
        <f t="shared" si="50"/>
        <v>25338872.897744015</v>
      </c>
      <c r="I235" s="116">
        <f>SUM(H224:H235)</f>
        <v>262417646.58603656</v>
      </c>
      <c r="J235" s="117"/>
    </row>
    <row r="236" spans="1:10" x14ac:dyDescent="0.25">
      <c r="I236" s="116"/>
      <c r="J236" s="117"/>
    </row>
    <row r="237" spans="1:10" x14ac:dyDescent="0.25">
      <c r="A237" s="3">
        <f>A147</f>
        <v>43101</v>
      </c>
      <c r="C237" s="111">
        <f>'Weather Analysis'!X8</f>
        <v>722.29571428571433</v>
      </c>
      <c r="D237" s="112">
        <f>'Weather Analysis'!X28</f>
        <v>0</v>
      </c>
      <c r="E237" s="84">
        <f>E147</f>
        <v>31</v>
      </c>
      <c r="F237" s="84">
        <f t="shared" ref="F237:G237" si="51">F147</f>
        <v>0</v>
      </c>
      <c r="G237" s="84">
        <f t="shared" si="51"/>
        <v>17345.969048702795</v>
      </c>
      <c r="H237" s="10">
        <f t="shared" ref="H237:H248" si="52">$L$18+C237*$L$19+D237*$L$20+E237*$L$21+F237*$L$22+G237*$L$23</f>
        <v>27250917.454998329</v>
      </c>
      <c r="I237" s="116"/>
      <c r="J237" s="117"/>
    </row>
    <row r="238" spans="1:10" x14ac:dyDescent="0.25">
      <c r="A238" s="3">
        <f t="shared" ref="A238:A248" si="53">A148</f>
        <v>43132</v>
      </c>
      <c r="C238" s="111">
        <f>'Weather Analysis'!X9</f>
        <v>712.30127819548943</v>
      </c>
      <c r="D238" s="112">
        <f>'Weather Analysis'!X29</f>
        <v>0</v>
      </c>
      <c r="E238" s="84">
        <f t="shared" ref="E238:G238" si="54">E148</f>
        <v>28</v>
      </c>
      <c r="F238" s="84">
        <f t="shared" si="54"/>
        <v>0</v>
      </c>
      <c r="G238" s="84">
        <f t="shared" si="54"/>
        <v>17433.429221665916</v>
      </c>
      <c r="H238" s="10">
        <f t="shared" si="52"/>
        <v>25280151.070015144</v>
      </c>
      <c r="I238" s="116"/>
      <c r="J238" s="117"/>
    </row>
    <row r="239" spans="1:10" x14ac:dyDescent="0.25">
      <c r="A239" s="3">
        <f t="shared" si="53"/>
        <v>43160</v>
      </c>
      <c r="C239" s="111">
        <f>'Weather Analysis'!X10</f>
        <v>543.98345864661655</v>
      </c>
      <c r="D239" s="112">
        <f>'Weather Analysis'!X30</f>
        <v>3.4436090225563376E-2</v>
      </c>
      <c r="E239" s="84">
        <f t="shared" ref="E239:G239" si="55">E149</f>
        <v>31</v>
      </c>
      <c r="F239" s="84">
        <f t="shared" si="55"/>
        <v>1</v>
      </c>
      <c r="G239" s="84">
        <f t="shared" si="55"/>
        <v>17520.889394629037</v>
      </c>
      <c r="H239" s="10">
        <f t="shared" si="52"/>
        <v>23940049.382829972</v>
      </c>
      <c r="I239" s="116"/>
      <c r="J239" s="117"/>
    </row>
    <row r="240" spans="1:10" x14ac:dyDescent="0.25">
      <c r="A240" s="3">
        <f t="shared" si="53"/>
        <v>43191</v>
      </c>
      <c r="C240" s="111">
        <f>'Weather Analysis'!X11</f>
        <v>304.54984962406024</v>
      </c>
      <c r="D240" s="112">
        <f>'Weather Analysis'!X31</f>
        <v>-3.3308270676684515E-2</v>
      </c>
      <c r="E240" s="84">
        <f t="shared" ref="E240:G240" si="56">E150</f>
        <v>30</v>
      </c>
      <c r="F240" s="84">
        <f t="shared" si="56"/>
        <v>1</v>
      </c>
      <c r="G240" s="84">
        <f t="shared" si="56"/>
        <v>17608.349567592159</v>
      </c>
      <c r="H240" s="10">
        <f t="shared" si="52"/>
        <v>20345168.198819071</v>
      </c>
      <c r="I240" s="116"/>
      <c r="J240" s="117"/>
    </row>
    <row r="241" spans="1:10" x14ac:dyDescent="0.25">
      <c r="A241" s="3">
        <f t="shared" si="53"/>
        <v>43221</v>
      </c>
      <c r="C241" s="111">
        <f>'Weather Analysis'!X12</f>
        <v>103.19812030075173</v>
      </c>
      <c r="D241" s="112">
        <f>'Weather Analysis'!X32</f>
        <v>26.804887218045224</v>
      </c>
      <c r="E241" s="84">
        <f t="shared" ref="E241:G241" si="57">E151</f>
        <v>31</v>
      </c>
      <c r="F241" s="84">
        <f t="shared" si="57"/>
        <v>1</v>
      </c>
      <c r="G241" s="84">
        <f t="shared" si="57"/>
        <v>17695.80974055528</v>
      </c>
      <c r="H241" s="10">
        <f t="shared" si="52"/>
        <v>19309693.146090634</v>
      </c>
      <c r="I241" s="116"/>
      <c r="J241" s="117"/>
    </row>
    <row r="242" spans="1:10" x14ac:dyDescent="0.25">
      <c r="A242" s="3">
        <f t="shared" si="53"/>
        <v>43252</v>
      </c>
      <c r="C242" s="111">
        <f>'Weather Analysis'!X13</f>
        <v>23.456015037593943</v>
      </c>
      <c r="D242" s="112">
        <f>'Weather Analysis'!X33</f>
        <v>62.821428571428555</v>
      </c>
      <c r="E242" s="84">
        <f t="shared" ref="E242:G242" si="58">E152</f>
        <v>30</v>
      </c>
      <c r="F242" s="84">
        <f t="shared" si="58"/>
        <v>0</v>
      </c>
      <c r="G242" s="84">
        <f t="shared" si="58"/>
        <v>17783.269913518401</v>
      </c>
      <c r="H242" s="10">
        <f t="shared" si="52"/>
        <v>19987593.047991287</v>
      </c>
      <c r="I242" s="116"/>
      <c r="J242" s="117"/>
    </row>
    <row r="243" spans="1:10" x14ac:dyDescent="0.25">
      <c r="A243" s="3">
        <f t="shared" si="53"/>
        <v>43282</v>
      </c>
      <c r="C243" s="111">
        <f>'Weather Analysis'!X14</f>
        <v>-6.233082706762616E-2</v>
      </c>
      <c r="D243" s="112">
        <f>'Weather Analysis'!X34</f>
        <v>141.60533834586431</v>
      </c>
      <c r="E243" s="84">
        <f t="shared" ref="E243:G243" si="59">E153</f>
        <v>31</v>
      </c>
      <c r="F243" s="84">
        <f t="shared" si="59"/>
        <v>0</v>
      </c>
      <c r="G243" s="84">
        <f t="shared" si="59"/>
        <v>17870.730086481522</v>
      </c>
      <c r="H243" s="10">
        <f t="shared" si="52"/>
        <v>22766906.91071289</v>
      </c>
      <c r="I243" s="116"/>
      <c r="J243" s="117"/>
    </row>
    <row r="244" spans="1:10" x14ac:dyDescent="0.25">
      <c r="A244" s="3">
        <f t="shared" si="53"/>
        <v>43313</v>
      </c>
      <c r="C244" s="111">
        <f>'Weather Analysis'!X15</f>
        <v>3.9145864661653604</v>
      </c>
      <c r="D244" s="112">
        <f>'Weather Analysis'!X35</f>
        <v>107.7736090225564</v>
      </c>
      <c r="E244" s="84">
        <f t="shared" ref="E244:G244" si="60">E154</f>
        <v>31</v>
      </c>
      <c r="F244" s="84">
        <f t="shared" si="60"/>
        <v>0</v>
      </c>
      <c r="G244" s="84">
        <f t="shared" si="60"/>
        <v>17958.190259444644</v>
      </c>
      <c r="H244" s="10">
        <f t="shared" si="52"/>
        <v>21837819.003334202</v>
      </c>
      <c r="I244" s="116"/>
      <c r="J244" s="117"/>
    </row>
    <row r="245" spans="1:10" x14ac:dyDescent="0.25">
      <c r="A245" s="3">
        <f t="shared" si="53"/>
        <v>43344</v>
      </c>
      <c r="C245" s="111">
        <f>'Weather Analysis'!X16</f>
        <v>57.523533834586459</v>
      </c>
      <c r="D245" s="112">
        <f>'Weather Analysis'!X36</f>
        <v>42.545939849624006</v>
      </c>
      <c r="E245" s="84">
        <f t="shared" ref="E245:G245" si="61">E155</f>
        <v>30</v>
      </c>
      <c r="F245" s="84">
        <f t="shared" si="61"/>
        <v>1</v>
      </c>
      <c r="G245" s="84">
        <f t="shared" si="61"/>
        <v>18045.650432407765</v>
      </c>
      <c r="H245" s="10">
        <f t="shared" si="52"/>
        <v>18778986.613932475</v>
      </c>
      <c r="I245" s="116"/>
      <c r="J245" s="117"/>
    </row>
    <row r="246" spans="1:10" x14ac:dyDescent="0.25">
      <c r="A246" s="3">
        <f t="shared" si="53"/>
        <v>43374</v>
      </c>
      <c r="C246" s="111">
        <f>'Weather Analysis'!X17</f>
        <v>229.24210526315801</v>
      </c>
      <c r="D246" s="112">
        <f>'Weather Analysis'!X37</f>
        <v>2.2630075187969965</v>
      </c>
      <c r="E246" s="84">
        <f t="shared" ref="E246:G246" si="62">E156</f>
        <v>31</v>
      </c>
      <c r="F246" s="84">
        <f t="shared" si="62"/>
        <v>1</v>
      </c>
      <c r="G246" s="84">
        <f t="shared" si="62"/>
        <v>18133.110605370886</v>
      </c>
      <c r="H246" s="10">
        <f t="shared" si="52"/>
        <v>20394369.345339403</v>
      </c>
      <c r="I246" s="116"/>
      <c r="J246" s="117"/>
    </row>
    <row r="247" spans="1:10" x14ac:dyDescent="0.25">
      <c r="A247" s="3">
        <f t="shared" si="53"/>
        <v>43405</v>
      </c>
      <c r="C247" s="111">
        <f>'Weather Analysis'!X18</f>
        <v>402.1366917293235</v>
      </c>
      <c r="D247" s="112">
        <f>'Weather Analysis'!X38</f>
        <v>0</v>
      </c>
      <c r="E247" s="84">
        <f t="shared" ref="E247:G247" si="63">E157</f>
        <v>30</v>
      </c>
      <c r="F247" s="84">
        <f t="shared" si="63"/>
        <v>1</v>
      </c>
      <c r="G247" s="84">
        <f t="shared" si="63"/>
        <v>18220.570778334008</v>
      </c>
      <c r="H247" s="10">
        <f t="shared" si="52"/>
        <v>21917238.068473324</v>
      </c>
      <c r="I247" s="116"/>
      <c r="J247" s="117"/>
    </row>
    <row r="248" spans="1:10" x14ac:dyDescent="0.25">
      <c r="A248" s="3">
        <f t="shared" si="53"/>
        <v>43435</v>
      </c>
      <c r="C248" s="111">
        <f>'Weather Analysis'!X19</f>
        <v>572.3975187969927</v>
      </c>
      <c r="D248" s="112">
        <f>'Weather Analysis'!X39</f>
        <v>0</v>
      </c>
      <c r="E248" s="84">
        <f t="shared" ref="E248:G248" si="64">E158</f>
        <v>31</v>
      </c>
      <c r="F248" s="84">
        <f t="shared" si="64"/>
        <v>0</v>
      </c>
      <c r="G248" s="84">
        <f t="shared" si="64"/>
        <v>18308.030951297129</v>
      </c>
      <c r="H248" s="10">
        <f t="shared" si="52"/>
        <v>25906776.304833025</v>
      </c>
      <c r="I248" s="116">
        <f>SUM(H237:H248)</f>
        <v>267715668.54736975</v>
      </c>
      <c r="J248" s="117"/>
    </row>
    <row r="249" spans="1:10" x14ac:dyDescent="0.25">
      <c r="A249" s="3"/>
      <c r="C249"/>
      <c r="D249"/>
      <c r="E249"/>
      <c r="F249"/>
      <c r="G249"/>
      <c r="H249" s="10"/>
      <c r="I249" s="116"/>
      <c r="J249" s="117"/>
    </row>
    <row r="250" spans="1:10" x14ac:dyDescent="0.25">
      <c r="A250" s="3">
        <f>A159</f>
        <v>43466</v>
      </c>
      <c r="C250" s="111">
        <f>'Weather Analysis'!Y8</f>
        <v>722.76857142857148</v>
      </c>
      <c r="D250" s="112">
        <f>'Weather Analysis'!Y28</f>
        <v>0</v>
      </c>
      <c r="E250" s="84">
        <f>E159</f>
        <v>31</v>
      </c>
      <c r="F250" s="84">
        <f t="shared" ref="F250:G251" si="65">F159</f>
        <v>0</v>
      </c>
      <c r="G250" s="84">
        <f t="shared" si="65"/>
        <v>18414.949266482185</v>
      </c>
      <c r="H250" s="10">
        <f t="shared" ref="H250:H261" si="66">$L$18+C250*$L$19+D250*$L$20+E250*$L$21+F250*$L$22+G250*$L$23</f>
        <v>27857571.399703808</v>
      </c>
    </row>
    <row r="251" spans="1:10" x14ac:dyDescent="0.25">
      <c r="A251" s="3">
        <f>A160</f>
        <v>43497</v>
      </c>
      <c r="C251" s="111">
        <f>'Weather Analysis'!Y9</f>
        <v>718.62218045112786</v>
      </c>
      <c r="D251" s="112">
        <f>'Weather Analysis'!Y29</f>
        <v>0</v>
      </c>
      <c r="E251" s="84">
        <f>E160</f>
        <v>28</v>
      </c>
      <c r="F251" s="84">
        <f t="shared" si="65"/>
        <v>0</v>
      </c>
      <c r="G251" s="84">
        <f t="shared" si="65"/>
        <v>18521.86758166724</v>
      </c>
      <c r="H251" s="10">
        <f t="shared" si="66"/>
        <v>25971270.69338084</v>
      </c>
      <c r="I251" s="116"/>
    </row>
    <row r="252" spans="1:10" x14ac:dyDescent="0.25">
      <c r="A252" s="3">
        <f t="shared" ref="A252:A261" si="67">A161</f>
        <v>43525</v>
      </c>
      <c r="C252" s="111">
        <f>'Weather Analysis'!Y10</f>
        <v>543.86413533834582</v>
      </c>
      <c r="D252" s="112">
        <f>'Weather Analysis'!Y30</f>
        <v>3.6390977443608641E-2</v>
      </c>
      <c r="E252" s="84">
        <f t="shared" ref="E252:G252" si="68">E161</f>
        <v>31</v>
      </c>
      <c r="F252" s="84">
        <f t="shared" si="68"/>
        <v>1</v>
      </c>
      <c r="G252" s="84">
        <f t="shared" si="68"/>
        <v>18628.785896852296</v>
      </c>
      <c r="H252" s="10">
        <f t="shared" si="66"/>
        <v>24561185.69576614</v>
      </c>
      <c r="I252" s="116"/>
    </row>
    <row r="253" spans="1:10" x14ac:dyDescent="0.25">
      <c r="A253" s="3">
        <f t="shared" si="67"/>
        <v>43556</v>
      </c>
      <c r="C253" s="111">
        <f>'Weather Analysis'!Y11</f>
        <v>303.13503759398509</v>
      </c>
      <c r="D253" s="112">
        <f>'Weather Analysis'!Y31</f>
        <v>-8.917293233081125E-2</v>
      </c>
      <c r="E253" s="84">
        <f t="shared" ref="E253:G253" si="69">E162</f>
        <v>30</v>
      </c>
      <c r="F253" s="84">
        <f t="shared" si="69"/>
        <v>1</v>
      </c>
      <c r="G253" s="84">
        <f t="shared" si="69"/>
        <v>18735.704212037352</v>
      </c>
      <c r="H253" s="10">
        <f t="shared" si="66"/>
        <v>20959192.606164493</v>
      </c>
      <c r="I253" s="116"/>
      <c r="J253" s="5"/>
    </row>
    <row r="254" spans="1:10" x14ac:dyDescent="0.25">
      <c r="A254" s="3">
        <f t="shared" si="67"/>
        <v>43586</v>
      </c>
      <c r="C254" s="111">
        <f>'Weather Analysis'!Y12</f>
        <v>99.827969924811441</v>
      </c>
      <c r="D254" s="112">
        <f>'Weather Analysis'!Y32</f>
        <v>27.621278195488685</v>
      </c>
      <c r="E254" s="84">
        <f t="shared" ref="E254:G254" si="70">E163</f>
        <v>31</v>
      </c>
      <c r="F254" s="84">
        <f t="shared" si="70"/>
        <v>1</v>
      </c>
      <c r="G254" s="84">
        <f t="shared" si="70"/>
        <v>18842.622527222407</v>
      </c>
      <c r="H254" s="10">
        <f t="shared" si="66"/>
        <v>19936576.495186869</v>
      </c>
      <c r="I254" s="116"/>
      <c r="J254" s="5"/>
    </row>
    <row r="255" spans="1:10" x14ac:dyDescent="0.25">
      <c r="A255" s="3">
        <f t="shared" si="67"/>
        <v>43617</v>
      </c>
      <c r="C255" s="111">
        <f>'Weather Analysis'!Y13</f>
        <v>23.04849624060148</v>
      </c>
      <c r="D255" s="112">
        <f>'Weather Analysis'!Y33</f>
        <v>62.397142857142853</v>
      </c>
      <c r="E255" s="84">
        <f t="shared" ref="E255:G255" si="71">E164</f>
        <v>30</v>
      </c>
      <c r="F255" s="84">
        <f t="shared" si="71"/>
        <v>0</v>
      </c>
      <c r="G255" s="84">
        <f t="shared" si="71"/>
        <v>18949.540842407463</v>
      </c>
      <c r="H255" s="10">
        <f t="shared" si="66"/>
        <v>20624954.292189583</v>
      </c>
      <c r="I255" s="116"/>
      <c r="J255" s="5"/>
    </row>
    <row r="256" spans="1:10" x14ac:dyDescent="0.25">
      <c r="A256" s="3">
        <f t="shared" si="67"/>
        <v>43647</v>
      </c>
      <c r="C256" s="111">
        <f>'Weather Analysis'!Y14</f>
        <v>-0.32691729323300933</v>
      </c>
      <c r="D256" s="112">
        <f>'Weather Analysis'!Y34</f>
        <v>142.88616541353349</v>
      </c>
      <c r="E256" s="84">
        <f t="shared" ref="E256:G256" si="72">E165</f>
        <v>31</v>
      </c>
      <c r="F256" s="84">
        <f t="shared" si="72"/>
        <v>0</v>
      </c>
      <c r="G256" s="84">
        <f t="shared" si="72"/>
        <v>19056.459157592519</v>
      </c>
      <c r="H256" s="10">
        <f t="shared" si="66"/>
        <v>23468822.854768954</v>
      </c>
      <c r="I256" s="116"/>
      <c r="J256" s="5"/>
    </row>
    <row r="257" spans="1:10" x14ac:dyDescent="0.25">
      <c r="A257" s="3">
        <f t="shared" si="67"/>
        <v>43678</v>
      </c>
      <c r="C257" s="111">
        <f>'Weather Analysis'!Y15</f>
        <v>3.7813533834586224</v>
      </c>
      <c r="D257" s="112">
        <f>'Weather Analysis'!Y35</f>
        <v>108.03909774436084</v>
      </c>
      <c r="E257" s="84">
        <f t="shared" ref="E257:G257" si="73">E166</f>
        <v>31</v>
      </c>
      <c r="F257" s="84">
        <f t="shared" si="73"/>
        <v>0</v>
      </c>
      <c r="G257" s="84">
        <f t="shared" si="73"/>
        <v>19163.377472777574</v>
      </c>
      <c r="H257" s="10">
        <f t="shared" si="66"/>
        <v>22521462.00137274</v>
      </c>
      <c r="I257" s="116"/>
      <c r="J257" s="5"/>
    </row>
    <row r="258" spans="1:10" x14ac:dyDescent="0.25">
      <c r="A258" s="3">
        <f t="shared" si="67"/>
        <v>43709</v>
      </c>
      <c r="C258" s="111">
        <f>'Weather Analysis'!Y16</f>
        <v>57.416616541353392</v>
      </c>
      <c r="D258" s="112">
        <f>'Weather Analysis'!Y36</f>
        <v>42.896015037593884</v>
      </c>
      <c r="E258" s="84">
        <f t="shared" ref="E258:G258" si="74">E167</f>
        <v>30</v>
      </c>
      <c r="F258" s="84">
        <f t="shared" si="74"/>
        <v>1</v>
      </c>
      <c r="G258" s="84">
        <f t="shared" si="74"/>
        <v>19270.29578796263</v>
      </c>
      <c r="H258" s="10">
        <f t="shared" si="66"/>
        <v>19476465.726312518</v>
      </c>
      <c r="I258" s="116"/>
      <c r="J258" s="5"/>
    </row>
    <row r="259" spans="1:10" x14ac:dyDescent="0.25">
      <c r="A259" s="3">
        <f t="shared" si="67"/>
        <v>43739</v>
      </c>
      <c r="C259" s="111">
        <f>'Weather Analysis'!Y17</f>
        <v>228.03947368421041</v>
      </c>
      <c r="D259" s="112">
        <f>'Weather Analysis'!Y37</f>
        <v>2.2392481203007577</v>
      </c>
      <c r="E259" s="84">
        <f t="shared" ref="E259:G259" si="75">E168</f>
        <v>31</v>
      </c>
      <c r="F259" s="84">
        <f t="shared" si="75"/>
        <v>1</v>
      </c>
      <c r="G259" s="84">
        <f t="shared" si="75"/>
        <v>19377.214103147686</v>
      </c>
      <c r="H259" s="10">
        <f t="shared" si="66"/>
        <v>21077643.872175068</v>
      </c>
      <c r="I259" s="116"/>
      <c r="J259" s="5"/>
    </row>
    <row r="260" spans="1:10" x14ac:dyDescent="0.25">
      <c r="A260" s="3">
        <f t="shared" si="67"/>
        <v>43770</v>
      </c>
      <c r="C260" s="111">
        <f>'Weather Analysis'!Y18</f>
        <v>401.30082706766939</v>
      </c>
      <c r="D260" s="112">
        <f>'Weather Analysis'!Y38</f>
        <v>0</v>
      </c>
      <c r="E260" s="84">
        <f t="shared" ref="E260:G260" si="76">E169</f>
        <v>30</v>
      </c>
      <c r="F260" s="84">
        <f t="shared" si="76"/>
        <v>1</v>
      </c>
      <c r="G260" s="84">
        <f t="shared" si="76"/>
        <v>19484.132418332742</v>
      </c>
      <c r="H260" s="10">
        <f t="shared" si="66"/>
        <v>22616780.71934782</v>
      </c>
      <c r="I260" s="116"/>
      <c r="J260" s="5"/>
    </row>
    <row r="261" spans="1:10" x14ac:dyDescent="0.25">
      <c r="A261" s="3">
        <f t="shared" si="67"/>
        <v>43800</v>
      </c>
      <c r="C261" s="111">
        <f>'Weather Analysis'!Y19</f>
        <v>570.65812030075176</v>
      </c>
      <c r="D261" s="112">
        <f>'Weather Analysis'!Y39</f>
        <v>0</v>
      </c>
      <c r="E261" s="84">
        <f t="shared" ref="E261:G261" si="77">E170</f>
        <v>31</v>
      </c>
      <c r="F261" s="84">
        <f t="shared" si="77"/>
        <v>0</v>
      </c>
      <c r="G261" s="84">
        <f t="shared" si="77"/>
        <v>19591.050733517797</v>
      </c>
      <c r="H261" s="10">
        <f t="shared" si="66"/>
        <v>26605892.649812255</v>
      </c>
      <c r="I261" s="116">
        <f>SUM(H250:H261)</f>
        <v>275677819.00618106</v>
      </c>
      <c r="J261" s="5"/>
    </row>
    <row r="262" spans="1:10" x14ac:dyDescent="0.25">
      <c r="B262"/>
      <c r="C262"/>
      <c r="D262"/>
      <c r="E262"/>
      <c r="F262"/>
      <c r="G262"/>
      <c r="H262"/>
      <c r="I262" s="116"/>
      <c r="J262" s="5"/>
    </row>
    <row r="263" spans="1:10" x14ac:dyDescent="0.25">
      <c r="A263" s="3">
        <f>A171</f>
        <v>43831</v>
      </c>
      <c r="C263" s="111">
        <f>'Weather Analysis'!Z8</f>
        <v>723.24142857142851</v>
      </c>
      <c r="D263" s="112">
        <f>'Weather Analysis'!Z28</f>
        <v>0</v>
      </c>
      <c r="E263" s="84">
        <f>E171</f>
        <v>31</v>
      </c>
      <c r="F263" s="84">
        <f t="shared" ref="F263:G263" si="78">F171</f>
        <v>0</v>
      </c>
      <c r="G263" s="84">
        <f t="shared" si="78"/>
        <v>19666.889082207366</v>
      </c>
      <c r="H263" s="10">
        <f t="shared" ref="H263:H287" si="79">$L$18+C263*$L$19+D263*$L$20+E263*$L$21+F263*$L$22+G263*$L$23</f>
        <v>28567038.629836142</v>
      </c>
    </row>
    <row r="264" spans="1:10" x14ac:dyDescent="0.25">
      <c r="A264" s="3">
        <f>A172</f>
        <v>43862</v>
      </c>
      <c r="C264" s="111">
        <f>'Weather Analysis'!Z9</f>
        <v>724.94308270676811</v>
      </c>
      <c r="D264" s="112">
        <f>'Weather Analysis'!Z29</f>
        <v>0</v>
      </c>
      <c r="E264" s="84">
        <f>E172</f>
        <v>29</v>
      </c>
      <c r="F264" s="84">
        <f t="shared" ref="F264:G264" si="80">F172</f>
        <v>0</v>
      </c>
      <c r="G264" s="84">
        <f t="shared" si="80"/>
        <v>19742.727430896935</v>
      </c>
      <c r="H264" s="10">
        <f t="shared" si="79"/>
        <v>27368219.844849162</v>
      </c>
      <c r="I264" s="116"/>
    </row>
    <row r="265" spans="1:10" x14ac:dyDescent="0.25">
      <c r="A265" s="3">
        <f t="shared" ref="A265:A274" si="81">A173</f>
        <v>43891</v>
      </c>
      <c r="C265" s="111">
        <f>'Weather Analysis'!Z10</f>
        <v>543.7448120300752</v>
      </c>
      <c r="D265" s="112">
        <f>'Weather Analysis'!Z30</f>
        <v>3.8345864661653906E-2</v>
      </c>
      <c r="E265" s="84">
        <f t="shared" ref="E265:G265" si="82">E173</f>
        <v>31</v>
      </c>
      <c r="F265" s="84">
        <f t="shared" si="82"/>
        <v>1</v>
      </c>
      <c r="G265" s="84">
        <f t="shared" si="82"/>
        <v>19818.565779586505</v>
      </c>
      <c r="H265" s="10">
        <f t="shared" si="79"/>
        <v>25228335.989202432</v>
      </c>
      <c r="I265" s="116"/>
    </row>
    <row r="266" spans="1:10" x14ac:dyDescent="0.25">
      <c r="A266" s="3">
        <f t="shared" si="81"/>
        <v>43922</v>
      </c>
      <c r="C266" s="111">
        <f>'Weather Analysis'!Z11</f>
        <v>301.72022556390993</v>
      </c>
      <c r="D266" s="112">
        <f>'Weather Analysis'!Z31</f>
        <v>-0.1450375939849522</v>
      </c>
      <c r="E266" s="84">
        <f t="shared" ref="E266:G266" si="83">E174</f>
        <v>30</v>
      </c>
      <c r="F266" s="84">
        <f t="shared" si="83"/>
        <v>1</v>
      </c>
      <c r="G266" s="84">
        <f t="shared" si="83"/>
        <v>19894.404128276074</v>
      </c>
      <c r="H266" s="10">
        <f t="shared" si="79"/>
        <v>21590831.341546681</v>
      </c>
      <c r="I266" s="116"/>
      <c r="J266"/>
    </row>
    <row r="267" spans="1:10" x14ac:dyDescent="0.25">
      <c r="A267" s="3">
        <f t="shared" si="81"/>
        <v>43952</v>
      </c>
      <c r="C267" s="111">
        <f>'Weather Analysis'!Z12</f>
        <v>96.457819548872067</v>
      </c>
      <c r="D267" s="112">
        <f>'Weather Analysis'!Z32</f>
        <v>28.437669172932374</v>
      </c>
      <c r="E267" s="84">
        <f t="shared" ref="E267:G267" si="84">E175</f>
        <v>31</v>
      </c>
      <c r="F267" s="84">
        <f t="shared" si="84"/>
        <v>1</v>
      </c>
      <c r="G267" s="84">
        <f t="shared" si="84"/>
        <v>19970.242476965643</v>
      </c>
      <c r="H267" s="10">
        <f t="shared" si="79"/>
        <v>20552674.519856513</v>
      </c>
      <c r="I267" s="116"/>
      <c r="J267"/>
    </row>
    <row r="268" spans="1:10" x14ac:dyDescent="0.25">
      <c r="A268" s="3">
        <f t="shared" si="81"/>
        <v>43983</v>
      </c>
      <c r="C268" s="111">
        <f>'Weather Analysis'!Z13</f>
        <v>22.640977443609017</v>
      </c>
      <c r="D268" s="112">
        <f>'Weather Analysis'!Z33</f>
        <v>61.972857142857151</v>
      </c>
      <c r="E268" s="84">
        <f t="shared" ref="E268:G268" si="85">E176</f>
        <v>30</v>
      </c>
      <c r="F268" s="84">
        <f t="shared" si="85"/>
        <v>0</v>
      </c>
      <c r="G268" s="84">
        <f t="shared" si="85"/>
        <v>20046.080825655212</v>
      </c>
      <c r="H268" s="10">
        <f t="shared" si="79"/>
        <v>21223130.559497908</v>
      </c>
      <c r="I268" s="116"/>
      <c r="J268"/>
    </row>
    <row r="269" spans="1:10" x14ac:dyDescent="0.25">
      <c r="A269" s="3">
        <f t="shared" si="81"/>
        <v>44013</v>
      </c>
      <c r="C269" s="111">
        <f>'Weather Analysis'!Z14</f>
        <v>-0.59150375939850619</v>
      </c>
      <c r="D269" s="112">
        <f>'Weather Analysis'!Z34</f>
        <v>144.16699248120267</v>
      </c>
      <c r="E269" s="84">
        <f t="shared" ref="E269:G269" si="86">E177</f>
        <v>31</v>
      </c>
      <c r="F269" s="84">
        <f t="shared" si="86"/>
        <v>0</v>
      </c>
      <c r="G269" s="84">
        <f t="shared" si="86"/>
        <v>20121.919174344781</v>
      </c>
      <c r="H269" s="10">
        <f t="shared" si="79"/>
        <v>24103154.169471677</v>
      </c>
      <c r="I269" s="116"/>
      <c r="J269"/>
    </row>
    <row r="270" spans="1:10" x14ac:dyDescent="0.25">
      <c r="A270" s="3">
        <f t="shared" si="81"/>
        <v>44044</v>
      </c>
      <c r="C270" s="111">
        <f>'Weather Analysis'!Z15</f>
        <v>3.6481203007518275</v>
      </c>
      <c r="D270" s="112">
        <f>'Weather Analysis'!Z35</f>
        <v>108.3045864661654</v>
      </c>
      <c r="E270" s="84">
        <f t="shared" ref="E270:G270" si="87">E178</f>
        <v>31</v>
      </c>
      <c r="F270" s="84">
        <f t="shared" si="87"/>
        <v>0</v>
      </c>
      <c r="G270" s="84">
        <f t="shared" si="87"/>
        <v>20197.75752303435</v>
      </c>
      <c r="H270" s="10">
        <f t="shared" si="79"/>
        <v>23109120.717594568</v>
      </c>
      <c r="I270" s="116"/>
      <c r="J270"/>
    </row>
    <row r="271" spans="1:10" x14ac:dyDescent="0.25">
      <c r="A271" s="3">
        <f t="shared" si="81"/>
        <v>44075</v>
      </c>
      <c r="C271" s="111">
        <f>'Weather Analysis'!Z16</f>
        <v>57.309699248120296</v>
      </c>
      <c r="D271" s="112">
        <f>'Weather Analysis'!Z36</f>
        <v>43.246090225563876</v>
      </c>
      <c r="E271" s="84">
        <f t="shared" ref="E271:G271" si="88">E179</f>
        <v>30</v>
      </c>
      <c r="F271" s="84">
        <f t="shared" si="88"/>
        <v>1</v>
      </c>
      <c r="G271" s="84">
        <f t="shared" si="88"/>
        <v>20273.595871723919</v>
      </c>
      <c r="H271" s="10">
        <f t="shared" si="79"/>
        <v>20049560.904412474</v>
      </c>
      <c r="I271" s="116"/>
    </row>
    <row r="272" spans="1:10" x14ac:dyDescent="0.25">
      <c r="A272" s="3">
        <f t="shared" si="81"/>
        <v>44105</v>
      </c>
      <c r="C272" s="111">
        <f>'Weather Analysis'!Z17</f>
        <v>226.83684210526326</v>
      </c>
      <c r="D272" s="112">
        <f>'Weather Analysis'!Z37</f>
        <v>2.2154887218045118</v>
      </c>
      <c r="E272" s="84">
        <f t="shared" ref="E272:G272" si="89">E180</f>
        <v>31</v>
      </c>
      <c r="F272" s="84">
        <f t="shared" si="89"/>
        <v>1</v>
      </c>
      <c r="G272" s="84">
        <f t="shared" si="89"/>
        <v>20349.434220413488</v>
      </c>
      <c r="H272" s="10">
        <f t="shared" si="79"/>
        <v>21608134.812267289</v>
      </c>
      <c r="I272" s="116"/>
    </row>
    <row r="273" spans="1:10" x14ac:dyDescent="0.25">
      <c r="A273" s="3">
        <f t="shared" si="81"/>
        <v>44136</v>
      </c>
      <c r="C273" s="111">
        <f>'Weather Analysis'!Z18</f>
        <v>400.46496240601527</v>
      </c>
      <c r="D273" s="112">
        <f>'Weather Analysis'!Z38</f>
        <v>0</v>
      </c>
      <c r="E273" s="84">
        <f t="shared" ref="E273:G273" si="90">E181</f>
        <v>30</v>
      </c>
      <c r="F273" s="84">
        <f t="shared" si="90"/>
        <v>1</v>
      </c>
      <c r="G273" s="84">
        <f t="shared" si="90"/>
        <v>20425.272569103057</v>
      </c>
      <c r="H273" s="10">
        <f t="shared" si="79"/>
        <v>23135140.131015494</v>
      </c>
      <c r="I273" s="116"/>
    </row>
    <row r="274" spans="1:10" x14ac:dyDescent="0.25">
      <c r="A274" s="3">
        <f t="shared" si="81"/>
        <v>44166</v>
      </c>
      <c r="C274" s="111">
        <f>'Weather Analysis'!Z19</f>
        <v>568.91872180451128</v>
      </c>
      <c r="D274" s="112">
        <f>'Weather Analysis'!Z39</f>
        <v>0</v>
      </c>
      <c r="E274" s="84">
        <f t="shared" ref="E274:G274" si="91">E182</f>
        <v>31</v>
      </c>
      <c r="F274" s="84">
        <f t="shared" si="91"/>
        <v>0</v>
      </c>
      <c r="G274" s="84">
        <f t="shared" si="91"/>
        <v>20501.110917792626</v>
      </c>
      <c r="H274" s="10">
        <f t="shared" si="79"/>
        <v>27095426.103121303</v>
      </c>
      <c r="I274" s="116">
        <f>SUM(H263:H274)</f>
        <v>283630767.72267163</v>
      </c>
    </row>
    <row r="275" spans="1:10" x14ac:dyDescent="0.25">
      <c r="B275"/>
      <c r="C275"/>
      <c r="D275"/>
      <c r="E275"/>
      <c r="F275"/>
      <c r="G275"/>
      <c r="H275"/>
      <c r="I275"/>
      <c r="J275"/>
    </row>
    <row r="276" spans="1:10" x14ac:dyDescent="0.25">
      <c r="A276" s="3">
        <f>A183</f>
        <v>44197</v>
      </c>
      <c r="C276" s="111">
        <f>'Weather Analysis'!AA8</f>
        <v>723.71428571428567</v>
      </c>
      <c r="D276" s="112">
        <f>'Weather Analysis'!AA28</f>
        <v>0</v>
      </c>
      <c r="E276" s="84">
        <f>E183</f>
        <v>31</v>
      </c>
      <c r="F276" s="84">
        <f t="shared" ref="F276:G276" si="92">F183</f>
        <v>0</v>
      </c>
      <c r="G276" s="84">
        <f t="shared" si="92"/>
        <v>20591.555391978371</v>
      </c>
      <c r="H276" s="10">
        <f t="shared" si="79"/>
        <v>29092596.052786425</v>
      </c>
    </row>
    <row r="277" spans="1:10" x14ac:dyDescent="0.25">
      <c r="A277" s="3">
        <f>A184</f>
        <v>44228</v>
      </c>
      <c r="C277" s="111">
        <f>'Weather Analysis'!AA9</f>
        <v>731.26398496240654</v>
      </c>
      <c r="D277" s="112">
        <f>'Weather Analysis'!AA29</f>
        <v>0</v>
      </c>
      <c r="E277" s="84">
        <f>E184</f>
        <v>28</v>
      </c>
      <c r="F277" s="84">
        <f t="shared" ref="F277:G277" si="93">F184</f>
        <v>0</v>
      </c>
      <c r="G277" s="84">
        <f t="shared" si="93"/>
        <v>20681.999866164115</v>
      </c>
      <c r="H277" s="10">
        <f t="shared" si="79"/>
        <v>27344100.483345319</v>
      </c>
      <c r="I277" s="116"/>
    </row>
    <row r="278" spans="1:10" x14ac:dyDescent="0.25">
      <c r="A278" s="3">
        <f t="shared" ref="A278:A287" si="94">A185</f>
        <v>44256</v>
      </c>
      <c r="C278" s="111">
        <f>'Weather Analysis'!AA10</f>
        <v>543.62548872180446</v>
      </c>
      <c r="D278" s="112">
        <f>'Weather Analysis'!AA30</f>
        <v>4.0300751879698726E-2</v>
      </c>
      <c r="E278" s="84">
        <f t="shared" ref="E278:G278" si="95">E185</f>
        <v>31</v>
      </c>
      <c r="F278" s="84">
        <f t="shared" si="95"/>
        <v>1</v>
      </c>
      <c r="G278" s="84">
        <f t="shared" si="95"/>
        <v>20772.444340349859</v>
      </c>
      <c r="H278" s="10">
        <f t="shared" si="79"/>
        <v>25762922.644432932</v>
      </c>
      <c r="I278" s="116"/>
    </row>
    <row r="279" spans="1:10" x14ac:dyDescent="0.25">
      <c r="A279" s="3">
        <f t="shared" si="94"/>
        <v>44287</v>
      </c>
      <c r="C279" s="111">
        <f>'Weather Analysis'!AA11</f>
        <v>300.30541353383478</v>
      </c>
      <c r="D279" s="112">
        <f>'Weather Analysis'!AA31</f>
        <v>-0.20090225563909314</v>
      </c>
      <c r="E279" s="84">
        <f t="shared" ref="E279:G279" si="96">E186</f>
        <v>30</v>
      </c>
      <c r="F279" s="84">
        <f t="shared" si="96"/>
        <v>1</v>
      </c>
      <c r="G279" s="84">
        <f t="shared" si="96"/>
        <v>20862.888814535603</v>
      </c>
      <c r="H279" s="10">
        <f t="shared" si="79"/>
        <v>22115579.5232112</v>
      </c>
      <c r="I279" s="116"/>
    </row>
    <row r="280" spans="1:10" x14ac:dyDescent="0.25">
      <c r="A280" s="3">
        <f t="shared" si="94"/>
        <v>44317</v>
      </c>
      <c r="C280" s="111">
        <f>'Weather Analysis'!AA12</f>
        <v>93.087669172931783</v>
      </c>
      <c r="D280" s="112">
        <f>'Weather Analysis'!AA32</f>
        <v>29.254060150375835</v>
      </c>
      <c r="E280" s="84">
        <f t="shared" ref="E280:G280" si="97">E187</f>
        <v>31</v>
      </c>
      <c r="F280" s="84">
        <f t="shared" si="97"/>
        <v>1</v>
      </c>
      <c r="G280" s="84">
        <f t="shared" si="97"/>
        <v>20953.333288721347</v>
      </c>
      <c r="H280" s="10">
        <f t="shared" si="79"/>
        <v>21087555.075296599</v>
      </c>
      <c r="I280" s="116"/>
    </row>
    <row r="281" spans="1:10" x14ac:dyDescent="0.25">
      <c r="A281" s="3">
        <f t="shared" si="94"/>
        <v>44348</v>
      </c>
      <c r="C281" s="111">
        <f>'Weather Analysis'!AA13</f>
        <v>22.233458646616441</v>
      </c>
      <c r="D281" s="112">
        <f>'Weather Analysis'!AA33</f>
        <v>61.548571428571449</v>
      </c>
      <c r="E281" s="84">
        <f t="shared" ref="E281:G281" si="98">E188</f>
        <v>30</v>
      </c>
      <c r="F281" s="84">
        <f t="shared" si="98"/>
        <v>0</v>
      </c>
      <c r="G281" s="84">
        <f t="shared" si="98"/>
        <v>21043.777762907092</v>
      </c>
      <c r="H281" s="10">
        <f t="shared" si="79"/>
        <v>21765762.442064818</v>
      </c>
      <c r="I281" s="116"/>
    </row>
    <row r="282" spans="1:10" x14ac:dyDescent="0.25">
      <c r="A282" s="3">
        <f t="shared" si="94"/>
        <v>44378</v>
      </c>
      <c r="C282" s="111">
        <f>'Weather Analysis'!AA14</f>
        <v>-0.85609022556388936</v>
      </c>
      <c r="D282" s="112">
        <f>'Weather Analysis'!AA34</f>
        <v>145.44781954887185</v>
      </c>
      <c r="E282" s="84">
        <f t="shared" ref="E282:G282" si="99">E189</f>
        <v>31</v>
      </c>
      <c r="F282" s="84">
        <f t="shared" si="99"/>
        <v>0</v>
      </c>
      <c r="G282" s="84">
        <f t="shared" si="99"/>
        <v>21134.222237092836</v>
      </c>
      <c r="H282" s="10">
        <f t="shared" si="79"/>
        <v>24707614.183921129</v>
      </c>
      <c r="I282" s="116"/>
    </row>
    <row r="283" spans="1:10" x14ac:dyDescent="0.25">
      <c r="A283" s="3">
        <f t="shared" si="94"/>
        <v>44409</v>
      </c>
      <c r="C283" s="111">
        <f>'Weather Analysis'!AA15</f>
        <v>3.5148872180450894</v>
      </c>
      <c r="D283" s="112">
        <f>'Weather Analysis'!AA35</f>
        <v>108.57007518796985</v>
      </c>
      <c r="E283" s="84">
        <f t="shared" ref="E283:G283" si="100">E190</f>
        <v>31</v>
      </c>
      <c r="F283" s="84">
        <f t="shared" si="100"/>
        <v>0</v>
      </c>
      <c r="G283" s="84">
        <f t="shared" si="100"/>
        <v>21224.66671127858</v>
      </c>
      <c r="H283" s="10">
        <f t="shared" si="79"/>
        <v>23692581.218051247</v>
      </c>
      <c r="I283" s="116"/>
    </row>
    <row r="284" spans="1:10" x14ac:dyDescent="0.25">
      <c r="A284" s="3">
        <f t="shared" si="94"/>
        <v>44440</v>
      </c>
      <c r="C284" s="111">
        <f>'Weather Analysis'!AA16</f>
        <v>57.202781954887229</v>
      </c>
      <c r="D284" s="112">
        <f>'Weather Analysis'!AA36</f>
        <v>43.596165413533754</v>
      </c>
      <c r="E284" s="84">
        <f t="shared" ref="E284:G284" si="101">E191</f>
        <v>30</v>
      </c>
      <c r="F284" s="84">
        <f t="shared" si="101"/>
        <v>1</v>
      </c>
      <c r="G284" s="84">
        <f t="shared" si="101"/>
        <v>21315.111185464324</v>
      </c>
      <c r="H284" s="10">
        <f t="shared" si="79"/>
        <v>20644130.951235414</v>
      </c>
      <c r="I284" s="116"/>
    </row>
    <row r="285" spans="1:10" x14ac:dyDescent="0.25">
      <c r="A285" s="3">
        <f t="shared" si="94"/>
        <v>44470</v>
      </c>
      <c r="C285" s="111">
        <f>'Weather Analysis'!AA17</f>
        <v>225.63421052631566</v>
      </c>
      <c r="D285" s="112">
        <f>'Weather Analysis'!AA37</f>
        <v>2.1917293233082731</v>
      </c>
      <c r="E285" s="84">
        <f t="shared" ref="E285:G285" si="102">E192</f>
        <v>31</v>
      </c>
      <c r="F285" s="84">
        <f t="shared" si="102"/>
        <v>1</v>
      </c>
      <c r="G285" s="84">
        <f t="shared" si="102"/>
        <v>21405.555659650068</v>
      </c>
      <c r="H285" s="10">
        <f t="shared" si="79"/>
        <v>22185773.705570623</v>
      </c>
      <c r="I285" s="116"/>
    </row>
    <row r="286" spans="1:10" x14ac:dyDescent="0.25">
      <c r="A286" s="3">
        <f t="shared" si="94"/>
        <v>44501</v>
      </c>
      <c r="C286" s="111">
        <f>'Weather Analysis'!AA18</f>
        <v>399.62909774436116</v>
      </c>
      <c r="D286" s="112">
        <f>'Weather Analysis'!AA38</f>
        <v>0</v>
      </c>
      <c r="E286" s="84">
        <f t="shared" ref="E286:G286" si="103">E193</f>
        <v>30</v>
      </c>
      <c r="F286" s="84">
        <f t="shared" si="103"/>
        <v>1</v>
      </c>
      <c r="G286" s="84">
        <f t="shared" si="103"/>
        <v>21496.000133835812</v>
      </c>
      <c r="H286" s="10">
        <f t="shared" si="79"/>
        <v>23726320.580382418</v>
      </c>
      <c r="I286" s="116"/>
    </row>
    <row r="287" spans="1:10" x14ac:dyDescent="0.25">
      <c r="A287" s="3">
        <f t="shared" si="94"/>
        <v>44531</v>
      </c>
      <c r="C287" s="111">
        <f>'Weather Analysis'!AA19</f>
        <v>567.1793233082708</v>
      </c>
      <c r="D287" s="112">
        <f>'Weather Analysis'!AA39</f>
        <v>0</v>
      </c>
      <c r="E287" s="84">
        <f t="shared" ref="E287:G287" si="104">E194</f>
        <v>31</v>
      </c>
      <c r="F287" s="84">
        <f t="shared" si="104"/>
        <v>0</v>
      </c>
      <c r="G287" s="84">
        <f t="shared" si="104"/>
        <v>21586.444608021557</v>
      </c>
      <c r="H287" s="10">
        <f t="shared" si="79"/>
        <v>27683453.678617731</v>
      </c>
      <c r="I287" s="116">
        <f>SUM(H276:H287)</f>
        <v>289808390.53891581</v>
      </c>
    </row>
  </sheetData>
  <mergeCells count="1">
    <mergeCell ref="D196:E196"/>
  </mergeCells>
  <phoneticPr fontId="0" type="noConversion"/>
  <printOptions horizontalCentered="1"/>
  <pageMargins left="0.19685039370078741" right="0.19685039370078741" top="0.35433070866141736" bottom="0.35433070866141736" header="0.51181102362204722" footer="0.15748031496062992"/>
  <pageSetup paperSize="17" scale="61" fitToHeight="3" orientation="landscape" verticalDpi="300" r:id="rId1"/>
  <headerFooter alignWithMargins="0">
    <oddFooter>&amp;L&amp;A&amp;R&amp;P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4"/>
  <sheetViews>
    <sheetView workbookViewId="0">
      <selection activeCell="A2" sqref="A2:Q137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24" customWidth="1"/>
    <col min="4" max="4" width="13.44140625" style="24" customWidth="1"/>
    <col min="5" max="5" width="12.44140625" style="24" customWidth="1"/>
    <col min="6" max="6" width="10.109375" style="24" customWidth="1"/>
    <col min="7" max="7" width="12.44140625" style="24" customWidth="1"/>
    <col min="8" max="8" width="15.44140625" style="1" bestFit="1" customWidth="1"/>
    <col min="9" max="9" width="12.33203125" style="1" customWidth="1"/>
    <col min="10" max="10" width="11.6640625" style="1" customWidth="1"/>
    <col min="11" max="11" width="25.88671875" bestFit="1" customWidth="1"/>
    <col min="12" max="14" width="18" customWidth="1"/>
    <col min="15" max="15" width="17.109375" customWidth="1"/>
    <col min="16" max="17" width="15.6640625" customWidth="1"/>
    <col min="18" max="18" width="15" customWidth="1"/>
    <col min="19" max="20" width="14.109375" bestFit="1" customWidth="1"/>
    <col min="21" max="21" width="11.6640625" bestFit="1" customWidth="1"/>
    <col min="22" max="22" width="11.88671875" bestFit="1" customWidth="1"/>
    <col min="23" max="23" width="12.5546875" style="208" customWidth="1"/>
    <col min="24" max="24" width="11.33203125" style="208" customWidth="1"/>
    <col min="25" max="25" width="11.5546875" style="208" customWidth="1"/>
    <col min="26" max="26" width="9.33203125" style="208" customWidth="1"/>
    <col min="27" max="27" width="9.109375" style="208"/>
    <col min="28" max="28" width="11.6640625" style="208" bestFit="1" customWidth="1"/>
    <col min="29" max="29" width="10.6640625" style="208" bestFit="1" customWidth="1"/>
    <col min="30" max="31" width="9.109375" style="208"/>
    <col min="256" max="256" width="11.88671875" customWidth="1"/>
    <col min="257" max="257" width="18" customWidth="1"/>
    <col min="258" max="258" width="11.6640625" customWidth="1"/>
    <col min="259" max="259" width="13.44140625" customWidth="1"/>
    <col min="260" max="260" width="12.44140625" customWidth="1"/>
    <col min="261" max="261" width="10.109375" customWidth="1"/>
    <col min="262" max="263" width="12.44140625" customWidth="1"/>
    <col min="264" max="264" width="15.44140625" bestFit="1" customWidth="1"/>
    <col min="265" max="265" width="17" customWidth="1"/>
    <col min="266" max="266" width="12.44140625" customWidth="1"/>
    <col min="267" max="267" width="25.88671875" bestFit="1" customWidth="1"/>
    <col min="268" max="270" width="18" customWidth="1"/>
    <col min="271" max="271" width="17.109375" customWidth="1"/>
    <col min="272" max="273" width="15.6640625" customWidth="1"/>
    <col min="274" max="274" width="15" customWidth="1"/>
    <col min="275" max="276" width="14.109375" bestFit="1" customWidth="1"/>
    <col min="277" max="277" width="11.6640625" bestFit="1" customWidth="1"/>
    <col min="278" max="278" width="11.88671875" bestFit="1" customWidth="1"/>
    <col min="279" max="279" width="12.5546875" customWidth="1"/>
    <col min="280" max="280" width="11.33203125" customWidth="1"/>
    <col min="281" max="281" width="11.5546875" customWidth="1"/>
    <col min="282" max="282" width="9.33203125" customWidth="1"/>
    <col min="284" max="284" width="11.6640625" bestFit="1" customWidth="1"/>
    <col min="285" max="285" width="10.6640625" bestFit="1" customWidth="1"/>
    <col min="512" max="512" width="11.88671875" customWidth="1"/>
    <col min="513" max="513" width="18" customWidth="1"/>
    <col min="514" max="514" width="11.6640625" customWidth="1"/>
    <col min="515" max="515" width="13.44140625" customWidth="1"/>
    <col min="516" max="516" width="12.44140625" customWidth="1"/>
    <col min="517" max="517" width="10.109375" customWidth="1"/>
    <col min="518" max="519" width="12.44140625" customWidth="1"/>
    <col min="520" max="520" width="15.44140625" bestFit="1" customWidth="1"/>
    <col min="521" max="521" width="17" customWidth="1"/>
    <col min="522" max="522" width="12.44140625" customWidth="1"/>
    <col min="523" max="523" width="25.88671875" bestFit="1" customWidth="1"/>
    <col min="524" max="526" width="18" customWidth="1"/>
    <col min="527" max="527" width="17.109375" customWidth="1"/>
    <col min="528" max="529" width="15.6640625" customWidth="1"/>
    <col min="530" max="530" width="15" customWidth="1"/>
    <col min="531" max="532" width="14.109375" bestFit="1" customWidth="1"/>
    <col min="533" max="533" width="11.6640625" bestFit="1" customWidth="1"/>
    <col min="534" max="534" width="11.88671875" bestFit="1" customWidth="1"/>
    <col min="535" max="535" width="12.5546875" customWidth="1"/>
    <col min="536" max="536" width="11.33203125" customWidth="1"/>
    <col min="537" max="537" width="11.5546875" customWidth="1"/>
    <col min="538" max="538" width="9.33203125" customWidth="1"/>
    <col min="540" max="540" width="11.6640625" bestFit="1" customWidth="1"/>
    <col min="541" max="541" width="10.6640625" bestFit="1" customWidth="1"/>
    <col min="768" max="768" width="11.88671875" customWidth="1"/>
    <col min="769" max="769" width="18" customWidth="1"/>
    <col min="770" max="770" width="11.6640625" customWidth="1"/>
    <col min="771" max="771" width="13.44140625" customWidth="1"/>
    <col min="772" max="772" width="12.44140625" customWidth="1"/>
    <col min="773" max="773" width="10.109375" customWidth="1"/>
    <col min="774" max="775" width="12.44140625" customWidth="1"/>
    <col min="776" max="776" width="15.44140625" bestFit="1" customWidth="1"/>
    <col min="777" max="777" width="17" customWidth="1"/>
    <col min="778" max="778" width="12.44140625" customWidth="1"/>
    <col min="779" max="779" width="25.88671875" bestFit="1" customWidth="1"/>
    <col min="780" max="782" width="18" customWidth="1"/>
    <col min="783" max="783" width="17.109375" customWidth="1"/>
    <col min="784" max="785" width="15.6640625" customWidth="1"/>
    <col min="786" max="786" width="15" customWidth="1"/>
    <col min="787" max="788" width="14.109375" bestFit="1" customWidth="1"/>
    <col min="789" max="789" width="11.6640625" bestFit="1" customWidth="1"/>
    <col min="790" max="790" width="11.88671875" bestFit="1" customWidth="1"/>
    <col min="791" max="791" width="12.5546875" customWidth="1"/>
    <col min="792" max="792" width="11.33203125" customWidth="1"/>
    <col min="793" max="793" width="11.5546875" customWidth="1"/>
    <col min="794" max="794" width="9.33203125" customWidth="1"/>
    <col min="796" max="796" width="11.6640625" bestFit="1" customWidth="1"/>
    <col min="797" max="797" width="10.6640625" bestFit="1" customWidth="1"/>
    <col min="1024" max="1024" width="11.88671875" customWidth="1"/>
    <col min="1025" max="1025" width="18" customWidth="1"/>
    <col min="1026" max="1026" width="11.6640625" customWidth="1"/>
    <col min="1027" max="1027" width="13.44140625" customWidth="1"/>
    <col min="1028" max="1028" width="12.44140625" customWidth="1"/>
    <col min="1029" max="1029" width="10.109375" customWidth="1"/>
    <col min="1030" max="1031" width="12.44140625" customWidth="1"/>
    <col min="1032" max="1032" width="15.44140625" bestFit="1" customWidth="1"/>
    <col min="1033" max="1033" width="17" customWidth="1"/>
    <col min="1034" max="1034" width="12.44140625" customWidth="1"/>
    <col min="1035" max="1035" width="25.88671875" bestFit="1" customWidth="1"/>
    <col min="1036" max="1038" width="18" customWidth="1"/>
    <col min="1039" max="1039" width="17.109375" customWidth="1"/>
    <col min="1040" max="1041" width="15.6640625" customWidth="1"/>
    <col min="1042" max="1042" width="15" customWidth="1"/>
    <col min="1043" max="1044" width="14.109375" bestFit="1" customWidth="1"/>
    <col min="1045" max="1045" width="11.6640625" bestFit="1" customWidth="1"/>
    <col min="1046" max="1046" width="11.88671875" bestFit="1" customWidth="1"/>
    <col min="1047" max="1047" width="12.5546875" customWidth="1"/>
    <col min="1048" max="1048" width="11.33203125" customWidth="1"/>
    <col min="1049" max="1049" width="11.5546875" customWidth="1"/>
    <col min="1050" max="1050" width="9.33203125" customWidth="1"/>
    <col min="1052" max="1052" width="11.6640625" bestFit="1" customWidth="1"/>
    <col min="1053" max="1053" width="10.6640625" bestFit="1" customWidth="1"/>
    <col min="1280" max="1280" width="11.88671875" customWidth="1"/>
    <col min="1281" max="1281" width="18" customWidth="1"/>
    <col min="1282" max="1282" width="11.6640625" customWidth="1"/>
    <col min="1283" max="1283" width="13.44140625" customWidth="1"/>
    <col min="1284" max="1284" width="12.44140625" customWidth="1"/>
    <col min="1285" max="1285" width="10.109375" customWidth="1"/>
    <col min="1286" max="1287" width="12.44140625" customWidth="1"/>
    <col min="1288" max="1288" width="15.44140625" bestFit="1" customWidth="1"/>
    <col min="1289" max="1289" width="17" customWidth="1"/>
    <col min="1290" max="1290" width="12.44140625" customWidth="1"/>
    <col min="1291" max="1291" width="25.88671875" bestFit="1" customWidth="1"/>
    <col min="1292" max="1294" width="18" customWidth="1"/>
    <col min="1295" max="1295" width="17.109375" customWidth="1"/>
    <col min="1296" max="1297" width="15.6640625" customWidth="1"/>
    <col min="1298" max="1298" width="15" customWidth="1"/>
    <col min="1299" max="1300" width="14.109375" bestFit="1" customWidth="1"/>
    <col min="1301" max="1301" width="11.6640625" bestFit="1" customWidth="1"/>
    <col min="1302" max="1302" width="11.88671875" bestFit="1" customWidth="1"/>
    <col min="1303" max="1303" width="12.5546875" customWidth="1"/>
    <col min="1304" max="1304" width="11.33203125" customWidth="1"/>
    <col min="1305" max="1305" width="11.5546875" customWidth="1"/>
    <col min="1306" max="1306" width="9.33203125" customWidth="1"/>
    <col min="1308" max="1308" width="11.6640625" bestFit="1" customWidth="1"/>
    <col min="1309" max="1309" width="10.6640625" bestFit="1" customWidth="1"/>
    <col min="1536" max="1536" width="11.88671875" customWidth="1"/>
    <col min="1537" max="1537" width="18" customWidth="1"/>
    <col min="1538" max="1538" width="11.6640625" customWidth="1"/>
    <col min="1539" max="1539" width="13.44140625" customWidth="1"/>
    <col min="1540" max="1540" width="12.44140625" customWidth="1"/>
    <col min="1541" max="1541" width="10.109375" customWidth="1"/>
    <col min="1542" max="1543" width="12.44140625" customWidth="1"/>
    <col min="1544" max="1544" width="15.44140625" bestFit="1" customWidth="1"/>
    <col min="1545" max="1545" width="17" customWidth="1"/>
    <col min="1546" max="1546" width="12.44140625" customWidth="1"/>
    <col min="1547" max="1547" width="25.88671875" bestFit="1" customWidth="1"/>
    <col min="1548" max="1550" width="18" customWidth="1"/>
    <col min="1551" max="1551" width="17.109375" customWidth="1"/>
    <col min="1552" max="1553" width="15.6640625" customWidth="1"/>
    <col min="1554" max="1554" width="15" customWidth="1"/>
    <col min="1555" max="1556" width="14.109375" bestFit="1" customWidth="1"/>
    <col min="1557" max="1557" width="11.6640625" bestFit="1" customWidth="1"/>
    <col min="1558" max="1558" width="11.88671875" bestFit="1" customWidth="1"/>
    <col min="1559" max="1559" width="12.5546875" customWidth="1"/>
    <col min="1560" max="1560" width="11.33203125" customWidth="1"/>
    <col min="1561" max="1561" width="11.5546875" customWidth="1"/>
    <col min="1562" max="1562" width="9.33203125" customWidth="1"/>
    <col min="1564" max="1564" width="11.6640625" bestFit="1" customWidth="1"/>
    <col min="1565" max="1565" width="10.6640625" bestFit="1" customWidth="1"/>
    <col min="1792" max="1792" width="11.88671875" customWidth="1"/>
    <col min="1793" max="1793" width="18" customWidth="1"/>
    <col min="1794" max="1794" width="11.6640625" customWidth="1"/>
    <col min="1795" max="1795" width="13.44140625" customWidth="1"/>
    <col min="1796" max="1796" width="12.44140625" customWidth="1"/>
    <col min="1797" max="1797" width="10.109375" customWidth="1"/>
    <col min="1798" max="1799" width="12.44140625" customWidth="1"/>
    <col min="1800" max="1800" width="15.44140625" bestFit="1" customWidth="1"/>
    <col min="1801" max="1801" width="17" customWidth="1"/>
    <col min="1802" max="1802" width="12.44140625" customWidth="1"/>
    <col min="1803" max="1803" width="25.88671875" bestFit="1" customWidth="1"/>
    <col min="1804" max="1806" width="18" customWidth="1"/>
    <col min="1807" max="1807" width="17.109375" customWidth="1"/>
    <col min="1808" max="1809" width="15.6640625" customWidth="1"/>
    <col min="1810" max="1810" width="15" customWidth="1"/>
    <col min="1811" max="1812" width="14.109375" bestFit="1" customWidth="1"/>
    <col min="1813" max="1813" width="11.6640625" bestFit="1" customWidth="1"/>
    <col min="1814" max="1814" width="11.88671875" bestFit="1" customWidth="1"/>
    <col min="1815" max="1815" width="12.5546875" customWidth="1"/>
    <col min="1816" max="1816" width="11.33203125" customWidth="1"/>
    <col min="1817" max="1817" width="11.5546875" customWidth="1"/>
    <col min="1818" max="1818" width="9.33203125" customWidth="1"/>
    <col min="1820" max="1820" width="11.6640625" bestFit="1" customWidth="1"/>
    <col min="1821" max="1821" width="10.6640625" bestFit="1" customWidth="1"/>
    <col min="2048" max="2048" width="11.88671875" customWidth="1"/>
    <col min="2049" max="2049" width="18" customWidth="1"/>
    <col min="2050" max="2050" width="11.6640625" customWidth="1"/>
    <col min="2051" max="2051" width="13.44140625" customWidth="1"/>
    <col min="2052" max="2052" width="12.44140625" customWidth="1"/>
    <col min="2053" max="2053" width="10.109375" customWidth="1"/>
    <col min="2054" max="2055" width="12.44140625" customWidth="1"/>
    <col min="2056" max="2056" width="15.44140625" bestFit="1" customWidth="1"/>
    <col min="2057" max="2057" width="17" customWidth="1"/>
    <col min="2058" max="2058" width="12.44140625" customWidth="1"/>
    <col min="2059" max="2059" width="25.88671875" bestFit="1" customWidth="1"/>
    <col min="2060" max="2062" width="18" customWidth="1"/>
    <col min="2063" max="2063" width="17.109375" customWidth="1"/>
    <col min="2064" max="2065" width="15.6640625" customWidth="1"/>
    <col min="2066" max="2066" width="15" customWidth="1"/>
    <col min="2067" max="2068" width="14.109375" bestFit="1" customWidth="1"/>
    <col min="2069" max="2069" width="11.6640625" bestFit="1" customWidth="1"/>
    <col min="2070" max="2070" width="11.88671875" bestFit="1" customWidth="1"/>
    <col min="2071" max="2071" width="12.5546875" customWidth="1"/>
    <col min="2072" max="2072" width="11.33203125" customWidth="1"/>
    <col min="2073" max="2073" width="11.5546875" customWidth="1"/>
    <col min="2074" max="2074" width="9.33203125" customWidth="1"/>
    <col min="2076" max="2076" width="11.6640625" bestFit="1" customWidth="1"/>
    <col min="2077" max="2077" width="10.6640625" bestFit="1" customWidth="1"/>
    <col min="2304" max="2304" width="11.88671875" customWidth="1"/>
    <col min="2305" max="2305" width="18" customWidth="1"/>
    <col min="2306" max="2306" width="11.6640625" customWidth="1"/>
    <col min="2307" max="2307" width="13.44140625" customWidth="1"/>
    <col min="2308" max="2308" width="12.44140625" customWidth="1"/>
    <col min="2309" max="2309" width="10.109375" customWidth="1"/>
    <col min="2310" max="2311" width="12.44140625" customWidth="1"/>
    <col min="2312" max="2312" width="15.44140625" bestFit="1" customWidth="1"/>
    <col min="2313" max="2313" width="17" customWidth="1"/>
    <col min="2314" max="2314" width="12.44140625" customWidth="1"/>
    <col min="2315" max="2315" width="25.88671875" bestFit="1" customWidth="1"/>
    <col min="2316" max="2318" width="18" customWidth="1"/>
    <col min="2319" max="2319" width="17.109375" customWidth="1"/>
    <col min="2320" max="2321" width="15.6640625" customWidth="1"/>
    <col min="2322" max="2322" width="15" customWidth="1"/>
    <col min="2323" max="2324" width="14.109375" bestFit="1" customWidth="1"/>
    <col min="2325" max="2325" width="11.6640625" bestFit="1" customWidth="1"/>
    <col min="2326" max="2326" width="11.88671875" bestFit="1" customWidth="1"/>
    <col min="2327" max="2327" width="12.5546875" customWidth="1"/>
    <col min="2328" max="2328" width="11.33203125" customWidth="1"/>
    <col min="2329" max="2329" width="11.5546875" customWidth="1"/>
    <col min="2330" max="2330" width="9.33203125" customWidth="1"/>
    <col min="2332" max="2332" width="11.6640625" bestFit="1" customWidth="1"/>
    <col min="2333" max="2333" width="10.6640625" bestFit="1" customWidth="1"/>
    <col min="2560" max="2560" width="11.88671875" customWidth="1"/>
    <col min="2561" max="2561" width="18" customWidth="1"/>
    <col min="2562" max="2562" width="11.6640625" customWidth="1"/>
    <col min="2563" max="2563" width="13.44140625" customWidth="1"/>
    <col min="2564" max="2564" width="12.44140625" customWidth="1"/>
    <col min="2565" max="2565" width="10.109375" customWidth="1"/>
    <col min="2566" max="2567" width="12.44140625" customWidth="1"/>
    <col min="2568" max="2568" width="15.44140625" bestFit="1" customWidth="1"/>
    <col min="2569" max="2569" width="17" customWidth="1"/>
    <col min="2570" max="2570" width="12.44140625" customWidth="1"/>
    <col min="2571" max="2571" width="25.88671875" bestFit="1" customWidth="1"/>
    <col min="2572" max="2574" width="18" customWidth="1"/>
    <col min="2575" max="2575" width="17.109375" customWidth="1"/>
    <col min="2576" max="2577" width="15.6640625" customWidth="1"/>
    <col min="2578" max="2578" width="15" customWidth="1"/>
    <col min="2579" max="2580" width="14.109375" bestFit="1" customWidth="1"/>
    <col min="2581" max="2581" width="11.6640625" bestFit="1" customWidth="1"/>
    <col min="2582" max="2582" width="11.88671875" bestFit="1" customWidth="1"/>
    <col min="2583" max="2583" width="12.5546875" customWidth="1"/>
    <col min="2584" max="2584" width="11.33203125" customWidth="1"/>
    <col min="2585" max="2585" width="11.5546875" customWidth="1"/>
    <col min="2586" max="2586" width="9.33203125" customWidth="1"/>
    <col min="2588" max="2588" width="11.6640625" bestFit="1" customWidth="1"/>
    <col min="2589" max="2589" width="10.6640625" bestFit="1" customWidth="1"/>
    <col min="2816" max="2816" width="11.88671875" customWidth="1"/>
    <col min="2817" max="2817" width="18" customWidth="1"/>
    <col min="2818" max="2818" width="11.6640625" customWidth="1"/>
    <col min="2819" max="2819" width="13.44140625" customWidth="1"/>
    <col min="2820" max="2820" width="12.44140625" customWidth="1"/>
    <col min="2821" max="2821" width="10.109375" customWidth="1"/>
    <col min="2822" max="2823" width="12.44140625" customWidth="1"/>
    <col min="2824" max="2824" width="15.44140625" bestFit="1" customWidth="1"/>
    <col min="2825" max="2825" width="17" customWidth="1"/>
    <col min="2826" max="2826" width="12.44140625" customWidth="1"/>
    <col min="2827" max="2827" width="25.88671875" bestFit="1" customWidth="1"/>
    <col min="2828" max="2830" width="18" customWidth="1"/>
    <col min="2831" max="2831" width="17.109375" customWidth="1"/>
    <col min="2832" max="2833" width="15.6640625" customWidth="1"/>
    <col min="2834" max="2834" width="15" customWidth="1"/>
    <col min="2835" max="2836" width="14.109375" bestFit="1" customWidth="1"/>
    <col min="2837" max="2837" width="11.6640625" bestFit="1" customWidth="1"/>
    <col min="2838" max="2838" width="11.88671875" bestFit="1" customWidth="1"/>
    <col min="2839" max="2839" width="12.5546875" customWidth="1"/>
    <col min="2840" max="2840" width="11.33203125" customWidth="1"/>
    <col min="2841" max="2841" width="11.5546875" customWidth="1"/>
    <col min="2842" max="2842" width="9.33203125" customWidth="1"/>
    <col min="2844" max="2844" width="11.6640625" bestFit="1" customWidth="1"/>
    <col min="2845" max="2845" width="10.6640625" bestFit="1" customWidth="1"/>
    <col min="3072" max="3072" width="11.88671875" customWidth="1"/>
    <col min="3073" max="3073" width="18" customWidth="1"/>
    <col min="3074" max="3074" width="11.6640625" customWidth="1"/>
    <col min="3075" max="3075" width="13.44140625" customWidth="1"/>
    <col min="3076" max="3076" width="12.44140625" customWidth="1"/>
    <col min="3077" max="3077" width="10.109375" customWidth="1"/>
    <col min="3078" max="3079" width="12.44140625" customWidth="1"/>
    <col min="3080" max="3080" width="15.44140625" bestFit="1" customWidth="1"/>
    <col min="3081" max="3081" width="17" customWidth="1"/>
    <col min="3082" max="3082" width="12.44140625" customWidth="1"/>
    <col min="3083" max="3083" width="25.88671875" bestFit="1" customWidth="1"/>
    <col min="3084" max="3086" width="18" customWidth="1"/>
    <col min="3087" max="3087" width="17.109375" customWidth="1"/>
    <col min="3088" max="3089" width="15.6640625" customWidth="1"/>
    <col min="3090" max="3090" width="15" customWidth="1"/>
    <col min="3091" max="3092" width="14.109375" bestFit="1" customWidth="1"/>
    <col min="3093" max="3093" width="11.6640625" bestFit="1" customWidth="1"/>
    <col min="3094" max="3094" width="11.88671875" bestFit="1" customWidth="1"/>
    <col min="3095" max="3095" width="12.5546875" customWidth="1"/>
    <col min="3096" max="3096" width="11.33203125" customWidth="1"/>
    <col min="3097" max="3097" width="11.5546875" customWidth="1"/>
    <col min="3098" max="3098" width="9.33203125" customWidth="1"/>
    <col min="3100" max="3100" width="11.6640625" bestFit="1" customWidth="1"/>
    <col min="3101" max="3101" width="10.6640625" bestFit="1" customWidth="1"/>
    <col min="3328" max="3328" width="11.88671875" customWidth="1"/>
    <col min="3329" max="3329" width="18" customWidth="1"/>
    <col min="3330" max="3330" width="11.6640625" customWidth="1"/>
    <col min="3331" max="3331" width="13.44140625" customWidth="1"/>
    <col min="3332" max="3332" width="12.44140625" customWidth="1"/>
    <col min="3333" max="3333" width="10.109375" customWidth="1"/>
    <col min="3334" max="3335" width="12.44140625" customWidth="1"/>
    <col min="3336" max="3336" width="15.44140625" bestFit="1" customWidth="1"/>
    <col min="3337" max="3337" width="17" customWidth="1"/>
    <col min="3338" max="3338" width="12.44140625" customWidth="1"/>
    <col min="3339" max="3339" width="25.88671875" bestFit="1" customWidth="1"/>
    <col min="3340" max="3342" width="18" customWidth="1"/>
    <col min="3343" max="3343" width="17.109375" customWidth="1"/>
    <col min="3344" max="3345" width="15.6640625" customWidth="1"/>
    <col min="3346" max="3346" width="15" customWidth="1"/>
    <col min="3347" max="3348" width="14.109375" bestFit="1" customWidth="1"/>
    <col min="3349" max="3349" width="11.6640625" bestFit="1" customWidth="1"/>
    <col min="3350" max="3350" width="11.88671875" bestFit="1" customWidth="1"/>
    <col min="3351" max="3351" width="12.5546875" customWidth="1"/>
    <col min="3352" max="3352" width="11.33203125" customWidth="1"/>
    <col min="3353" max="3353" width="11.5546875" customWidth="1"/>
    <col min="3354" max="3354" width="9.33203125" customWidth="1"/>
    <col min="3356" max="3356" width="11.6640625" bestFit="1" customWidth="1"/>
    <col min="3357" max="3357" width="10.6640625" bestFit="1" customWidth="1"/>
    <col min="3584" max="3584" width="11.88671875" customWidth="1"/>
    <col min="3585" max="3585" width="18" customWidth="1"/>
    <col min="3586" max="3586" width="11.6640625" customWidth="1"/>
    <col min="3587" max="3587" width="13.44140625" customWidth="1"/>
    <col min="3588" max="3588" width="12.44140625" customWidth="1"/>
    <col min="3589" max="3589" width="10.109375" customWidth="1"/>
    <col min="3590" max="3591" width="12.44140625" customWidth="1"/>
    <col min="3592" max="3592" width="15.44140625" bestFit="1" customWidth="1"/>
    <col min="3593" max="3593" width="17" customWidth="1"/>
    <col min="3594" max="3594" width="12.44140625" customWidth="1"/>
    <col min="3595" max="3595" width="25.88671875" bestFit="1" customWidth="1"/>
    <col min="3596" max="3598" width="18" customWidth="1"/>
    <col min="3599" max="3599" width="17.109375" customWidth="1"/>
    <col min="3600" max="3601" width="15.6640625" customWidth="1"/>
    <col min="3602" max="3602" width="15" customWidth="1"/>
    <col min="3603" max="3604" width="14.109375" bestFit="1" customWidth="1"/>
    <col min="3605" max="3605" width="11.6640625" bestFit="1" customWidth="1"/>
    <col min="3606" max="3606" width="11.88671875" bestFit="1" customWidth="1"/>
    <col min="3607" max="3607" width="12.5546875" customWidth="1"/>
    <col min="3608" max="3608" width="11.33203125" customWidth="1"/>
    <col min="3609" max="3609" width="11.5546875" customWidth="1"/>
    <col min="3610" max="3610" width="9.33203125" customWidth="1"/>
    <col min="3612" max="3612" width="11.6640625" bestFit="1" customWidth="1"/>
    <col min="3613" max="3613" width="10.6640625" bestFit="1" customWidth="1"/>
    <col min="3840" max="3840" width="11.88671875" customWidth="1"/>
    <col min="3841" max="3841" width="18" customWidth="1"/>
    <col min="3842" max="3842" width="11.6640625" customWidth="1"/>
    <col min="3843" max="3843" width="13.44140625" customWidth="1"/>
    <col min="3844" max="3844" width="12.44140625" customWidth="1"/>
    <col min="3845" max="3845" width="10.109375" customWidth="1"/>
    <col min="3846" max="3847" width="12.44140625" customWidth="1"/>
    <col min="3848" max="3848" width="15.44140625" bestFit="1" customWidth="1"/>
    <col min="3849" max="3849" width="17" customWidth="1"/>
    <col min="3850" max="3850" width="12.44140625" customWidth="1"/>
    <col min="3851" max="3851" width="25.88671875" bestFit="1" customWidth="1"/>
    <col min="3852" max="3854" width="18" customWidth="1"/>
    <col min="3855" max="3855" width="17.109375" customWidth="1"/>
    <col min="3856" max="3857" width="15.6640625" customWidth="1"/>
    <col min="3858" max="3858" width="15" customWidth="1"/>
    <col min="3859" max="3860" width="14.109375" bestFit="1" customWidth="1"/>
    <col min="3861" max="3861" width="11.6640625" bestFit="1" customWidth="1"/>
    <col min="3862" max="3862" width="11.88671875" bestFit="1" customWidth="1"/>
    <col min="3863" max="3863" width="12.5546875" customWidth="1"/>
    <col min="3864" max="3864" width="11.33203125" customWidth="1"/>
    <col min="3865" max="3865" width="11.5546875" customWidth="1"/>
    <col min="3866" max="3866" width="9.33203125" customWidth="1"/>
    <col min="3868" max="3868" width="11.6640625" bestFit="1" customWidth="1"/>
    <col min="3869" max="3869" width="10.6640625" bestFit="1" customWidth="1"/>
    <col min="4096" max="4096" width="11.88671875" customWidth="1"/>
    <col min="4097" max="4097" width="18" customWidth="1"/>
    <col min="4098" max="4098" width="11.6640625" customWidth="1"/>
    <col min="4099" max="4099" width="13.44140625" customWidth="1"/>
    <col min="4100" max="4100" width="12.44140625" customWidth="1"/>
    <col min="4101" max="4101" width="10.109375" customWidth="1"/>
    <col min="4102" max="4103" width="12.44140625" customWidth="1"/>
    <col min="4104" max="4104" width="15.44140625" bestFit="1" customWidth="1"/>
    <col min="4105" max="4105" width="17" customWidth="1"/>
    <col min="4106" max="4106" width="12.44140625" customWidth="1"/>
    <col min="4107" max="4107" width="25.88671875" bestFit="1" customWidth="1"/>
    <col min="4108" max="4110" width="18" customWidth="1"/>
    <col min="4111" max="4111" width="17.109375" customWidth="1"/>
    <col min="4112" max="4113" width="15.6640625" customWidth="1"/>
    <col min="4114" max="4114" width="15" customWidth="1"/>
    <col min="4115" max="4116" width="14.109375" bestFit="1" customWidth="1"/>
    <col min="4117" max="4117" width="11.6640625" bestFit="1" customWidth="1"/>
    <col min="4118" max="4118" width="11.88671875" bestFit="1" customWidth="1"/>
    <col min="4119" max="4119" width="12.5546875" customWidth="1"/>
    <col min="4120" max="4120" width="11.33203125" customWidth="1"/>
    <col min="4121" max="4121" width="11.5546875" customWidth="1"/>
    <col min="4122" max="4122" width="9.33203125" customWidth="1"/>
    <col min="4124" max="4124" width="11.6640625" bestFit="1" customWidth="1"/>
    <col min="4125" max="4125" width="10.6640625" bestFit="1" customWidth="1"/>
    <col min="4352" max="4352" width="11.88671875" customWidth="1"/>
    <col min="4353" max="4353" width="18" customWidth="1"/>
    <col min="4354" max="4354" width="11.6640625" customWidth="1"/>
    <col min="4355" max="4355" width="13.44140625" customWidth="1"/>
    <col min="4356" max="4356" width="12.44140625" customWidth="1"/>
    <col min="4357" max="4357" width="10.109375" customWidth="1"/>
    <col min="4358" max="4359" width="12.44140625" customWidth="1"/>
    <col min="4360" max="4360" width="15.44140625" bestFit="1" customWidth="1"/>
    <col min="4361" max="4361" width="17" customWidth="1"/>
    <col min="4362" max="4362" width="12.44140625" customWidth="1"/>
    <col min="4363" max="4363" width="25.88671875" bestFit="1" customWidth="1"/>
    <col min="4364" max="4366" width="18" customWidth="1"/>
    <col min="4367" max="4367" width="17.109375" customWidth="1"/>
    <col min="4368" max="4369" width="15.6640625" customWidth="1"/>
    <col min="4370" max="4370" width="15" customWidth="1"/>
    <col min="4371" max="4372" width="14.109375" bestFit="1" customWidth="1"/>
    <col min="4373" max="4373" width="11.6640625" bestFit="1" customWidth="1"/>
    <col min="4374" max="4374" width="11.88671875" bestFit="1" customWidth="1"/>
    <col min="4375" max="4375" width="12.5546875" customWidth="1"/>
    <col min="4376" max="4376" width="11.33203125" customWidth="1"/>
    <col min="4377" max="4377" width="11.5546875" customWidth="1"/>
    <col min="4378" max="4378" width="9.33203125" customWidth="1"/>
    <col min="4380" max="4380" width="11.6640625" bestFit="1" customWidth="1"/>
    <col min="4381" max="4381" width="10.6640625" bestFit="1" customWidth="1"/>
    <col min="4608" max="4608" width="11.88671875" customWidth="1"/>
    <col min="4609" max="4609" width="18" customWidth="1"/>
    <col min="4610" max="4610" width="11.6640625" customWidth="1"/>
    <col min="4611" max="4611" width="13.44140625" customWidth="1"/>
    <col min="4612" max="4612" width="12.44140625" customWidth="1"/>
    <col min="4613" max="4613" width="10.109375" customWidth="1"/>
    <col min="4614" max="4615" width="12.44140625" customWidth="1"/>
    <col min="4616" max="4616" width="15.44140625" bestFit="1" customWidth="1"/>
    <col min="4617" max="4617" width="17" customWidth="1"/>
    <col min="4618" max="4618" width="12.44140625" customWidth="1"/>
    <col min="4619" max="4619" width="25.88671875" bestFit="1" customWidth="1"/>
    <col min="4620" max="4622" width="18" customWidth="1"/>
    <col min="4623" max="4623" width="17.109375" customWidth="1"/>
    <col min="4624" max="4625" width="15.6640625" customWidth="1"/>
    <col min="4626" max="4626" width="15" customWidth="1"/>
    <col min="4627" max="4628" width="14.109375" bestFit="1" customWidth="1"/>
    <col min="4629" max="4629" width="11.6640625" bestFit="1" customWidth="1"/>
    <col min="4630" max="4630" width="11.88671875" bestFit="1" customWidth="1"/>
    <col min="4631" max="4631" width="12.5546875" customWidth="1"/>
    <col min="4632" max="4632" width="11.33203125" customWidth="1"/>
    <col min="4633" max="4633" width="11.5546875" customWidth="1"/>
    <col min="4634" max="4634" width="9.33203125" customWidth="1"/>
    <col min="4636" max="4636" width="11.6640625" bestFit="1" customWidth="1"/>
    <col min="4637" max="4637" width="10.6640625" bestFit="1" customWidth="1"/>
    <col min="4864" max="4864" width="11.88671875" customWidth="1"/>
    <col min="4865" max="4865" width="18" customWidth="1"/>
    <col min="4866" max="4866" width="11.6640625" customWidth="1"/>
    <col min="4867" max="4867" width="13.44140625" customWidth="1"/>
    <col min="4868" max="4868" width="12.44140625" customWidth="1"/>
    <col min="4869" max="4869" width="10.109375" customWidth="1"/>
    <col min="4870" max="4871" width="12.44140625" customWidth="1"/>
    <col min="4872" max="4872" width="15.44140625" bestFit="1" customWidth="1"/>
    <col min="4873" max="4873" width="17" customWidth="1"/>
    <col min="4874" max="4874" width="12.44140625" customWidth="1"/>
    <col min="4875" max="4875" width="25.88671875" bestFit="1" customWidth="1"/>
    <col min="4876" max="4878" width="18" customWidth="1"/>
    <col min="4879" max="4879" width="17.109375" customWidth="1"/>
    <col min="4880" max="4881" width="15.6640625" customWidth="1"/>
    <col min="4882" max="4882" width="15" customWidth="1"/>
    <col min="4883" max="4884" width="14.109375" bestFit="1" customWidth="1"/>
    <col min="4885" max="4885" width="11.6640625" bestFit="1" customWidth="1"/>
    <col min="4886" max="4886" width="11.88671875" bestFit="1" customWidth="1"/>
    <col min="4887" max="4887" width="12.5546875" customWidth="1"/>
    <col min="4888" max="4888" width="11.33203125" customWidth="1"/>
    <col min="4889" max="4889" width="11.5546875" customWidth="1"/>
    <col min="4890" max="4890" width="9.33203125" customWidth="1"/>
    <col min="4892" max="4892" width="11.6640625" bestFit="1" customWidth="1"/>
    <col min="4893" max="4893" width="10.6640625" bestFit="1" customWidth="1"/>
    <col min="5120" max="5120" width="11.88671875" customWidth="1"/>
    <col min="5121" max="5121" width="18" customWidth="1"/>
    <col min="5122" max="5122" width="11.6640625" customWidth="1"/>
    <col min="5123" max="5123" width="13.44140625" customWidth="1"/>
    <col min="5124" max="5124" width="12.44140625" customWidth="1"/>
    <col min="5125" max="5125" width="10.109375" customWidth="1"/>
    <col min="5126" max="5127" width="12.44140625" customWidth="1"/>
    <col min="5128" max="5128" width="15.44140625" bestFit="1" customWidth="1"/>
    <col min="5129" max="5129" width="17" customWidth="1"/>
    <col min="5130" max="5130" width="12.44140625" customWidth="1"/>
    <col min="5131" max="5131" width="25.88671875" bestFit="1" customWidth="1"/>
    <col min="5132" max="5134" width="18" customWidth="1"/>
    <col min="5135" max="5135" width="17.109375" customWidth="1"/>
    <col min="5136" max="5137" width="15.6640625" customWidth="1"/>
    <col min="5138" max="5138" width="15" customWidth="1"/>
    <col min="5139" max="5140" width="14.109375" bestFit="1" customWidth="1"/>
    <col min="5141" max="5141" width="11.6640625" bestFit="1" customWidth="1"/>
    <col min="5142" max="5142" width="11.88671875" bestFit="1" customWidth="1"/>
    <col min="5143" max="5143" width="12.5546875" customWidth="1"/>
    <col min="5144" max="5144" width="11.33203125" customWidth="1"/>
    <col min="5145" max="5145" width="11.5546875" customWidth="1"/>
    <col min="5146" max="5146" width="9.33203125" customWidth="1"/>
    <col min="5148" max="5148" width="11.6640625" bestFit="1" customWidth="1"/>
    <col min="5149" max="5149" width="10.6640625" bestFit="1" customWidth="1"/>
    <col min="5376" max="5376" width="11.88671875" customWidth="1"/>
    <col min="5377" max="5377" width="18" customWidth="1"/>
    <col min="5378" max="5378" width="11.6640625" customWidth="1"/>
    <col min="5379" max="5379" width="13.44140625" customWidth="1"/>
    <col min="5380" max="5380" width="12.44140625" customWidth="1"/>
    <col min="5381" max="5381" width="10.109375" customWidth="1"/>
    <col min="5382" max="5383" width="12.44140625" customWidth="1"/>
    <col min="5384" max="5384" width="15.44140625" bestFit="1" customWidth="1"/>
    <col min="5385" max="5385" width="17" customWidth="1"/>
    <col min="5386" max="5386" width="12.44140625" customWidth="1"/>
    <col min="5387" max="5387" width="25.88671875" bestFit="1" customWidth="1"/>
    <col min="5388" max="5390" width="18" customWidth="1"/>
    <col min="5391" max="5391" width="17.109375" customWidth="1"/>
    <col min="5392" max="5393" width="15.6640625" customWidth="1"/>
    <col min="5394" max="5394" width="15" customWidth="1"/>
    <col min="5395" max="5396" width="14.109375" bestFit="1" customWidth="1"/>
    <col min="5397" max="5397" width="11.6640625" bestFit="1" customWidth="1"/>
    <col min="5398" max="5398" width="11.88671875" bestFit="1" customWidth="1"/>
    <col min="5399" max="5399" width="12.5546875" customWidth="1"/>
    <col min="5400" max="5400" width="11.33203125" customWidth="1"/>
    <col min="5401" max="5401" width="11.5546875" customWidth="1"/>
    <col min="5402" max="5402" width="9.33203125" customWidth="1"/>
    <col min="5404" max="5404" width="11.6640625" bestFit="1" customWidth="1"/>
    <col min="5405" max="5405" width="10.6640625" bestFit="1" customWidth="1"/>
    <col min="5632" max="5632" width="11.88671875" customWidth="1"/>
    <col min="5633" max="5633" width="18" customWidth="1"/>
    <col min="5634" max="5634" width="11.6640625" customWidth="1"/>
    <col min="5635" max="5635" width="13.44140625" customWidth="1"/>
    <col min="5636" max="5636" width="12.44140625" customWidth="1"/>
    <col min="5637" max="5637" width="10.109375" customWidth="1"/>
    <col min="5638" max="5639" width="12.44140625" customWidth="1"/>
    <col min="5640" max="5640" width="15.44140625" bestFit="1" customWidth="1"/>
    <col min="5641" max="5641" width="17" customWidth="1"/>
    <col min="5642" max="5642" width="12.44140625" customWidth="1"/>
    <col min="5643" max="5643" width="25.88671875" bestFit="1" customWidth="1"/>
    <col min="5644" max="5646" width="18" customWidth="1"/>
    <col min="5647" max="5647" width="17.109375" customWidth="1"/>
    <col min="5648" max="5649" width="15.6640625" customWidth="1"/>
    <col min="5650" max="5650" width="15" customWidth="1"/>
    <col min="5651" max="5652" width="14.109375" bestFit="1" customWidth="1"/>
    <col min="5653" max="5653" width="11.6640625" bestFit="1" customWidth="1"/>
    <col min="5654" max="5654" width="11.88671875" bestFit="1" customWidth="1"/>
    <col min="5655" max="5655" width="12.5546875" customWidth="1"/>
    <col min="5656" max="5656" width="11.33203125" customWidth="1"/>
    <col min="5657" max="5657" width="11.5546875" customWidth="1"/>
    <col min="5658" max="5658" width="9.33203125" customWidth="1"/>
    <col min="5660" max="5660" width="11.6640625" bestFit="1" customWidth="1"/>
    <col min="5661" max="5661" width="10.6640625" bestFit="1" customWidth="1"/>
    <col min="5888" max="5888" width="11.88671875" customWidth="1"/>
    <col min="5889" max="5889" width="18" customWidth="1"/>
    <col min="5890" max="5890" width="11.6640625" customWidth="1"/>
    <col min="5891" max="5891" width="13.44140625" customWidth="1"/>
    <col min="5892" max="5892" width="12.44140625" customWidth="1"/>
    <col min="5893" max="5893" width="10.109375" customWidth="1"/>
    <col min="5894" max="5895" width="12.44140625" customWidth="1"/>
    <col min="5896" max="5896" width="15.44140625" bestFit="1" customWidth="1"/>
    <col min="5897" max="5897" width="17" customWidth="1"/>
    <col min="5898" max="5898" width="12.44140625" customWidth="1"/>
    <col min="5899" max="5899" width="25.88671875" bestFit="1" customWidth="1"/>
    <col min="5900" max="5902" width="18" customWidth="1"/>
    <col min="5903" max="5903" width="17.109375" customWidth="1"/>
    <col min="5904" max="5905" width="15.6640625" customWidth="1"/>
    <col min="5906" max="5906" width="15" customWidth="1"/>
    <col min="5907" max="5908" width="14.109375" bestFit="1" customWidth="1"/>
    <col min="5909" max="5909" width="11.6640625" bestFit="1" customWidth="1"/>
    <col min="5910" max="5910" width="11.88671875" bestFit="1" customWidth="1"/>
    <col min="5911" max="5911" width="12.5546875" customWidth="1"/>
    <col min="5912" max="5912" width="11.33203125" customWidth="1"/>
    <col min="5913" max="5913" width="11.5546875" customWidth="1"/>
    <col min="5914" max="5914" width="9.33203125" customWidth="1"/>
    <col min="5916" max="5916" width="11.6640625" bestFit="1" customWidth="1"/>
    <col min="5917" max="5917" width="10.6640625" bestFit="1" customWidth="1"/>
    <col min="6144" max="6144" width="11.88671875" customWidth="1"/>
    <col min="6145" max="6145" width="18" customWidth="1"/>
    <col min="6146" max="6146" width="11.6640625" customWidth="1"/>
    <col min="6147" max="6147" width="13.44140625" customWidth="1"/>
    <col min="6148" max="6148" width="12.44140625" customWidth="1"/>
    <col min="6149" max="6149" width="10.109375" customWidth="1"/>
    <col min="6150" max="6151" width="12.44140625" customWidth="1"/>
    <col min="6152" max="6152" width="15.44140625" bestFit="1" customWidth="1"/>
    <col min="6153" max="6153" width="17" customWidth="1"/>
    <col min="6154" max="6154" width="12.44140625" customWidth="1"/>
    <col min="6155" max="6155" width="25.88671875" bestFit="1" customWidth="1"/>
    <col min="6156" max="6158" width="18" customWidth="1"/>
    <col min="6159" max="6159" width="17.109375" customWidth="1"/>
    <col min="6160" max="6161" width="15.6640625" customWidth="1"/>
    <col min="6162" max="6162" width="15" customWidth="1"/>
    <col min="6163" max="6164" width="14.109375" bestFit="1" customWidth="1"/>
    <col min="6165" max="6165" width="11.6640625" bestFit="1" customWidth="1"/>
    <col min="6166" max="6166" width="11.88671875" bestFit="1" customWidth="1"/>
    <col min="6167" max="6167" width="12.5546875" customWidth="1"/>
    <col min="6168" max="6168" width="11.33203125" customWidth="1"/>
    <col min="6169" max="6169" width="11.5546875" customWidth="1"/>
    <col min="6170" max="6170" width="9.33203125" customWidth="1"/>
    <col min="6172" max="6172" width="11.6640625" bestFit="1" customWidth="1"/>
    <col min="6173" max="6173" width="10.6640625" bestFit="1" customWidth="1"/>
    <col min="6400" max="6400" width="11.88671875" customWidth="1"/>
    <col min="6401" max="6401" width="18" customWidth="1"/>
    <col min="6402" max="6402" width="11.6640625" customWidth="1"/>
    <col min="6403" max="6403" width="13.44140625" customWidth="1"/>
    <col min="6404" max="6404" width="12.44140625" customWidth="1"/>
    <col min="6405" max="6405" width="10.109375" customWidth="1"/>
    <col min="6406" max="6407" width="12.44140625" customWidth="1"/>
    <col min="6408" max="6408" width="15.44140625" bestFit="1" customWidth="1"/>
    <col min="6409" max="6409" width="17" customWidth="1"/>
    <col min="6410" max="6410" width="12.44140625" customWidth="1"/>
    <col min="6411" max="6411" width="25.88671875" bestFit="1" customWidth="1"/>
    <col min="6412" max="6414" width="18" customWidth="1"/>
    <col min="6415" max="6415" width="17.109375" customWidth="1"/>
    <col min="6416" max="6417" width="15.6640625" customWidth="1"/>
    <col min="6418" max="6418" width="15" customWidth="1"/>
    <col min="6419" max="6420" width="14.109375" bestFit="1" customWidth="1"/>
    <col min="6421" max="6421" width="11.6640625" bestFit="1" customWidth="1"/>
    <col min="6422" max="6422" width="11.88671875" bestFit="1" customWidth="1"/>
    <col min="6423" max="6423" width="12.5546875" customWidth="1"/>
    <col min="6424" max="6424" width="11.33203125" customWidth="1"/>
    <col min="6425" max="6425" width="11.5546875" customWidth="1"/>
    <col min="6426" max="6426" width="9.33203125" customWidth="1"/>
    <col min="6428" max="6428" width="11.6640625" bestFit="1" customWidth="1"/>
    <col min="6429" max="6429" width="10.6640625" bestFit="1" customWidth="1"/>
    <col min="6656" max="6656" width="11.88671875" customWidth="1"/>
    <col min="6657" max="6657" width="18" customWidth="1"/>
    <col min="6658" max="6658" width="11.6640625" customWidth="1"/>
    <col min="6659" max="6659" width="13.44140625" customWidth="1"/>
    <col min="6660" max="6660" width="12.44140625" customWidth="1"/>
    <col min="6661" max="6661" width="10.109375" customWidth="1"/>
    <col min="6662" max="6663" width="12.44140625" customWidth="1"/>
    <col min="6664" max="6664" width="15.44140625" bestFit="1" customWidth="1"/>
    <col min="6665" max="6665" width="17" customWidth="1"/>
    <col min="6666" max="6666" width="12.44140625" customWidth="1"/>
    <col min="6667" max="6667" width="25.88671875" bestFit="1" customWidth="1"/>
    <col min="6668" max="6670" width="18" customWidth="1"/>
    <col min="6671" max="6671" width="17.109375" customWidth="1"/>
    <col min="6672" max="6673" width="15.6640625" customWidth="1"/>
    <col min="6674" max="6674" width="15" customWidth="1"/>
    <col min="6675" max="6676" width="14.109375" bestFit="1" customWidth="1"/>
    <col min="6677" max="6677" width="11.6640625" bestFit="1" customWidth="1"/>
    <col min="6678" max="6678" width="11.88671875" bestFit="1" customWidth="1"/>
    <col min="6679" max="6679" width="12.5546875" customWidth="1"/>
    <col min="6680" max="6680" width="11.33203125" customWidth="1"/>
    <col min="6681" max="6681" width="11.5546875" customWidth="1"/>
    <col min="6682" max="6682" width="9.33203125" customWidth="1"/>
    <col min="6684" max="6684" width="11.6640625" bestFit="1" customWidth="1"/>
    <col min="6685" max="6685" width="10.6640625" bestFit="1" customWidth="1"/>
    <col min="6912" max="6912" width="11.88671875" customWidth="1"/>
    <col min="6913" max="6913" width="18" customWidth="1"/>
    <col min="6914" max="6914" width="11.6640625" customWidth="1"/>
    <col min="6915" max="6915" width="13.44140625" customWidth="1"/>
    <col min="6916" max="6916" width="12.44140625" customWidth="1"/>
    <col min="6917" max="6917" width="10.109375" customWidth="1"/>
    <col min="6918" max="6919" width="12.44140625" customWidth="1"/>
    <col min="6920" max="6920" width="15.44140625" bestFit="1" customWidth="1"/>
    <col min="6921" max="6921" width="17" customWidth="1"/>
    <col min="6922" max="6922" width="12.44140625" customWidth="1"/>
    <col min="6923" max="6923" width="25.88671875" bestFit="1" customWidth="1"/>
    <col min="6924" max="6926" width="18" customWidth="1"/>
    <col min="6927" max="6927" width="17.109375" customWidth="1"/>
    <col min="6928" max="6929" width="15.6640625" customWidth="1"/>
    <col min="6930" max="6930" width="15" customWidth="1"/>
    <col min="6931" max="6932" width="14.109375" bestFit="1" customWidth="1"/>
    <col min="6933" max="6933" width="11.6640625" bestFit="1" customWidth="1"/>
    <col min="6934" max="6934" width="11.88671875" bestFit="1" customWidth="1"/>
    <col min="6935" max="6935" width="12.5546875" customWidth="1"/>
    <col min="6936" max="6936" width="11.33203125" customWidth="1"/>
    <col min="6937" max="6937" width="11.5546875" customWidth="1"/>
    <col min="6938" max="6938" width="9.33203125" customWidth="1"/>
    <col min="6940" max="6940" width="11.6640625" bestFit="1" customWidth="1"/>
    <col min="6941" max="6941" width="10.6640625" bestFit="1" customWidth="1"/>
    <col min="7168" max="7168" width="11.88671875" customWidth="1"/>
    <col min="7169" max="7169" width="18" customWidth="1"/>
    <col min="7170" max="7170" width="11.6640625" customWidth="1"/>
    <col min="7171" max="7171" width="13.44140625" customWidth="1"/>
    <col min="7172" max="7172" width="12.44140625" customWidth="1"/>
    <col min="7173" max="7173" width="10.109375" customWidth="1"/>
    <col min="7174" max="7175" width="12.44140625" customWidth="1"/>
    <col min="7176" max="7176" width="15.44140625" bestFit="1" customWidth="1"/>
    <col min="7177" max="7177" width="17" customWidth="1"/>
    <col min="7178" max="7178" width="12.44140625" customWidth="1"/>
    <col min="7179" max="7179" width="25.88671875" bestFit="1" customWidth="1"/>
    <col min="7180" max="7182" width="18" customWidth="1"/>
    <col min="7183" max="7183" width="17.109375" customWidth="1"/>
    <col min="7184" max="7185" width="15.6640625" customWidth="1"/>
    <col min="7186" max="7186" width="15" customWidth="1"/>
    <col min="7187" max="7188" width="14.109375" bestFit="1" customWidth="1"/>
    <col min="7189" max="7189" width="11.6640625" bestFit="1" customWidth="1"/>
    <col min="7190" max="7190" width="11.88671875" bestFit="1" customWidth="1"/>
    <col min="7191" max="7191" width="12.5546875" customWidth="1"/>
    <col min="7192" max="7192" width="11.33203125" customWidth="1"/>
    <col min="7193" max="7193" width="11.5546875" customWidth="1"/>
    <col min="7194" max="7194" width="9.33203125" customWidth="1"/>
    <col min="7196" max="7196" width="11.6640625" bestFit="1" customWidth="1"/>
    <col min="7197" max="7197" width="10.6640625" bestFit="1" customWidth="1"/>
    <col min="7424" max="7424" width="11.88671875" customWidth="1"/>
    <col min="7425" max="7425" width="18" customWidth="1"/>
    <col min="7426" max="7426" width="11.6640625" customWidth="1"/>
    <col min="7427" max="7427" width="13.44140625" customWidth="1"/>
    <col min="7428" max="7428" width="12.44140625" customWidth="1"/>
    <col min="7429" max="7429" width="10.109375" customWidth="1"/>
    <col min="7430" max="7431" width="12.44140625" customWidth="1"/>
    <col min="7432" max="7432" width="15.44140625" bestFit="1" customWidth="1"/>
    <col min="7433" max="7433" width="17" customWidth="1"/>
    <col min="7434" max="7434" width="12.44140625" customWidth="1"/>
    <col min="7435" max="7435" width="25.88671875" bestFit="1" customWidth="1"/>
    <col min="7436" max="7438" width="18" customWidth="1"/>
    <col min="7439" max="7439" width="17.109375" customWidth="1"/>
    <col min="7440" max="7441" width="15.6640625" customWidth="1"/>
    <col min="7442" max="7442" width="15" customWidth="1"/>
    <col min="7443" max="7444" width="14.109375" bestFit="1" customWidth="1"/>
    <col min="7445" max="7445" width="11.6640625" bestFit="1" customWidth="1"/>
    <col min="7446" max="7446" width="11.88671875" bestFit="1" customWidth="1"/>
    <col min="7447" max="7447" width="12.5546875" customWidth="1"/>
    <col min="7448" max="7448" width="11.33203125" customWidth="1"/>
    <col min="7449" max="7449" width="11.5546875" customWidth="1"/>
    <col min="7450" max="7450" width="9.33203125" customWidth="1"/>
    <col min="7452" max="7452" width="11.6640625" bestFit="1" customWidth="1"/>
    <col min="7453" max="7453" width="10.6640625" bestFit="1" customWidth="1"/>
    <col min="7680" max="7680" width="11.88671875" customWidth="1"/>
    <col min="7681" max="7681" width="18" customWidth="1"/>
    <col min="7682" max="7682" width="11.6640625" customWidth="1"/>
    <col min="7683" max="7683" width="13.44140625" customWidth="1"/>
    <col min="7684" max="7684" width="12.44140625" customWidth="1"/>
    <col min="7685" max="7685" width="10.109375" customWidth="1"/>
    <col min="7686" max="7687" width="12.44140625" customWidth="1"/>
    <col min="7688" max="7688" width="15.44140625" bestFit="1" customWidth="1"/>
    <col min="7689" max="7689" width="17" customWidth="1"/>
    <col min="7690" max="7690" width="12.44140625" customWidth="1"/>
    <col min="7691" max="7691" width="25.88671875" bestFit="1" customWidth="1"/>
    <col min="7692" max="7694" width="18" customWidth="1"/>
    <col min="7695" max="7695" width="17.109375" customWidth="1"/>
    <col min="7696" max="7697" width="15.6640625" customWidth="1"/>
    <col min="7698" max="7698" width="15" customWidth="1"/>
    <col min="7699" max="7700" width="14.109375" bestFit="1" customWidth="1"/>
    <col min="7701" max="7701" width="11.6640625" bestFit="1" customWidth="1"/>
    <col min="7702" max="7702" width="11.88671875" bestFit="1" customWidth="1"/>
    <col min="7703" max="7703" width="12.5546875" customWidth="1"/>
    <col min="7704" max="7704" width="11.33203125" customWidth="1"/>
    <col min="7705" max="7705" width="11.5546875" customWidth="1"/>
    <col min="7706" max="7706" width="9.33203125" customWidth="1"/>
    <col min="7708" max="7708" width="11.6640625" bestFit="1" customWidth="1"/>
    <col min="7709" max="7709" width="10.6640625" bestFit="1" customWidth="1"/>
    <col min="7936" max="7936" width="11.88671875" customWidth="1"/>
    <col min="7937" max="7937" width="18" customWidth="1"/>
    <col min="7938" max="7938" width="11.6640625" customWidth="1"/>
    <col min="7939" max="7939" width="13.44140625" customWidth="1"/>
    <col min="7940" max="7940" width="12.44140625" customWidth="1"/>
    <col min="7941" max="7941" width="10.109375" customWidth="1"/>
    <col min="7942" max="7943" width="12.44140625" customWidth="1"/>
    <col min="7944" max="7944" width="15.44140625" bestFit="1" customWidth="1"/>
    <col min="7945" max="7945" width="17" customWidth="1"/>
    <col min="7946" max="7946" width="12.44140625" customWidth="1"/>
    <col min="7947" max="7947" width="25.88671875" bestFit="1" customWidth="1"/>
    <col min="7948" max="7950" width="18" customWidth="1"/>
    <col min="7951" max="7951" width="17.109375" customWidth="1"/>
    <col min="7952" max="7953" width="15.6640625" customWidth="1"/>
    <col min="7954" max="7954" width="15" customWidth="1"/>
    <col min="7955" max="7956" width="14.109375" bestFit="1" customWidth="1"/>
    <col min="7957" max="7957" width="11.6640625" bestFit="1" customWidth="1"/>
    <col min="7958" max="7958" width="11.88671875" bestFit="1" customWidth="1"/>
    <col min="7959" max="7959" width="12.5546875" customWidth="1"/>
    <col min="7960" max="7960" width="11.33203125" customWidth="1"/>
    <col min="7961" max="7961" width="11.5546875" customWidth="1"/>
    <col min="7962" max="7962" width="9.33203125" customWidth="1"/>
    <col min="7964" max="7964" width="11.6640625" bestFit="1" customWidth="1"/>
    <col min="7965" max="7965" width="10.6640625" bestFit="1" customWidth="1"/>
    <col min="8192" max="8192" width="11.88671875" customWidth="1"/>
    <col min="8193" max="8193" width="18" customWidth="1"/>
    <col min="8194" max="8194" width="11.6640625" customWidth="1"/>
    <col min="8195" max="8195" width="13.44140625" customWidth="1"/>
    <col min="8196" max="8196" width="12.44140625" customWidth="1"/>
    <col min="8197" max="8197" width="10.109375" customWidth="1"/>
    <col min="8198" max="8199" width="12.44140625" customWidth="1"/>
    <col min="8200" max="8200" width="15.44140625" bestFit="1" customWidth="1"/>
    <col min="8201" max="8201" width="17" customWidth="1"/>
    <col min="8202" max="8202" width="12.44140625" customWidth="1"/>
    <col min="8203" max="8203" width="25.88671875" bestFit="1" customWidth="1"/>
    <col min="8204" max="8206" width="18" customWidth="1"/>
    <col min="8207" max="8207" width="17.109375" customWidth="1"/>
    <col min="8208" max="8209" width="15.6640625" customWidth="1"/>
    <col min="8210" max="8210" width="15" customWidth="1"/>
    <col min="8211" max="8212" width="14.109375" bestFit="1" customWidth="1"/>
    <col min="8213" max="8213" width="11.6640625" bestFit="1" customWidth="1"/>
    <col min="8214" max="8214" width="11.88671875" bestFit="1" customWidth="1"/>
    <col min="8215" max="8215" width="12.5546875" customWidth="1"/>
    <col min="8216" max="8216" width="11.33203125" customWidth="1"/>
    <col min="8217" max="8217" width="11.5546875" customWidth="1"/>
    <col min="8218" max="8218" width="9.33203125" customWidth="1"/>
    <col min="8220" max="8220" width="11.6640625" bestFit="1" customWidth="1"/>
    <col min="8221" max="8221" width="10.6640625" bestFit="1" customWidth="1"/>
    <col min="8448" max="8448" width="11.88671875" customWidth="1"/>
    <col min="8449" max="8449" width="18" customWidth="1"/>
    <col min="8450" max="8450" width="11.6640625" customWidth="1"/>
    <col min="8451" max="8451" width="13.44140625" customWidth="1"/>
    <col min="8452" max="8452" width="12.44140625" customWidth="1"/>
    <col min="8453" max="8453" width="10.109375" customWidth="1"/>
    <col min="8454" max="8455" width="12.44140625" customWidth="1"/>
    <col min="8456" max="8456" width="15.44140625" bestFit="1" customWidth="1"/>
    <col min="8457" max="8457" width="17" customWidth="1"/>
    <col min="8458" max="8458" width="12.44140625" customWidth="1"/>
    <col min="8459" max="8459" width="25.88671875" bestFit="1" customWidth="1"/>
    <col min="8460" max="8462" width="18" customWidth="1"/>
    <col min="8463" max="8463" width="17.109375" customWidth="1"/>
    <col min="8464" max="8465" width="15.6640625" customWidth="1"/>
    <col min="8466" max="8466" width="15" customWidth="1"/>
    <col min="8467" max="8468" width="14.109375" bestFit="1" customWidth="1"/>
    <col min="8469" max="8469" width="11.6640625" bestFit="1" customWidth="1"/>
    <col min="8470" max="8470" width="11.88671875" bestFit="1" customWidth="1"/>
    <col min="8471" max="8471" width="12.5546875" customWidth="1"/>
    <col min="8472" max="8472" width="11.33203125" customWidth="1"/>
    <col min="8473" max="8473" width="11.5546875" customWidth="1"/>
    <col min="8474" max="8474" width="9.33203125" customWidth="1"/>
    <col min="8476" max="8476" width="11.6640625" bestFit="1" customWidth="1"/>
    <col min="8477" max="8477" width="10.6640625" bestFit="1" customWidth="1"/>
    <col min="8704" max="8704" width="11.88671875" customWidth="1"/>
    <col min="8705" max="8705" width="18" customWidth="1"/>
    <col min="8706" max="8706" width="11.6640625" customWidth="1"/>
    <col min="8707" max="8707" width="13.44140625" customWidth="1"/>
    <col min="8708" max="8708" width="12.44140625" customWidth="1"/>
    <col min="8709" max="8709" width="10.109375" customWidth="1"/>
    <col min="8710" max="8711" width="12.44140625" customWidth="1"/>
    <col min="8712" max="8712" width="15.44140625" bestFit="1" customWidth="1"/>
    <col min="8713" max="8713" width="17" customWidth="1"/>
    <col min="8714" max="8714" width="12.44140625" customWidth="1"/>
    <col min="8715" max="8715" width="25.88671875" bestFit="1" customWidth="1"/>
    <col min="8716" max="8718" width="18" customWidth="1"/>
    <col min="8719" max="8719" width="17.109375" customWidth="1"/>
    <col min="8720" max="8721" width="15.6640625" customWidth="1"/>
    <col min="8722" max="8722" width="15" customWidth="1"/>
    <col min="8723" max="8724" width="14.109375" bestFit="1" customWidth="1"/>
    <col min="8725" max="8725" width="11.6640625" bestFit="1" customWidth="1"/>
    <col min="8726" max="8726" width="11.88671875" bestFit="1" customWidth="1"/>
    <col min="8727" max="8727" width="12.5546875" customWidth="1"/>
    <col min="8728" max="8728" width="11.33203125" customWidth="1"/>
    <col min="8729" max="8729" width="11.5546875" customWidth="1"/>
    <col min="8730" max="8730" width="9.33203125" customWidth="1"/>
    <col min="8732" max="8732" width="11.6640625" bestFit="1" customWidth="1"/>
    <col min="8733" max="8733" width="10.6640625" bestFit="1" customWidth="1"/>
    <col min="8960" max="8960" width="11.88671875" customWidth="1"/>
    <col min="8961" max="8961" width="18" customWidth="1"/>
    <col min="8962" max="8962" width="11.6640625" customWidth="1"/>
    <col min="8963" max="8963" width="13.44140625" customWidth="1"/>
    <col min="8964" max="8964" width="12.44140625" customWidth="1"/>
    <col min="8965" max="8965" width="10.109375" customWidth="1"/>
    <col min="8966" max="8967" width="12.44140625" customWidth="1"/>
    <col min="8968" max="8968" width="15.44140625" bestFit="1" customWidth="1"/>
    <col min="8969" max="8969" width="17" customWidth="1"/>
    <col min="8970" max="8970" width="12.44140625" customWidth="1"/>
    <col min="8971" max="8971" width="25.88671875" bestFit="1" customWidth="1"/>
    <col min="8972" max="8974" width="18" customWidth="1"/>
    <col min="8975" max="8975" width="17.109375" customWidth="1"/>
    <col min="8976" max="8977" width="15.6640625" customWidth="1"/>
    <col min="8978" max="8978" width="15" customWidth="1"/>
    <col min="8979" max="8980" width="14.109375" bestFit="1" customWidth="1"/>
    <col min="8981" max="8981" width="11.6640625" bestFit="1" customWidth="1"/>
    <col min="8982" max="8982" width="11.88671875" bestFit="1" customWidth="1"/>
    <col min="8983" max="8983" width="12.5546875" customWidth="1"/>
    <col min="8984" max="8984" width="11.33203125" customWidth="1"/>
    <col min="8985" max="8985" width="11.5546875" customWidth="1"/>
    <col min="8986" max="8986" width="9.33203125" customWidth="1"/>
    <col min="8988" max="8988" width="11.6640625" bestFit="1" customWidth="1"/>
    <col min="8989" max="8989" width="10.6640625" bestFit="1" customWidth="1"/>
    <col min="9216" max="9216" width="11.88671875" customWidth="1"/>
    <col min="9217" max="9217" width="18" customWidth="1"/>
    <col min="9218" max="9218" width="11.6640625" customWidth="1"/>
    <col min="9219" max="9219" width="13.44140625" customWidth="1"/>
    <col min="9220" max="9220" width="12.44140625" customWidth="1"/>
    <col min="9221" max="9221" width="10.109375" customWidth="1"/>
    <col min="9222" max="9223" width="12.44140625" customWidth="1"/>
    <col min="9224" max="9224" width="15.44140625" bestFit="1" customWidth="1"/>
    <col min="9225" max="9225" width="17" customWidth="1"/>
    <col min="9226" max="9226" width="12.44140625" customWidth="1"/>
    <col min="9227" max="9227" width="25.88671875" bestFit="1" customWidth="1"/>
    <col min="9228" max="9230" width="18" customWidth="1"/>
    <col min="9231" max="9231" width="17.109375" customWidth="1"/>
    <col min="9232" max="9233" width="15.6640625" customWidth="1"/>
    <col min="9234" max="9234" width="15" customWidth="1"/>
    <col min="9235" max="9236" width="14.109375" bestFit="1" customWidth="1"/>
    <col min="9237" max="9237" width="11.6640625" bestFit="1" customWidth="1"/>
    <col min="9238" max="9238" width="11.88671875" bestFit="1" customWidth="1"/>
    <col min="9239" max="9239" width="12.5546875" customWidth="1"/>
    <col min="9240" max="9240" width="11.33203125" customWidth="1"/>
    <col min="9241" max="9241" width="11.5546875" customWidth="1"/>
    <col min="9242" max="9242" width="9.33203125" customWidth="1"/>
    <col min="9244" max="9244" width="11.6640625" bestFit="1" customWidth="1"/>
    <col min="9245" max="9245" width="10.6640625" bestFit="1" customWidth="1"/>
    <col min="9472" max="9472" width="11.88671875" customWidth="1"/>
    <col min="9473" max="9473" width="18" customWidth="1"/>
    <col min="9474" max="9474" width="11.6640625" customWidth="1"/>
    <col min="9475" max="9475" width="13.44140625" customWidth="1"/>
    <col min="9476" max="9476" width="12.44140625" customWidth="1"/>
    <col min="9477" max="9477" width="10.109375" customWidth="1"/>
    <col min="9478" max="9479" width="12.44140625" customWidth="1"/>
    <col min="9480" max="9480" width="15.44140625" bestFit="1" customWidth="1"/>
    <col min="9481" max="9481" width="17" customWidth="1"/>
    <col min="9482" max="9482" width="12.44140625" customWidth="1"/>
    <col min="9483" max="9483" width="25.88671875" bestFit="1" customWidth="1"/>
    <col min="9484" max="9486" width="18" customWidth="1"/>
    <col min="9487" max="9487" width="17.109375" customWidth="1"/>
    <col min="9488" max="9489" width="15.6640625" customWidth="1"/>
    <col min="9490" max="9490" width="15" customWidth="1"/>
    <col min="9491" max="9492" width="14.109375" bestFit="1" customWidth="1"/>
    <col min="9493" max="9493" width="11.6640625" bestFit="1" customWidth="1"/>
    <col min="9494" max="9494" width="11.88671875" bestFit="1" customWidth="1"/>
    <col min="9495" max="9495" width="12.5546875" customWidth="1"/>
    <col min="9496" max="9496" width="11.33203125" customWidth="1"/>
    <col min="9497" max="9497" width="11.5546875" customWidth="1"/>
    <col min="9498" max="9498" width="9.33203125" customWidth="1"/>
    <col min="9500" max="9500" width="11.6640625" bestFit="1" customWidth="1"/>
    <col min="9501" max="9501" width="10.6640625" bestFit="1" customWidth="1"/>
    <col min="9728" max="9728" width="11.88671875" customWidth="1"/>
    <col min="9729" max="9729" width="18" customWidth="1"/>
    <col min="9730" max="9730" width="11.6640625" customWidth="1"/>
    <col min="9731" max="9731" width="13.44140625" customWidth="1"/>
    <col min="9732" max="9732" width="12.44140625" customWidth="1"/>
    <col min="9733" max="9733" width="10.109375" customWidth="1"/>
    <col min="9734" max="9735" width="12.44140625" customWidth="1"/>
    <col min="9736" max="9736" width="15.44140625" bestFit="1" customWidth="1"/>
    <col min="9737" max="9737" width="17" customWidth="1"/>
    <col min="9738" max="9738" width="12.44140625" customWidth="1"/>
    <col min="9739" max="9739" width="25.88671875" bestFit="1" customWidth="1"/>
    <col min="9740" max="9742" width="18" customWidth="1"/>
    <col min="9743" max="9743" width="17.109375" customWidth="1"/>
    <col min="9744" max="9745" width="15.6640625" customWidth="1"/>
    <col min="9746" max="9746" width="15" customWidth="1"/>
    <col min="9747" max="9748" width="14.109375" bestFit="1" customWidth="1"/>
    <col min="9749" max="9749" width="11.6640625" bestFit="1" customWidth="1"/>
    <col min="9750" max="9750" width="11.88671875" bestFit="1" customWidth="1"/>
    <col min="9751" max="9751" width="12.5546875" customWidth="1"/>
    <col min="9752" max="9752" width="11.33203125" customWidth="1"/>
    <col min="9753" max="9753" width="11.5546875" customWidth="1"/>
    <col min="9754" max="9754" width="9.33203125" customWidth="1"/>
    <col min="9756" max="9756" width="11.6640625" bestFit="1" customWidth="1"/>
    <col min="9757" max="9757" width="10.6640625" bestFit="1" customWidth="1"/>
    <col min="9984" max="9984" width="11.88671875" customWidth="1"/>
    <col min="9985" max="9985" width="18" customWidth="1"/>
    <col min="9986" max="9986" width="11.6640625" customWidth="1"/>
    <col min="9987" max="9987" width="13.44140625" customWidth="1"/>
    <col min="9988" max="9988" width="12.44140625" customWidth="1"/>
    <col min="9989" max="9989" width="10.109375" customWidth="1"/>
    <col min="9990" max="9991" width="12.44140625" customWidth="1"/>
    <col min="9992" max="9992" width="15.44140625" bestFit="1" customWidth="1"/>
    <col min="9993" max="9993" width="17" customWidth="1"/>
    <col min="9994" max="9994" width="12.44140625" customWidth="1"/>
    <col min="9995" max="9995" width="25.88671875" bestFit="1" customWidth="1"/>
    <col min="9996" max="9998" width="18" customWidth="1"/>
    <col min="9999" max="9999" width="17.109375" customWidth="1"/>
    <col min="10000" max="10001" width="15.6640625" customWidth="1"/>
    <col min="10002" max="10002" width="15" customWidth="1"/>
    <col min="10003" max="10004" width="14.109375" bestFit="1" customWidth="1"/>
    <col min="10005" max="10005" width="11.6640625" bestFit="1" customWidth="1"/>
    <col min="10006" max="10006" width="11.88671875" bestFit="1" customWidth="1"/>
    <col min="10007" max="10007" width="12.5546875" customWidth="1"/>
    <col min="10008" max="10008" width="11.33203125" customWidth="1"/>
    <col min="10009" max="10009" width="11.5546875" customWidth="1"/>
    <col min="10010" max="10010" width="9.33203125" customWidth="1"/>
    <col min="10012" max="10012" width="11.6640625" bestFit="1" customWidth="1"/>
    <col min="10013" max="10013" width="10.6640625" bestFit="1" customWidth="1"/>
    <col min="10240" max="10240" width="11.88671875" customWidth="1"/>
    <col min="10241" max="10241" width="18" customWidth="1"/>
    <col min="10242" max="10242" width="11.6640625" customWidth="1"/>
    <col min="10243" max="10243" width="13.44140625" customWidth="1"/>
    <col min="10244" max="10244" width="12.44140625" customWidth="1"/>
    <col min="10245" max="10245" width="10.109375" customWidth="1"/>
    <col min="10246" max="10247" width="12.44140625" customWidth="1"/>
    <col min="10248" max="10248" width="15.44140625" bestFit="1" customWidth="1"/>
    <col min="10249" max="10249" width="17" customWidth="1"/>
    <col min="10250" max="10250" width="12.44140625" customWidth="1"/>
    <col min="10251" max="10251" width="25.88671875" bestFit="1" customWidth="1"/>
    <col min="10252" max="10254" width="18" customWidth="1"/>
    <col min="10255" max="10255" width="17.109375" customWidth="1"/>
    <col min="10256" max="10257" width="15.6640625" customWidth="1"/>
    <col min="10258" max="10258" width="15" customWidth="1"/>
    <col min="10259" max="10260" width="14.109375" bestFit="1" customWidth="1"/>
    <col min="10261" max="10261" width="11.6640625" bestFit="1" customWidth="1"/>
    <col min="10262" max="10262" width="11.88671875" bestFit="1" customWidth="1"/>
    <col min="10263" max="10263" width="12.5546875" customWidth="1"/>
    <col min="10264" max="10264" width="11.33203125" customWidth="1"/>
    <col min="10265" max="10265" width="11.5546875" customWidth="1"/>
    <col min="10266" max="10266" width="9.33203125" customWidth="1"/>
    <col min="10268" max="10268" width="11.6640625" bestFit="1" customWidth="1"/>
    <col min="10269" max="10269" width="10.6640625" bestFit="1" customWidth="1"/>
    <col min="10496" max="10496" width="11.88671875" customWidth="1"/>
    <col min="10497" max="10497" width="18" customWidth="1"/>
    <col min="10498" max="10498" width="11.6640625" customWidth="1"/>
    <col min="10499" max="10499" width="13.44140625" customWidth="1"/>
    <col min="10500" max="10500" width="12.44140625" customWidth="1"/>
    <col min="10501" max="10501" width="10.109375" customWidth="1"/>
    <col min="10502" max="10503" width="12.44140625" customWidth="1"/>
    <col min="10504" max="10504" width="15.44140625" bestFit="1" customWidth="1"/>
    <col min="10505" max="10505" width="17" customWidth="1"/>
    <col min="10506" max="10506" width="12.44140625" customWidth="1"/>
    <col min="10507" max="10507" width="25.88671875" bestFit="1" customWidth="1"/>
    <col min="10508" max="10510" width="18" customWidth="1"/>
    <col min="10511" max="10511" width="17.109375" customWidth="1"/>
    <col min="10512" max="10513" width="15.6640625" customWidth="1"/>
    <col min="10514" max="10514" width="15" customWidth="1"/>
    <col min="10515" max="10516" width="14.109375" bestFit="1" customWidth="1"/>
    <col min="10517" max="10517" width="11.6640625" bestFit="1" customWidth="1"/>
    <col min="10518" max="10518" width="11.88671875" bestFit="1" customWidth="1"/>
    <col min="10519" max="10519" width="12.5546875" customWidth="1"/>
    <col min="10520" max="10520" width="11.33203125" customWidth="1"/>
    <col min="10521" max="10521" width="11.5546875" customWidth="1"/>
    <col min="10522" max="10522" width="9.33203125" customWidth="1"/>
    <col min="10524" max="10524" width="11.6640625" bestFit="1" customWidth="1"/>
    <col min="10525" max="10525" width="10.6640625" bestFit="1" customWidth="1"/>
    <col min="10752" max="10752" width="11.88671875" customWidth="1"/>
    <col min="10753" max="10753" width="18" customWidth="1"/>
    <col min="10754" max="10754" width="11.6640625" customWidth="1"/>
    <col min="10755" max="10755" width="13.44140625" customWidth="1"/>
    <col min="10756" max="10756" width="12.44140625" customWidth="1"/>
    <col min="10757" max="10757" width="10.109375" customWidth="1"/>
    <col min="10758" max="10759" width="12.44140625" customWidth="1"/>
    <col min="10760" max="10760" width="15.44140625" bestFit="1" customWidth="1"/>
    <col min="10761" max="10761" width="17" customWidth="1"/>
    <col min="10762" max="10762" width="12.44140625" customWidth="1"/>
    <col min="10763" max="10763" width="25.88671875" bestFit="1" customWidth="1"/>
    <col min="10764" max="10766" width="18" customWidth="1"/>
    <col min="10767" max="10767" width="17.109375" customWidth="1"/>
    <col min="10768" max="10769" width="15.6640625" customWidth="1"/>
    <col min="10770" max="10770" width="15" customWidth="1"/>
    <col min="10771" max="10772" width="14.109375" bestFit="1" customWidth="1"/>
    <col min="10773" max="10773" width="11.6640625" bestFit="1" customWidth="1"/>
    <col min="10774" max="10774" width="11.88671875" bestFit="1" customWidth="1"/>
    <col min="10775" max="10775" width="12.5546875" customWidth="1"/>
    <col min="10776" max="10776" width="11.33203125" customWidth="1"/>
    <col min="10777" max="10777" width="11.5546875" customWidth="1"/>
    <col min="10778" max="10778" width="9.33203125" customWidth="1"/>
    <col min="10780" max="10780" width="11.6640625" bestFit="1" customWidth="1"/>
    <col min="10781" max="10781" width="10.6640625" bestFit="1" customWidth="1"/>
    <col min="11008" max="11008" width="11.88671875" customWidth="1"/>
    <col min="11009" max="11009" width="18" customWidth="1"/>
    <col min="11010" max="11010" width="11.6640625" customWidth="1"/>
    <col min="11011" max="11011" width="13.44140625" customWidth="1"/>
    <col min="11012" max="11012" width="12.44140625" customWidth="1"/>
    <col min="11013" max="11013" width="10.109375" customWidth="1"/>
    <col min="11014" max="11015" width="12.44140625" customWidth="1"/>
    <col min="11016" max="11016" width="15.44140625" bestFit="1" customWidth="1"/>
    <col min="11017" max="11017" width="17" customWidth="1"/>
    <col min="11018" max="11018" width="12.44140625" customWidth="1"/>
    <col min="11019" max="11019" width="25.88671875" bestFit="1" customWidth="1"/>
    <col min="11020" max="11022" width="18" customWidth="1"/>
    <col min="11023" max="11023" width="17.109375" customWidth="1"/>
    <col min="11024" max="11025" width="15.6640625" customWidth="1"/>
    <col min="11026" max="11026" width="15" customWidth="1"/>
    <col min="11027" max="11028" width="14.109375" bestFit="1" customWidth="1"/>
    <col min="11029" max="11029" width="11.6640625" bestFit="1" customWidth="1"/>
    <col min="11030" max="11030" width="11.88671875" bestFit="1" customWidth="1"/>
    <col min="11031" max="11031" width="12.5546875" customWidth="1"/>
    <col min="11032" max="11032" width="11.33203125" customWidth="1"/>
    <col min="11033" max="11033" width="11.5546875" customWidth="1"/>
    <col min="11034" max="11034" width="9.33203125" customWidth="1"/>
    <col min="11036" max="11036" width="11.6640625" bestFit="1" customWidth="1"/>
    <col min="11037" max="11037" width="10.6640625" bestFit="1" customWidth="1"/>
    <col min="11264" max="11264" width="11.88671875" customWidth="1"/>
    <col min="11265" max="11265" width="18" customWidth="1"/>
    <col min="11266" max="11266" width="11.6640625" customWidth="1"/>
    <col min="11267" max="11267" width="13.44140625" customWidth="1"/>
    <col min="11268" max="11268" width="12.44140625" customWidth="1"/>
    <col min="11269" max="11269" width="10.109375" customWidth="1"/>
    <col min="11270" max="11271" width="12.44140625" customWidth="1"/>
    <col min="11272" max="11272" width="15.44140625" bestFit="1" customWidth="1"/>
    <col min="11273" max="11273" width="17" customWidth="1"/>
    <col min="11274" max="11274" width="12.44140625" customWidth="1"/>
    <col min="11275" max="11275" width="25.88671875" bestFit="1" customWidth="1"/>
    <col min="11276" max="11278" width="18" customWidth="1"/>
    <col min="11279" max="11279" width="17.109375" customWidth="1"/>
    <col min="11280" max="11281" width="15.6640625" customWidth="1"/>
    <col min="11282" max="11282" width="15" customWidth="1"/>
    <col min="11283" max="11284" width="14.109375" bestFit="1" customWidth="1"/>
    <col min="11285" max="11285" width="11.6640625" bestFit="1" customWidth="1"/>
    <col min="11286" max="11286" width="11.88671875" bestFit="1" customWidth="1"/>
    <col min="11287" max="11287" width="12.5546875" customWidth="1"/>
    <col min="11288" max="11288" width="11.33203125" customWidth="1"/>
    <col min="11289" max="11289" width="11.5546875" customWidth="1"/>
    <col min="11290" max="11290" width="9.33203125" customWidth="1"/>
    <col min="11292" max="11292" width="11.6640625" bestFit="1" customWidth="1"/>
    <col min="11293" max="11293" width="10.6640625" bestFit="1" customWidth="1"/>
    <col min="11520" max="11520" width="11.88671875" customWidth="1"/>
    <col min="11521" max="11521" width="18" customWidth="1"/>
    <col min="11522" max="11522" width="11.6640625" customWidth="1"/>
    <col min="11523" max="11523" width="13.44140625" customWidth="1"/>
    <col min="11524" max="11524" width="12.44140625" customWidth="1"/>
    <col min="11525" max="11525" width="10.109375" customWidth="1"/>
    <col min="11526" max="11527" width="12.44140625" customWidth="1"/>
    <col min="11528" max="11528" width="15.44140625" bestFit="1" customWidth="1"/>
    <col min="11529" max="11529" width="17" customWidth="1"/>
    <col min="11530" max="11530" width="12.44140625" customWidth="1"/>
    <col min="11531" max="11531" width="25.88671875" bestFit="1" customWidth="1"/>
    <col min="11532" max="11534" width="18" customWidth="1"/>
    <col min="11535" max="11535" width="17.109375" customWidth="1"/>
    <col min="11536" max="11537" width="15.6640625" customWidth="1"/>
    <col min="11538" max="11538" width="15" customWidth="1"/>
    <col min="11539" max="11540" width="14.109375" bestFit="1" customWidth="1"/>
    <col min="11541" max="11541" width="11.6640625" bestFit="1" customWidth="1"/>
    <col min="11542" max="11542" width="11.88671875" bestFit="1" customWidth="1"/>
    <col min="11543" max="11543" width="12.5546875" customWidth="1"/>
    <col min="11544" max="11544" width="11.33203125" customWidth="1"/>
    <col min="11545" max="11545" width="11.5546875" customWidth="1"/>
    <col min="11546" max="11546" width="9.33203125" customWidth="1"/>
    <col min="11548" max="11548" width="11.6640625" bestFit="1" customWidth="1"/>
    <col min="11549" max="11549" width="10.6640625" bestFit="1" customWidth="1"/>
    <col min="11776" max="11776" width="11.88671875" customWidth="1"/>
    <col min="11777" max="11777" width="18" customWidth="1"/>
    <col min="11778" max="11778" width="11.6640625" customWidth="1"/>
    <col min="11779" max="11779" width="13.44140625" customWidth="1"/>
    <col min="11780" max="11780" width="12.44140625" customWidth="1"/>
    <col min="11781" max="11781" width="10.109375" customWidth="1"/>
    <col min="11782" max="11783" width="12.44140625" customWidth="1"/>
    <col min="11784" max="11784" width="15.44140625" bestFit="1" customWidth="1"/>
    <col min="11785" max="11785" width="17" customWidth="1"/>
    <col min="11786" max="11786" width="12.44140625" customWidth="1"/>
    <col min="11787" max="11787" width="25.88671875" bestFit="1" customWidth="1"/>
    <col min="11788" max="11790" width="18" customWidth="1"/>
    <col min="11791" max="11791" width="17.109375" customWidth="1"/>
    <col min="11792" max="11793" width="15.6640625" customWidth="1"/>
    <col min="11794" max="11794" width="15" customWidth="1"/>
    <col min="11795" max="11796" width="14.109375" bestFit="1" customWidth="1"/>
    <col min="11797" max="11797" width="11.6640625" bestFit="1" customWidth="1"/>
    <col min="11798" max="11798" width="11.88671875" bestFit="1" customWidth="1"/>
    <col min="11799" max="11799" width="12.5546875" customWidth="1"/>
    <col min="11800" max="11800" width="11.33203125" customWidth="1"/>
    <col min="11801" max="11801" width="11.5546875" customWidth="1"/>
    <col min="11802" max="11802" width="9.33203125" customWidth="1"/>
    <col min="11804" max="11804" width="11.6640625" bestFit="1" customWidth="1"/>
    <col min="11805" max="11805" width="10.6640625" bestFit="1" customWidth="1"/>
    <col min="12032" max="12032" width="11.88671875" customWidth="1"/>
    <col min="12033" max="12033" width="18" customWidth="1"/>
    <col min="12034" max="12034" width="11.6640625" customWidth="1"/>
    <col min="12035" max="12035" width="13.44140625" customWidth="1"/>
    <col min="12036" max="12036" width="12.44140625" customWidth="1"/>
    <col min="12037" max="12037" width="10.109375" customWidth="1"/>
    <col min="12038" max="12039" width="12.44140625" customWidth="1"/>
    <col min="12040" max="12040" width="15.44140625" bestFit="1" customWidth="1"/>
    <col min="12041" max="12041" width="17" customWidth="1"/>
    <col min="12042" max="12042" width="12.44140625" customWidth="1"/>
    <col min="12043" max="12043" width="25.88671875" bestFit="1" customWidth="1"/>
    <col min="12044" max="12046" width="18" customWidth="1"/>
    <col min="12047" max="12047" width="17.109375" customWidth="1"/>
    <col min="12048" max="12049" width="15.6640625" customWidth="1"/>
    <col min="12050" max="12050" width="15" customWidth="1"/>
    <col min="12051" max="12052" width="14.109375" bestFit="1" customWidth="1"/>
    <col min="12053" max="12053" width="11.6640625" bestFit="1" customWidth="1"/>
    <col min="12054" max="12054" width="11.88671875" bestFit="1" customWidth="1"/>
    <col min="12055" max="12055" width="12.5546875" customWidth="1"/>
    <col min="12056" max="12056" width="11.33203125" customWidth="1"/>
    <col min="12057" max="12057" width="11.5546875" customWidth="1"/>
    <col min="12058" max="12058" width="9.33203125" customWidth="1"/>
    <col min="12060" max="12060" width="11.6640625" bestFit="1" customWidth="1"/>
    <col min="12061" max="12061" width="10.6640625" bestFit="1" customWidth="1"/>
    <col min="12288" max="12288" width="11.88671875" customWidth="1"/>
    <col min="12289" max="12289" width="18" customWidth="1"/>
    <col min="12290" max="12290" width="11.6640625" customWidth="1"/>
    <col min="12291" max="12291" width="13.44140625" customWidth="1"/>
    <col min="12292" max="12292" width="12.44140625" customWidth="1"/>
    <col min="12293" max="12293" width="10.109375" customWidth="1"/>
    <col min="12294" max="12295" width="12.44140625" customWidth="1"/>
    <col min="12296" max="12296" width="15.44140625" bestFit="1" customWidth="1"/>
    <col min="12297" max="12297" width="17" customWidth="1"/>
    <col min="12298" max="12298" width="12.44140625" customWidth="1"/>
    <col min="12299" max="12299" width="25.88671875" bestFit="1" customWidth="1"/>
    <col min="12300" max="12302" width="18" customWidth="1"/>
    <col min="12303" max="12303" width="17.109375" customWidth="1"/>
    <col min="12304" max="12305" width="15.6640625" customWidth="1"/>
    <col min="12306" max="12306" width="15" customWidth="1"/>
    <col min="12307" max="12308" width="14.109375" bestFit="1" customWidth="1"/>
    <col min="12309" max="12309" width="11.6640625" bestFit="1" customWidth="1"/>
    <col min="12310" max="12310" width="11.88671875" bestFit="1" customWidth="1"/>
    <col min="12311" max="12311" width="12.5546875" customWidth="1"/>
    <col min="12312" max="12312" width="11.33203125" customWidth="1"/>
    <col min="12313" max="12313" width="11.5546875" customWidth="1"/>
    <col min="12314" max="12314" width="9.33203125" customWidth="1"/>
    <col min="12316" max="12316" width="11.6640625" bestFit="1" customWidth="1"/>
    <col min="12317" max="12317" width="10.6640625" bestFit="1" customWidth="1"/>
    <col min="12544" max="12544" width="11.88671875" customWidth="1"/>
    <col min="12545" max="12545" width="18" customWidth="1"/>
    <col min="12546" max="12546" width="11.6640625" customWidth="1"/>
    <col min="12547" max="12547" width="13.44140625" customWidth="1"/>
    <col min="12548" max="12548" width="12.44140625" customWidth="1"/>
    <col min="12549" max="12549" width="10.109375" customWidth="1"/>
    <col min="12550" max="12551" width="12.44140625" customWidth="1"/>
    <col min="12552" max="12552" width="15.44140625" bestFit="1" customWidth="1"/>
    <col min="12553" max="12553" width="17" customWidth="1"/>
    <col min="12554" max="12554" width="12.44140625" customWidth="1"/>
    <col min="12555" max="12555" width="25.88671875" bestFit="1" customWidth="1"/>
    <col min="12556" max="12558" width="18" customWidth="1"/>
    <col min="12559" max="12559" width="17.109375" customWidth="1"/>
    <col min="12560" max="12561" width="15.6640625" customWidth="1"/>
    <col min="12562" max="12562" width="15" customWidth="1"/>
    <col min="12563" max="12564" width="14.109375" bestFit="1" customWidth="1"/>
    <col min="12565" max="12565" width="11.6640625" bestFit="1" customWidth="1"/>
    <col min="12566" max="12566" width="11.88671875" bestFit="1" customWidth="1"/>
    <col min="12567" max="12567" width="12.5546875" customWidth="1"/>
    <col min="12568" max="12568" width="11.33203125" customWidth="1"/>
    <col min="12569" max="12569" width="11.5546875" customWidth="1"/>
    <col min="12570" max="12570" width="9.33203125" customWidth="1"/>
    <col min="12572" max="12572" width="11.6640625" bestFit="1" customWidth="1"/>
    <col min="12573" max="12573" width="10.6640625" bestFit="1" customWidth="1"/>
    <col min="12800" max="12800" width="11.88671875" customWidth="1"/>
    <col min="12801" max="12801" width="18" customWidth="1"/>
    <col min="12802" max="12802" width="11.6640625" customWidth="1"/>
    <col min="12803" max="12803" width="13.44140625" customWidth="1"/>
    <col min="12804" max="12804" width="12.44140625" customWidth="1"/>
    <col min="12805" max="12805" width="10.109375" customWidth="1"/>
    <col min="12806" max="12807" width="12.44140625" customWidth="1"/>
    <col min="12808" max="12808" width="15.44140625" bestFit="1" customWidth="1"/>
    <col min="12809" max="12809" width="17" customWidth="1"/>
    <col min="12810" max="12810" width="12.44140625" customWidth="1"/>
    <col min="12811" max="12811" width="25.88671875" bestFit="1" customWidth="1"/>
    <col min="12812" max="12814" width="18" customWidth="1"/>
    <col min="12815" max="12815" width="17.109375" customWidth="1"/>
    <col min="12816" max="12817" width="15.6640625" customWidth="1"/>
    <col min="12818" max="12818" width="15" customWidth="1"/>
    <col min="12819" max="12820" width="14.109375" bestFit="1" customWidth="1"/>
    <col min="12821" max="12821" width="11.6640625" bestFit="1" customWidth="1"/>
    <col min="12822" max="12822" width="11.88671875" bestFit="1" customWidth="1"/>
    <col min="12823" max="12823" width="12.5546875" customWidth="1"/>
    <col min="12824" max="12824" width="11.33203125" customWidth="1"/>
    <col min="12825" max="12825" width="11.5546875" customWidth="1"/>
    <col min="12826" max="12826" width="9.33203125" customWidth="1"/>
    <col min="12828" max="12828" width="11.6640625" bestFit="1" customWidth="1"/>
    <col min="12829" max="12829" width="10.6640625" bestFit="1" customWidth="1"/>
    <col min="13056" max="13056" width="11.88671875" customWidth="1"/>
    <col min="13057" max="13057" width="18" customWidth="1"/>
    <col min="13058" max="13058" width="11.6640625" customWidth="1"/>
    <col min="13059" max="13059" width="13.44140625" customWidth="1"/>
    <col min="13060" max="13060" width="12.44140625" customWidth="1"/>
    <col min="13061" max="13061" width="10.109375" customWidth="1"/>
    <col min="13062" max="13063" width="12.44140625" customWidth="1"/>
    <col min="13064" max="13064" width="15.44140625" bestFit="1" customWidth="1"/>
    <col min="13065" max="13065" width="17" customWidth="1"/>
    <col min="13066" max="13066" width="12.44140625" customWidth="1"/>
    <col min="13067" max="13067" width="25.88671875" bestFit="1" customWidth="1"/>
    <col min="13068" max="13070" width="18" customWidth="1"/>
    <col min="13071" max="13071" width="17.109375" customWidth="1"/>
    <col min="13072" max="13073" width="15.6640625" customWidth="1"/>
    <col min="13074" max="13074" width="15" customWidth="1"/>
    <col min="13075" max="13076" width="14.109375" bestFit="1" customWidth="1"/>
    <col min="13077" max="13077" width="11.6640625" bestFit="1" customWidth="1"/>
    <col min="13078" max="13078" width="11.88671875" bestFit="1" customWidth="1"/>
    <col min="13079" max="13079" width="12.5546875" customWidth="1"/>
    <col min="13080" max="13080" width="11.33203125" customWidth="1"/>
    <col min="13081" max="13081" width="11.5546875" customWidth="1"/>
    <col min="13082" max="13082" width="9.33203125" customWidth="1"/>
    <col min="13084" max="13084" width="11.6640625" bestFit="1" customWidth="1"/>
    <col min="13085" max="13085" width="10.6640625" bestFit="1" customWidth="1"/>
    <col min="13312" max="13312" width="11.88671875" customWidth="1"/>
    <col min="13313" max="13313" width="18" customWidth="1"/>
    <col min="13314" max="13314" width="11.6640625" customWidth="1"/>
    <col min="13315" max="13315" width="13.44140625" customWidth="1"/>
    <col min="13316" max="13316" width="12.44140625" customWidth="1"/>
    <col min="13317" max="13317" width="10.109375" customWidth="1"/>
    <col min="13318" max="13319" width="12.44140625" customWidth="1"/>
    <col min="13320" max="13320" width="15.44140625" bestFit="1" customWidth="1"/>
    <col min="13321" max="13321" width="17" customWidth="1"/>
    <col min="13322" max="13322" width="12.44140625" customWidth="1"/>
    <col min="13323" max="13323" width="25.88671875" bestFit="1" customWidth="1"/>
    <col min="13324" max="13326" width="18" customWidth="1"/>
    <col min="13327" max="13327" width="17.109375" customWidth="1"/>
    <col min="13328" max="13329" width="15.6640625" customWidth="1"/>
    <col min="13330" max="13330" width="15" customWidth="1"/>
    <col min="13331" max="13332" width="14.109375" bestFit="1" customWidth="1"/>
    <col min="13333" max="13333" width="11.6640625" bestFit="1" customWidth="1"/>
    <col min="13334" max="13334" width="11.88671875" bestFit="1" customWidth="1"/>
    <col min="13335" max="13335" width="12.5546875" customWidth="1"/>
    <col min="13336" max="13336" width="11.33203125" customWidth="1"/>
    <col min="13337" max="13337" width="11.5546875" customWidth="1"/>
    <col min="13338" max="13338" width="9.33203125" customWidth="1"/>
    <col min="13340" max="13340" width="11.6640625" bestFit="1" customWidth="1"/>
    <col min="13341" max="13341" width="10.6640625" bestFit="1" customWidth="1"/>
    <col min="13568" max="13568" width="11.88671875" customWidth="1"/>
    <col min="13569" max="13569" width="18" customWidth="1"/>
    <col min="13570" max="13570" width="11.6640625" customWidth="1"/>
    <col min="13571" max="13571" width="13.44140625" customWidth="1"/>
    <col min="13572" max="13572" width="12.44140625" customWidth="1"/>
    <col min="13573" max="13573" width="10.109375" customWidth="1"/>
    <col min="13574" max="13575" width="12.44140625" customWidth="1"/>
    <col min="13576" max="13576" width="15.44140625" bestFit="1" customWidth="1"/>
    <col min="13577" max="13577" width="17" customWidth="1"/>
    <col min="13578" max="13578" width="12.44140625" customWidth="1"/>
    <col min="13579" max="13579" width="25.88671875" bestFit="1" customWidth="1"/>
    <col min="13580" max="13582" width="18" customWidth="1"/>
    <col min="13583" max="13583" width="17.109375" customWidth="1"/>
    <col min="13584" max="13585" width="15.6640625" customWidth="1"/>
    <col min="13586" max="13586" width="15" customWidth="1"/>
    <col min="13587" max="13588" width="14.109375" bestFit="1" customWidth="1"/>
    <col min="13589" max="13589" width="11.6640625" bestFit="1" customWidth="1"/>
    <col min="13590" max="13590" width="11.88671875" bestFit="1" customWidth="1"/>
    <col min="13591" max="13591" width="12.5546875" customWidth="1"/>
    <col min="13592" max="13592" width="11.33203125" customWidth="1"/>
    <col min="13593" max="13593" width="11.5546875" customWidth="1"/>
    <col min="13594" max="13594" width="9.33203125" customWidth="1"/>
    <col min="13596" max="13596" width="11.6640625" bestFit="1" customWidth="1"/>
    <col min="13597" max="13597" width="10.6640625" bestFit="1" customWidth="1"/>
    <col min="13824" max="13824" width="11.88671875" customWidth="1"/>
    <col min="13825" max="13825" width="18" customWidth="1"/>
    <col min="13826" max="13826" width="11.6640625" customWidth="1"/>
    <col min="13827" max="13827" width="13.44140625" customWidth="1"/>
    <col min="13828" max="13828" width="12.44140625" customWidth="1"/>
    <col min="13829" max="13829" width="10.109375" customWidth="1"/>
    <col min="13830" max="13831" width="12.44140625" customWidth="1"/>
    <col min="13832" max="13832" width="15.44140625" bestFit="1" customWidth="1"/>
    <col min="13833" max="13833" width="17" customWidth="1"/>
    <col min="13834" max="13834" width="12.44140625" customWidth="1"/>
    <col min="13835" max="13835" width="25.88671875" bestFit="1" customWidth="1"/>
    <col min="13836" max="13838" width="18" customWidth="1"/>
    <col min="13839" max="13839" width="17.109375" customWidth="1"/>
    <col min="13840" max="13841" width="15.6640625" customWidth="1"/>
    <col min="13842" max="13842" width="15" customWidth="1"/>
    <col min="13843" max="13844" width="14.109375" bestFit="1" customWidth="1"/>
    <col min="13845" max="13845" width="11.6640625" bestFit="1" customWidth="1"/>
    <col min="13846" max="13846" width="11.88671875" bestFit="1" customWidth="1"/>
    <col min="13847" max="13847" width="12.5546875" customWidth="1"/>
    <col min="13848" max="13848" width="11.33203125" customWidth="1"/>
    <col min="13849" max="13849" width="11.5546875" customWidth="1"/>
    <col min="13850" max="13850" width="9.33203125" customWidth="1"/>
    <col min="13852" max="13852" width="11.6640625" bestFit="1" customWidth="1"/>
    <col min="13853" max="13853" width="10.6640625" bestFit="1" customWidth="1"/>
    <col min="14080" max="14080" width="11.88671875" customWidth="1"/>
    <col min="14081" max="14081" width="18" customWidth="1"/>
    <col min="14082" max="14082" width="11.6640625" customWidth="1"/>
    <col min="14083" max="14083" width="13.44140625" customWidth="1"/>
    <col min="14084" max="14084" width="12.44140625" customWidth="1"/>
    <col min="14085" max="14085" width="10.109375" customWidth="1"/>
    <col min="14086" max="14087" width="12.44140625" customWidth="1"/>
    <col min="14088" max="14088" width="15.44140625" bestFit="1" customWidth="1"/>
    <col min="14089" max="14089" width="17" customWidth="1"/>
    <col min="14090" max="14090" width="12.44140625" customWidth="1"/>
    <col min="14091" max="14091" width="25.88671875" bestFit="1" customWidth="1"/>
    <col min="14092" max="14094" width="18" customWidth="1"/>
    <col min="14095" max="14095" width="17.109375" customWidth="1"/>
    <col min="14096" max="14097" width="15.6640625" customWidth="1"/>
    <col min="14098" max="14098" width="15" customWidth="1"/>
    <col min="14099" max="14100" width="14.109375" bestFit="1" customWidth="1"/>
    <col min="14101" max="14101" width="11.6640625" bestFit="1" customWidth="1"/>
    <col min="14102" max="14102" width="11.88671875" bestFit="1" customWidth="1"/>
    <col min="14103" max="14103" width="12.5546875" customWidth="1"/>
    <col min="14104" max="14104" width="11.33203125" customWidth="1"/>
    <col min="14105" max="14105" width="11.5546875" customWidth="1"/>
    <col min="14106" max="14106" width="9.33203125" customWidth="1"/>
    <col min="14108" max="14108" width="11.6640625" bestFit="1" customWidth="1"/>
    <col min="14109" max="14109" width="10.6640625" bestFit="1" customWidth="1"/>
    <col min="14336" max="14336" width="11.88671875" customWidth="1"/>
    <col min="14337" max="14337" width="18" customWidth="1"/>
    <col min="14338" max="14338" width="11.6640625" customWidth="1"/>
    <col min="14339" max="14339" width="13.44140625" customWidth="1"/>
    <col min="14340" max="14340" width="12.44140625" customWidth="1"/>
    <col min="14341" max="14341" width="10.109375" customWidth="1"/>
    <col min="14342" max="14343" width="12.44140625" customWidth="1"/>
    <col min="14344" max="14344" width="15.44140625" bestFit="1" customWidth="1"/>
    <col min="14345" max="14345" width="17" customWidth="1"/>
    <col min="14346" max="14346" width="12.44140625" customWidth="1"/>
    <col min="14347" max="14347" width="25.88671875" bestFit="1" customWidth="1"/>
    <col min="14348" max="14350" width="18" customWidth="1"/>
    <col min="14351" max="14351" width="17.109375" customWidth="1"/>
    <col min="14352" max="14353" width="15.6640625" customWidth="1"/>
    <col min="14354" max="14354" width="15" customWidth="1"/>
    <col min="14355" max="14356" width="14.109375" bestFit="1" customWidth="1"/>
    <col min="14357" max="14357" width="11.6640625" bestFit="1" customWidth="1"/>
    <col min="14358" max="14358" width="11.88671875" bestFit="1" customWidth="1"/>
    <col min="14359" max="14359" width="12.5546875" customWidth="1"/>
    <col min="14360" max="14360" width="11.33203125" customWidth="1"/>
    <col min="14361" max="14361" width="11.5546875" customWidth="1"/>
    <col min="14362" max="14362" width="9.33203125" customWidth="1"/>
    <col min="14364" max="14364" width="11.6640625" bestFit="1" customWidth="1"/>
    <col min="14365" max="14365" width="10.6640625" bestFit="1" customWidth="1"/>
    <col min="14592" max="14592" width="11.88671875" customWidth="1"/>
    <col min="14593" max="14593" width="18" customWidth="1"/>
    <col min="14594" max="14594" width="11.6640625" customWidth="1"/>
    <col min="14595" max="14595" width="13.44140625" customWidth="1"/>
    <col min="14596" max="14596" width="12.44140625" customWidth="1"/>
    <col min="14597" max="14597" width="10.109375" customWidth="1"/>
    <col min="14598" max="14599" width="12.44140625" customWidth="1"/>
    <col min="14600" max="14600" width="15.44140625" bestFit="1" customWidth="1"/>
    <col min="14601" max="14601" width="17" customWidth="1"/>
    <col min="14602" max="14602" width="12.44140625" customWidth="1"/>
    <col min="14603" max="14603" width="25.88671875" bestFit="1" customWidth="1"/>
    <col min="14604" max="14606" width="18" customWidth="1"/>
    <col min="14607" max="14607" width="17.109375" customWidth="1"/>
    <col min="14608" max="14609" width="15.6640625" customWidth="1"/>
    <col min="14610" max="14610" width="15" customWidth="1"/>
    <col min="14611" max="14612" width="14.109375" bestFit="1" customWidth="1"/>
    <col min="14613" max="14613" width="11.6640625" bestFit="1" customWidth="1"/>
    <col min="14614" max="14614" width="11.88671875" bestFit="1" customWidth="1"/>
    <col min="14615" max="14615" width="12.5546875" customWidth="1"/>
    <col min="14616" max="14616" width="11.33203125" customWidth="1"/>
    <col min="14617" max="14617" width="11.5546875" customWidth="1"/>
    <col min="14618" max="14618" width="9.33203125" customWidth="1"/>
    <col min="14620" max="14620" width="11.6640625" bestFit="1" customWidth="1"/>
    <col min="14621" max="14621" width="10.6640625" bestFit="1" customWidth="1"/>
    <col min="14848" max="14848" width="11.88671875" customWidth="1"/>
    <col min="14849" max="14849" width="18" customWidth="1"/>
    <col min="14850" max="14850" width="11.6640625" customWidth="1"/>
    <col min="14851" max="14851" width="13.44140625" customWidth="1"/>
    <col min="14852" max="14852" width="12.44140625" customWidth="1"/>
    <col min="14853" max="14853" width="10.109375" customWidth="1"/>
    <col min="14854" max="14855" width="12.44140625" customWidth="1"/>
    <col min="14856" max="14856" width="15.44140625" bestFit="1" customWidth="1"/>
    <col min="14857" max="14857" width="17" customWidth="1"/>
    <col min="14858" max="14858" width="12.44140625" customWidth="1"/>
    <col min="14859" max="14859" width="25.88671875" bestFit="1" customWidth="1"/>
    <col min="14860" max="14862" width="18" customWidth="1"/>
    <col min="14863" max="14863" width="17.109375" customWidth="1"/>
    <col min="14864" max="14865" width="15.6640625" customWidth="1"/>
    <col min="14866" max="14866" width="15" customWidth="1"/>
    <col min="14867" max="14868" width="14.109375" bestFit="1" customWidth="1"/>
    <col min="14869" max="14869" width="11.6640625" bestFit="1" customWidth="1"/>
    <col min="14870" max="14870" width="11.88671875" bestFit="1" customWidth="1"/>
    <col min="14871" max="14871" width="12.5546875" customWidth="1"/>
    <col min="14872" max="14872" width="11.33203125" customWidth="1"/>
    <col min="14873" max="14873" width="11.5546875" customWidth="1"/>
    <col min="14874" max="14874" width="9.33203125" customWidth="1"/>
    <col min="14876" max="14876" width="11.6640625" bestFit="1" customWidth="1"/>
    <col min="14877" max="14877" width="10.6640625" bestFit="1" customWidth="1"/>
    <col min="15104" max="15104" width="11.88671875" customWidth="1"/>
    <col min="15105" max="15105" width="18" customWidth="1"/>
    <col min="15106" max="15106" width="11.6640625" customWidth="1"/>
    <col min="15107" max="15107" width="13.44140625" customWidth="1"/>
    <col min="15108" max="15108" width="12.44140625" customWidth="1"/>
    <col min="15109" max="15109" width="10.109375" customWidth="1"/>
    <col min="15110" max="15111" width="12.44140625" customWidth="1"/>
    <col min="15112" max="15112" width="15.44140625" bestFit="1" customWidth="1"/>
    <col min="15113" max="15113" width="17" customWidth="1"/>
    <col min="15114" max="15114" width="12.44140625" customWidth="1"/>
    <col min="15115" max="15115" width="25.88671875" bestFit="1" customWidth="1"/>
    <col min="15116" max="15118" width="18" customWidth="1"/>
    <col min="15119" max="15119" width="17.109375" customWidth="1"/>
    <col min="15120" max="15121" width="15.6640625" customWidth="1"/>
    <col min="15122" max="15122" width="15" customWidth="1"/>
    <col min="15123" max="15124" width="14.109375" bestFit="1" customWidth="1"/>
    <col min="15125" max="15125" width="11.6640625" bestFit="1" customWidth="1"/>
    <col min="15126" max="15126" width="11.88671875" bestFit="1" customWidth="1"/>
    <col min="15127" max="15127" width="12.5546875" customWidth="1"/>
    <col min="15128" max="15128" width="11.33203125" customWidth="1"/>
    <col min="15129" max="15129" width="11.5546875" customWidth="1"/>
    <col min="15130" max="15130" width="9.33203125" customWidth="1"/>
    <col min="15132" max="15132" width="11.6640625" bestFit="1" customWidth="1"/>
    <col min="15133" max="15133" width="10.6640625" bestFit="1" customWidth="1"/>
    <col min="15360" max="15360" width="11.88671875" customWidth="1"/>
    <col min="15361" max="15361" width="18" customWidth="1"/>
    <col min="15362" max="15362" width="11.6640625" customWidth="1"/>
    <col min="15363" max="15363" width="13.44140625" customWidth="1"/>
    <col min="15364" max="15364" width="12.44140625" customWidth="1"/>
    <col min="15365" max="15365" width="10.109375" customWidth="1"/>
    <col min="15366" max="15367" width="12.44140625" customWidth="1"/>
    <col min="15368" max="15368" width="15.44140625" bestFit="1" customWidth="1"/>
    <col min="15369" max="15369" width="17" customWidth="1"/>
    <col min="15370" max="15370" width="12.44140625" customWidth="1"/>
    <col min="15371" max="15371" width="25.88671875" bestFit="1" customWidth="1"/>
    <col min="15372" max="15374" width="18" customWidth="1"/>
    <col min="15375" max="15375" width="17.109375" customWidth="1"/>
    <col min="15376" max="15377" width="15.6640625" customWidth="1"/>
    <col min="15378" max="15378" width="15" customWidth="1"/>
    <col min="15379" max="15380" width="14.109375" bestFit="1" customWidth="1"/>
    <col min="15381" max="15381" width="11.6640625" bestFit="1" customWidth="1"/>
    <col min="15382" max="15382" width="11.88671875" bestFit="1" customWidth="1"/>
    <col min="15383" max="15383" width="12.5546875" customWidth="1"/>
    <col min="15384" max="15384" width="11.33203125" customWidth="1"/>
    <col min="15385" max="15385" width="11.5546875" customWidth="1"/>
    <col min="15386" max="15386" width="9.33203125" customWidth="1"/>
    <col min="15388" max="15388" width="11.6640625" bestFit="1" customWidth="1"/>
    <col min="15389" max="15389" width="10.6640625" bestFit="1" customWidth="1"/>
    <col min="15616" max="15616" width="11.88671875" customWidth="1"/>
    <col min="15617" max="15617" width="18" customWidth="1"/>
    <col min="15618" max="15618" width="11.6640625" customWidth="1"/>
    <col min="15619" max="15619" width="13.44140625" customWidth="1"/>
    <col min="15620" max="15620" width="12.44140625" customWidth="1"/>
    <col min="15621" max="15621" width="10.109375" customWidth="1"/>
    <col min="15622" max="15623" width="12.44140625" customWidth="1"/>
    <col min="15624" max="15624" width="15.44140625" bestFit="1" customWidth="1"/>
    <col min="15625" max="15625" width="17" customWidth="1"/>
    <col min="15626" max="15626" width="12.44140625" customWidth="1"/>
    <col min="15627" max="15627" width="25.88671875" bestFit="1" customWidth="1"/>
    <col min="15628" max="15630" width="18" customWidth="1"/>
    <col min="15631" max="15631" width="17.109375" customWidth="1"/>
    <col min="15632" max="15633" width="15.6640625" customWidth="1"/>
    <col min="15634" max="15634" width="15" customWidth="1"/>
    <col min="15635" max="15636" width="14.109375" bestFit="1" customWidth="1"/>
    <col min="15637" max="15637" width="11.6640625" bestFit="1" customWidth="1"/>
    <col min="15638" max="15638" width="11.88671875" bestFit="1" customWidth="1"/>
    <col min="15639" max="15639" width="12.5546875" customWidth="1"/>
    <col min="15640" max="15640" width="11.33203125" customWidth="1"/>
    <col min="15641" max="15641" width="11.5546875" customWidth="1"/>
    <col min="15642" max="15642" width="9.33203125" customWidth="1"/>
    <col min="15644" max="15644" width="11.6640625" bestFit="1" customWidth="1"/>
    <col min="15645" max="15645" width="10.6640625" bestFit="1" customWidth="1"/>
    <col min="15872" max="15872" width="11.88671875" customWidth="1"/>
    <col min="15873" max="15873" width="18" customWidth="1"/>
    <col min="15874" max="15874" width="11.6640625" customWidth="1"/>
    <col min="15875" max="15875" width="13.44140625" customWidth="1"/>
    <col min="15876" max="15876" width="12.44140625" customWidth="1"/>
    <col min="15877" max="15877" width="10.109375" customWidth="1"/>
    <col min="15878" max="15879" width="12.44140625" customWidth="1"/>
    <col min="15880" max="15880" width="15.44140625" bestFit="1" customWidth="1"/>
    <col min="15881" max="15881" width="17" customWidth="1"/>
    <col min="15882" max="15882" width="12.44140625" customWidth="1"/>
    <col min="15883" max="15883" width="25.88671875" bestFit="1" customWidth="1"/>
    <col min="15884" max="15886" width="18" customWidth="1"/>
    <col min="15887" max="15887" width="17.109375" customWidth="1"/>
    <col min="15888" max="15889" width="15.6640625" customWidth="1"/>
    <col min="15890" max="15890" width="15" customWidth="1"/>
    <col min="15891" max="15892" width="14.109375" bestFit="1" customWidth="1"/>
    <col min="15893" max="15893" width="11.6640625" bestFit="1" customWidth="1"/>
    <col min="15894" max="15894" width="11.88671875" bestFit="1" customWidth="1"/>
    <col min="15895" max="15895" width="12.5546875" customWidth="1"/>
    <col min="15896" max="15896" width="11.33203125" customWidth="1"/>
    <col min="15897" max="15897" width="11.5546875" customWidth="1"/>
    <col min="15898" max="15898" width="9.33203125" customWidth="1"/>
    <col min="15900" max="15900" width="11.6640625" bestFit="1" customWidth="1"/>
    <col min="15901" max="15901" width="10.6640625" bestFit="1" customWidth="1"/>
    <col min="16128" max="16128" width="11.88671875" customWidth="1"/>
    <col min="16129" max="16129" width="18" customWidth="1"/>
    <col min="16130" max="16130" width="11.6640625" customWidth="1"/>
    <col min="16131" max="16131" width="13.44140625" customWidth="1"/>
    <col min="16132" max="16132" width="12.44140625" customWidth="1"/>
    <col min="16133" max="16133" width="10.109375" customWidth="1"/>
    <col min="16134" max="16135" width="12.44140625" customWidth="1"/>
    <col min="16136" max="16136" width="15.44140625" bestFit="1" customWidth="1"/>
    <col min="16137" max="16137" width="17" customWidth="1"/>
    <col min="16138" max="16138" width="12.44140625" customWidth="1"/>
    <col min="16139" max="16139" width="25.88671875" bestFit="1" customWidth="1"/>
    <col min="16140" max="16142" width="18" customWidth="1"/>
    <col min="16143" max="16143" width="17.109375" customWidth="1"/>
    <col min="16144" max="16145" width="15.6640625" customWidth="1"/>
    <col min="16146" max="16146" width="15" customWidth="1"/>
    <col min="16147" max="16148" width="14.109375" bestFit="1" customWidth="1"/>
    <col min="16149" max="16149" width="11.6640625" bestFit="1" customWidth="1"/>
    <col min="16150" max="16150" width="11.88671875" bestFit="1" customWidth="1"/>
    <col min="16151" max="16151" width="12.5546875" customWidth="1"/>
    <col min="16152" max="16152" width="11.33203125" customWidth="1"/>
    <col min="16153" max="16153" width="11.5546875" customWidth="1"/>
    <col min="16154" max="16154" width="9.33203125" customWidth="1"/>
    <col min="16156" max="16156" width="11.6640625" bestFit="1" customWidth="1"/>
    <col min="16157" max="16157" width="10.6640625" bestFit="1" customWidth="1"/>
  </cols>
  <sheetData>
    <row r="1" spans="1:25" customFormat="1" x14ac:dyDescent="0.25">
      <c r="B1" s="28"/>
      <c r="C1" s="24"/>
      <c r="D1" s="24"/>
      <c r="E1" s="24"/>
      <c r="F1" s="417" t="s">
        <v>241</v>
      </c>
      <c r="G1" s="417"/>
      <c r="H1" s="1"/>
      <c r="I1" s="1"/>
      <c r="J1" s="1"/>
      <c r="W1" s="208"/>
      <c r="X1" s="208"/>
      <c r="Y1" s="208"/>
    </row>
    <row r="2" spans="1:25" customFormat="1" ht="42" customHeight="1" x14ac:dyDescent="0.25">
      <c r="B2" s="82" t="s">
        <v>242</v>
      </c>
      <c r="C2" s="83" t="s">
        <v>3</v>
      </c>
      <c r="D2" s="83" t="s">
        <v>4</v>
      </c>
      <c r="E2" s="83" t="s">
        <v>17</v>
      </c>
      <c r="F2" s="83" t="s">
        <v>5</v>
      </c>
      <c r="G2" s="83" t="s">
        <v>211</v>
      </c>
      <c r="H2" s="12" t="s">
        <v>243</v>
      </c>
      <c r="I2" s="12" t="s">
        <v>11</v>
      </c>
      <c r="J2" s="12" t="s">
        <v>12</v>
      </c>
      <c r="K2" t="s">
        <v>18</v>
      </c>
      <c r="W2" s="9"/>
      <c r="X2" s="9"/>
      <c r="Y2" s="9"/>
    </row>
    <row r="3" spans="1:25" customFormat="1" ht="13.8" thickBot="1" x14ac:dyDescent="0.3">
      <c r="A3" s="3">
        <v>38718</v>
      </c>
      <c r="B3" s="28">
        <f>'[7]Consumption Data '!D54</f>
        <v>15656721</v>
      </c>
      <c r="C3" s="24">
        <f>'[8]Purchased Power Model '!C3</f>
        <v>551.79999999999995</v>
      </c>
      <c r="D3" s="24">
        <f>'[8]Purchased Power Model '!D3</f>
        <v>0</v>
      </c>
      <c r="E3" s="162">
        <v>0</v>
      </c>
      <c r="F3" s="162">
        <v>31</v>
      </c>
      <c r="G3" s="162">
        <v>12828</v>
      </c>
      <c r="H3" s="288">
        <f>$L$18+$L$19*C3+$L$20*D3+$L$21*E3</f>
        <v>14257018.476795282</v>
      </c>
      <c r="I3" s="288"/>
      <c r="J3" s="289"/>
      <c r="W3" s="208"/>
      <c r="X3" s="208"/>
      <c r="Y3" s="208"/>
    </row>
    <row r="4" spans="1:25" customFormat="1" x14ac:dyDescent="0.25">
      <c r="A4" s="3">
        <v>38749</v>
      </c>
      <c r="B4" s="28">
        <f>'[7]Consumption Data '!D55</f>
        <v>14305197</v>
      </c>
      <c r="C4" s="24">
        <f>'[8]Purchased Power Model '!C4</f>
        <v>604.29999999999995</v>
      </c>
      <c r="D4" s="24">
        <f>'[8]Purchased Power Model '!D4</f>
        <v>0</v>
      </c>
      <c r="E4" s="162">
        <v>0</v>
      </c>
      <c r="F4" s="162">
        <v>28</v>
      </c>
      <c r="G4" s="162">
        <v>12835</v>
      </c>
      <c r="H4" s="288">
        <f t="shared" ref="H4:H67" si="0">$L$18+$L$19*C4+$L$20*D4+$L$21*E4</f>
        <v>14740249.801703621</v>
      </c>
      <c r="I4" s="288"/>
      <c r="J4" s="289"/>
      <c r="K4" s="55" t="s">
        <v>19</v>
      </c>
      <c r="L4" s="55"/>
      <c r="W4" s="208"/>
      <c r="X4" s="208"/>
      <c r="Y4" s="208"/>
    </row>
    <row r="5" spans="1:25" customFormat="1" x14ac:dyDescent="0.25">
      <c r="A5" s="3">
        <v>38777</v>
      </c>
      <c r="B5" s="28">
        <f>'[7]Consumption Data '!D56</f>
        <v>14164560</v>
      </c>
      <c r="C5" s="24">
        <f>'[8]Purchased Power Model '!C5</f>
        <v>516.6</v>
      </c>
      <c r="D5" s="24">
        <f>'[8]Purchased Power Model '!D5</f>
        <v>0</v>
      </c>
      <c r="E5" s="162">
        <v>1</v>
      </c>
      <c r="F5" s="162">
        <v>31</v>
      </c>
      <c r="G5" s="162">
        <v>12843</v>
      </c>
      <c r="H5" s="288">
        <f t="shared" si="0"/>
        <v>13568445.810382837</v>
      </c>
      <c r="I5" s="288"/>
      <c r="J5" s="289"/>
      <c r="K5" s="34" t="s">
        <v>20</v>
      </c>
      <c r="L5" s="67">
        <v>0.88121131486944282</v>
      </c>
      <c r="W5" s="208"/>
      <c r="X5" s="208"/>
      <c r="Y5" s="208"/>
    </row>
    <row r="6" spans="1:25" customFormat="1" x14ac:dyDescent="0.25">
      <c r="A6" s="3">
        <v>38808</v>
      </c>
      <c r="B6" s="28">
        <f>'[7]Consumption Data '!D57</f>
        <v>10773864</v>
      </c>
      <c r="C6" s="24">
        <f>'[8]Purchased Power Model '!C6</f>
        <v>293.3</v>
      </c>
      <c r="D6" s="24">
        <f>'[8]Purchased Power Model '!D6</f>
        <v>0</v>
      </c>
      <c r="E6" s="162">
        <v>1</v>
      </c>
      <c r="F6" s="162">
        <v>30</v>
      </c>
      <c r="G6" s="162">
        <v>12856</v>
      </c>
      <c r="H6" s="288">
        <f t="shared" si="0"/>
        <v>11513101.908439374</v>
      </c>
      <c r="I6" s="288"/>
      <c r="J6" s="289"/>
      <c r="K6" s="34" t="s">
        <v>21</v>
      </c>
      <c r="L6" s="67">
        <v>0.77653338145393225</v>
      </c>
      <c r="W6" s="208"/>
      <c r="X6" s="208"/>
      <c r="Y6" s="208"/>
    </row>
    <row r="7" spans="1:25" customFormat="1" x14ac:dyDescent="0.25">
      <c r="A7" s="3">
        <v>38838</v>
      </c>
      <c r="B7" s="28">
        <f>'[7]Consumption Data '!D58</f>
        <v>9989674</v>
      </c>
      <c r="C7" s="24">
        <f>'[8]Purchased Power Model '!C7</f>
        <v>136.9</v>
      </c>
      <c r="D7" s="24">
        <f>'[8]Purchased Power Model '!D7</f>
        <v>26</v>
      </c>
      <c r="E7" s="162">
        <v>1</v>
      </c>
      <c r="F7" s="162">
        <v>31</v>
      </c>
      <c r="G7" s="162">
        <v>12861</v>
      </c>
      <c r="H7" s="288">
        <f t="shared" si="0"/>
        <v>10590418.993756775</v>
      </c>
      <c r="I7" s="288"/>
      <c r="J7" s="289"/>
      <c r="K7" s="34" t="s">
        <v>22</v>
      </c>
      <c r="L7" s="67">
        <v>0.77075407235360294</v>
      </c>
      <c r="W7" s="208"/>
      <c r="X7" s="208"/>
      <c r="Y7" s="208"/>
    </row>
    <row r="8" spans="1:25" customFormat="1" x14ac:dyDescent="0.25">
      <c r="A8" s="3">
        <v>38869</v>
      </c>
      <c r="B8" s="28">
        <f>'[7]Consumption Data '!D59</f>
        <v>10480487</v>
      </c>
      <c r="C8" s="24">
        <f>'[8]Purchased Power Model '!C8</f>
        <v>19.5</v>
      </c>
      <c r="D8" s="24">
        <f>'[8]Purchased Power Model '!D8</f>
        <v>73.599999999999994</v>
      </c>
      <c r="E8" s="162">
        <v>0</v>
      </c>
      <c r="F8" s="162">
        <v>30</v>
      </c>
      <c r="G8" s="162">
        <v>12867</v>
      </c>
      <c r="H8" s="288">
        <f t="shared" si="0"/>
        <v>10820698.650768097</v>
      </c>
      <c r="I8" s="288"/>
      <c r="J8" s="289"/>
      <c r="K8" s="34" t="s">
        <v>23</v>
      </c>
      <c r="L8" s="65">
        <v>1066426.5491128978</v>
      </c>
      <c r="W8" s="208"/>
      <c r="X8" s="208"/>
      <c r="Y8" s="208"/>
    </row>
    <row r="9" spans="1:25" customFormat="1" ht="13.8" thickBot="1" x14ac:dyDescent="0.3">
      <c r="A9" s="3">
        <v>38899</v>
      </c>
      <c r="B9" s="28">
        <f>'[7]Consumption Data '!D60</f>
        <v>12380113</v>
      </c>
      <c r="C9" s="24">
        <f>'[8]Purchased Power Model '!C9</f>
        <v>0</v>
      </c>
      <c r="D9" s="24">
        <f>'[8]Purchased Power Model '!D9</f>
        <v>167.3</v>
      </c>
      <c r="E9" s="162">
        <v>0</v>
      </c>
      <c r="F9" s="162">
        <v>31</v>
      </c>
      <c r="G9" s="162">
        <v>12888</v>
      </c>
      <c r="H9" s="288">
        <f t="shared" si="0"/>
        <v>12503991.121630229</v>
      </c>
      <c r="I9" s="288"/>
      <c r="J9" s="289"/>
      <c r="K9" s="53" t="s">
        <v>24</v>
      </c>
      <c r="L9" s="53">
        <v>120</v>
      </c>
      <c r="W9" s="208"/>
      <c r="X9" s="208"/>
      <c r="Y9" s="208"/>
    </row>
    <row r="10" spans="1:25" customFormat="1" x14ac:dyDescent="0.25">
      <c r="A10" s="3">
        <v>38930</v>
      </c>
      <c r="B10" s="28">
        <f>'[7]Consumption Data '!D61</f>
        <v>11213160</v>
      </c>
      <c r="C10" s="24">
        <f>'[8]Purchased Power Model '!C10</f>
        <v>4.2</v>
      </c>
      <c r="D10" s="24">
        <f>'[8]Purchased Power Model '!D10</f>
        <v>101.6</v>
      </c>
      <c r="E10" s="162">
        <v>0</v>
      </c>
      <c r="F10" s="162">
        <v>31</v>
      </c>
      <c r="G10" s="162">
        <v>12905</v>
      </c>
      <c r="H10" s="288">
        <f t="shared" si="0"/>
        <v>11236517.927256474</v>
      </c>
      <c r="I10" s="288"/>
      <c r="J10" s="289"/>
      <c r="W10" s="208"/>
      <c r="X10" s="208"/>
      <c r="Y10" s="208"/>
    </row>
    <row r="11" spans="1:25" customFormat="1" ht="13.8" thickBot="1" x14ac:dyDescent="0.3">
      <c r="A11" s="3">
        <v>38961</v>
      </c>
      <c r="B11" s="28">
        <f>'[7]Consumption Data '!D62</f>
        <v>9420147</v>
      </c>
      <c r="C11" s="24">
        <f>'[8]Purchased Power Model '!C11</f>
        <v>80.900000000000006</v>
      </c>
      <c r="D11" s="24">
        <f>'[8]Purchased Power Model '!D11</f>
        <v>12.9</v>
      </c>
      <c r="E11" s="162">
        <v>1</v>
      </c>
      <c r="F11" s="162">
        <v>30</v>
      </c>
      <c r="G11" s="162">
        <v>12911</v>
      </c>
      <c r="H11" s="288">
        <f t="shared" si="0"/>
        <v>9814541.1166734193</v>
      </c>
      <c r="I11" s="288"/>
      <c r="J11" s="289"/>
      <c r="K11" t="s">
        <v>25</v>
      </c>
      <c r="W11" s="208"/>
      <c r="X11" s="208"/>
      <c r="Y11" s="208"/>
    </row>
    <row r="12" spans="1:25" customFormat="1" x14ac:dyDescent="0.25">
      <c r="A12" s="3">
        <v>38991</v>
      </c>
      <c r="B12" s="28">
        <f>'[7]Consumption Data '!D63</f>
        <v>11103931</v>
      </c>
      <c r="C12" s="24">
        <f>'[8]Purchased Power Model '!C12</f>
        <v>288.3</v>
      </c>
      <c r="D12" s="24">
        <f>'[8]Purchased Power Model '!D12</f>
        <v>1.1000000000000001</v>
      </c>
      <c r="E12" s="162">
        <v>1</v>
      </c>
      <c r="F12" s="162">
        <v>31</v>
      </c>
      <c r="G12" s="162">
        <v>12926</v>
      </c>
      <c r="H12" s="288">
        <f t="shared" si="0"/>
        <v>11488948.140363349</v>
      </c>
      <c r="I12" s="288"/>
      <c r="J12" s="289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  <c r="W12" s="208"/>
      <c r="X12" s="208"/>
      <c r="Y12" s="208"/>
    </row>
    <row r="13" spans="1:25" customFormat="1" x14ac:dyDescent="0.25">
      <c r="A13" s="3">
        <v>39022</v>
      </c>
      <c r="B13" s="28">
        <f>'[7]Consumption Data '!D64</f>
        <v>12426249</v>
      </c>
      <c r="C13" s="24">
        <f>'[8]Purchased Power Model '!C13</f>
        <v>382.2</v>
      </c>
      <c r="D13" s="24">
        <f>'[8]Purchased Power Model '!D13</f>
        <v>0</v>
      </c>
      <c r="E13" s="162">
        <v>1</v>
      </c>
      <c r="F13" s="162">
        <v>30</v>
      </c>
      <c r="G13" s="162">
        <v>12757</v>
      </c>
      <c r="H13" s="288">
        <f t="shared" si="0"/>
        <v>12331373.618617492</v>
      </c>
      <c r="I13" s="288"/>
      <c r="J13" s="289"/>
      <c r="K13" s="34" t="s">
        <v>26</v>
      </c>
      <c r="L13" s="34">
        <v>3</v>
      </c>
      <c r="M13" s="34">
        <v>458424013007712.63</v>
      </c>
      <c r="N13" s="34">
        <v>152808004335904.22</v>
      </c>
      <c r="O13" s="34">
        <v>134.36439684627373</v>
      </c>
      <c r="P13" s="34">
        <v>1.3722413186671808E-37</v>
      </c>
      <c r="W13" s="208"/>
      <c r="X13" s="208"/>
      <c r="Y13" s="208"/>
    </row>
    <row r="14" spans="1:25" customFormat="1" x14ac:dyDescent="0.25">
      <c r="A14" s="3">
        <v>39052</v>
      </c>
      <c r="B14" s="28">
        <f>'[7]Consumption Data '!D65</f>
        <v>14468915</v>
      </c>
      <c r="C14" s="24">
        <f>'[8]Purchased Power Model '!C14</f>
        <v>500.5</v>
      </c>
      <c r="D14" s="24">
        <f>'[8]Purchased Power Model '!D14</f>
        <v>0</v>
      </c>
      <c r="E14" s="162">
        <v>0</v>
      </c>
      <c r="F14" s="162">
        <v>31</v>
      </c>
      <c r="G14" s="162">
        <v>12949</v>
      </c>
      <c r="H14" s="288">
        <f t="shared" si="0"/>
        <v>13784832.439313421</v>
      </c>
      <c r="I14" s="288"/>
      <c r="J14" s="289"/>
      <c r="K14" s="34" t="s">
        <v>27</v>
      </c>
      <c r="L14" s="34">
        <v>116</v>
      </c>
      <c r="M14" s="34">
        <v>131922807819729.88</v>
      </c>
      <c r="N14" s="34">
        <v>1137265584652.8438</v>
      </c>
      <c r="O14" s="34"/>
      <c r="P14" s="34"/>
      <c r="W14" s="208"/>
      <c r="X14" s="208"/>
      <c r="Y14" s="208"/>
    </row>
    <row r="15" spans="1:25" customFormat="1" ht="13.8" thickBot="1" x14ac:dyDescent="0.3">
      <c r="A15" s="3">
        <v>39083</v>
      </c>
      <c r="B15" s="28">
        <f>'[7]Consumption Data '!D66</f>
        <v>16249963</v>
      </c>
      <c r="C15" s="24">
        <f>'[8]Purchased Power Model '!C15</f>
        <v>647.1</v>
      </c>
      <c r="D15" s="24">
        <f>'[8]Purchased Power Model '!D15</f>
        <v>0</v>
      </c>
      <c r="E15" s="162">
        <v>0</v>
      </c>
      <c r="F15" s="162">
        <v>31</v>
      </c>
      <c r="G15" s="162">
        <v>12963</v>
      </c>
      <c r="H15" s="288">
        <f t="shared" si="0"/>
        <v>15134198.386581276</v>
      </c>
      <c r="I15" s="288"/>
      <c r="J15" s="289"/>
      <c r="K15" s="53" t="s">
        <v>9</v>
      </c>
      <c r="L15" s="53">
        <v>119</v>
      </c>
      <c r="M15" s="53">
        <v>590346820827442.5</v>
      </c>
      <c r="N15" s="53"/>
      <c r="O15" s="53"/>
      <c r="P15" s="53"/>
      <c r="W15" s="208"/>
      <c r="X15" s="208"/>
      <c r="Y15" s="208"/>
    </row>
    <row r="16" spans="1:25" customFormat="1" ht="13.8" thickBot="1" x14ac:dyDescent="0.3">
      <c r="A16" s="3">
        <v>39114</v>
      </c>
      <c r="B16" s="28">
        <f>'[7]Consumption Data '!D67</f>
        <v>15687569</v>
      </c>
      <c r="C16" s="24">
        <f>'[8]Purchased Power Model '!C16</f>
        <v>740.1</v>
      </c>
      <c r="D16" s="24">
        <f>'[8]Purchased Power Model '!D16</f>
        <v>0</v>
      </c>
      <c r="E16" s="162">
        <v>0</v>
      </c>
      <c r="F16" s="162">
        <v>28</v>
      </c>
      <c r="G16" s="162">
        <v>12973</v>
      </c>
      <c r="H16" s="288">
        <f t="shared" si="0"/>
        <v>15990208.162133187</v>
      </c>
      <c r="I16" s="288"/>
      <c r="J16" s="289"/>
      <c r="W16" s="208"/>
      <c r="X16" s="208"/>
      <c r="Y16" s="208"/>
    </row>
    <row r="17" spans="1:17" customFormat="1" x14ac:dyDescent="0.25">
      <c r="A17" s="3">
        <v>39142</v>
      </c>
      <c r="B17" s="28">
        <f>'[7]Consumption Data '!D68</f>
        <v>14688141</v>
      </c>
      <c r="C17" s="24">
        <f>'[8]Purchased Power Model '!C17</f>
        <v>546.70000000000005</v>
      </c>
      <c r="D17" s="24">
        <f>'[8]Purchased Power Model '!D17</f>
        <v>0</v>
      </c>
      <c r="E17" s="162">
        <v>1</v>
      </c>
      <c r="F17" s="162">
        <v>31</v>
      </c>
      <c r="G17" s="162">
        <v>12975</v>
      </c>
      <c r="H17" s="288">
        <f t="shared" si="0"/>
        <v>13845498.436663618</v>
      </c>
      <c r="I17" s="288"/>
      <c r="J17" s="289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customFormat="1" x14ac:dyDescent="0.25">
      <c r="A18" s="3">
        <v>39173</v>
      </c>
      <c r="B18" s="28">
        <f>'[7]Consumption Data '!D69</f>
        <v>11526759</v>
      </c>
      <c r="C18" s="24">
        <f>'[8]Purchased Power Model '!C18</f>
        <v>356.4</v>
      </c>
      <c r="D18" s="24">
        <f>'[8]Purchased Power Model '!D18</f>
        <v>0</v>
      </c>
      <c r="E18" s="162">
        <v>1</v>
      </c>
      <c r="F18" s="162">
        <v>30</v>
      </c>
      <c r="G18" s="162">
        <v>12979</v>
      </c>
      <c r="H18" s="288">
        <f t="shared" si="0"/>
        <v>12093899.938948253</v>
      </c>
      <c r="I18" s="288"/>
      <c r="J18" s="289"/>
      <c r="K18" s="34" t="s">
        <v>28</v>
      </c>
      <c r="L18" s="65">
        <v>9178027.1418539342</v>
      </c>
      <c r="M18" s="290">
        <v>404861.40119548625</v>
      </c>
      <c r="N18" s="63">
        <v>22.669553369999697</v>
      </c>
      <c r="O18" s="34">
        <v>1.9615898717358786E-44</v>
      </c>
      <c r="P18" s="290">
        <v>8376148.1232541325</v>
      </c>
      <c r="Q18" s="290">
        <v>9979906.1604537368</v>
      </c>
    </row>
    <row r="19" spans="1:17" customFormat="1" x14ac:dyDescent="0.25">
      <c r="A19" s="3">
        <v>39203</v>
      </c>
      <c r="B19" s="28">
        <f>'[7]Consumption Data '!D70</f>
        <v>9949931</v>
      </c>
      <c r="C19" s="24">
        <f>'[8]Purchased Power Model '!C19</f>
        <v>136.4</v>
      </c>
      <c r="D19" s="24">
        <f>'[8]Purchased Power Model '!D19</f>
        <v>22.4</v>
      </c>
      <c r="E19" s="162">
        <v>1</v>
      </c>
      <c r="F19" s="162">
        <v>31</v>
      </c>
      <c r="G19" s="162">
        <v>12984</v>
      </c>
      <c r="H19" s="288">
        <f t="shared" si="0"/>
        <v>10514247.930368358</v>
      </c>
      <c r="I19" s="288"/>
      <c r="J19" s="289"/>
      <c r="K19" s="34" t="s">
        <v>3</v>
      </c>
      <c r="L19" s="65">
        <v>9204.4061887302432</v>
      </c>
      <c r="M19" s="290">
        <v>632.81052114659713</v>
      </c>
      <c r="N19" s="63">
        <v>14.54527995529004</v>
      </c>
      <c r="O19" s="34">
        <v>6.5013304813258323E-28</v>
      </c>
      <c r="P19" s="290">
        <v>7951.0452159176048</v>
      </c>
      <c r="Q19" s="290">
        <v>10457.767161542881</v>
      </c>
    </row>
    <row r="20" spans="1:17" customFormat="1" x14ac:dyDescent="0.25">
      <c r="A20" s="3">
        <v>39234</v>
      </c>
      <c r="B20" s="28">
        <f>'[7]Consumption Data '!D71</f>
        <v>10346267</v>
      </c>
      <c r="C20" s="24">
        <f>'[8]Purchased Power Model '!C20</f>
        <v>16.5</v>
      </c>
      <c r="D20" s="24">
        <f>'[8]Purchased Power Model '!D20</f>
        <v>99.2</v>
      </c>
      <c r="E20" s="162">
        <v>0</v>
      </c>
      <c r="F20" s="162">
        <v>30</v>
      </c>
      <c r="G20" s="162">
        <v>12991</v>
      </c>
      <c r="H20" s="288">
        <f t="shared" si="0"/>
        <v>11302019.549848488</v>
      </c>
      <c r="I20" s="288"/>
      <c r="J20" s="289"/>
      <c r="K20" s="34" t="s">
        <v>4</v>
      </c>
      <c r="L20" s="65">
        <v>19880.238970569604</v>
      </c>
      <c r="M20" s="290">
        <v>3858.9537887534948</v>
      </c>
      <c r="N20" s="63">
        <v>5.1517172940781046</v>
      </c>
      <c r="O20" s="34">
        <v>1.0694377830913593E-6</v>
      </c>
      <c r="P20" s="290">
        <v>12237.09475427641</v>
      </c>
      <c r="Q20" s="290">
        <v>27523.383186862797</v>
      </c>
    </row>
    <row r="21" spans="1:17" customFormat="1" ht="13.8" thickBot="1" x14ac:dyDescent="0.3">
      <c r="A21" s="3">
        <v>39264</v>
      </c>
      <c r="B21" s="28">
        <f>'[7]Consumption Data '!D72</f>
        <v>11498005</v>
      </c>
      <c r="C21" s="24">
        <f>'[8]Purchased Power Model '!C21</f>
        <v>3.2</v>
      </c>
      <c r="D21" s="24">
        <f>'[8]Purchased Power Model '!D21</f>
        <v>106.1</v>
      </c>
      <c r="E21" s="162">
        <v>0</v>
      </c>
      <c r="F21" s="162">
        <v>31</v>
      </c>
      <c r="G21" s="162">
        <v>13011</v>
      </c>
      <c r="H21" s="288">
        <f t="shared" si="0"/>
        <v>11316774.596435307</v>
      </c>
      <c r="I21" s="288"/>
      <c r="J21" s="289"/>
      <c r="K21" s="53" t="s">
        <v>17</v>
      </c>
      <c r="L21" s="66">
        <v>-364577.56856914127</v>
      </c>
      <c r="M21" s="291">
        <v>263558.86783061316</v>
      </c>
      <c r="N21" s="64">
        <v>-1.3832870491895264</v>
      </c>
      <c r="O21" s="53">
        <v>0.16923340492883282</v>
      </c>
      <c r="P21" s="291">
        <v>-886589.11537313228</v>
      </c>
      <c r="Q21" s="291">
        <v>157433.97823484975</v>
      </c>
    </row>
    <row r="22" spans="1:17" customFormat="1" x14ac:dyDescent="0.25">
      <c r="A22" s="3">
        <v>39295</v>
      </c>
      <c r="B22" s="28">
        <f>'[7]Consumption Data '!D73</f>
        <v>11423707</v>
      </c>
      <c r="C22" s="24">
        <f>'[8]Purchased Power Model '!C22</f>
        <v>5.2</v>
      </c>
      <c r="D22" s="24">
        <f>'[8]Purchased Power Model '!D22</f>
        <v>141</v>
      </c>
      <c r="E22" s="162">
        <v>0</v>
      </c>
      <c r="F22" s="162">
        <v>31</v>
      </c>
      <c r="G22" s="162">
        <v>13034</v>
      </c>
      <c r="H22" s="288">
        <f t="shared" si="0"/>
        <v>12029003.748885646</v>
      </c>
      <c r="I22" s="288"/>
      <c r="J22" s="289"/>
    </row>
    <row r="23" spans="1:17" customFormat="1" x14ac:dyDescent="0.25">
      <c r="A23" s="3">
        <v>39326</v>
      </c>
      <c r="B23" s="28">
        <f>'[7]Consumption Data '!D74</f>
        <v>9689281</v>
      </c>
      <c r="C23" s="24">
        <f>'[8]Purchased Power Model '!C23</f>
        <v>36.9</v>
      </c>
      <c r="D23" s="24">
        <f>'[8]Purchased Power Model '!D23</f>
        <v>47.5</v>
      </c>
      <c r="E23" s="162">
        <v>1</v>
      </c>
      <c r="F23" s="162">
        <v>30</v>
      </c>
      <c r="G23" s="162">
        <v>13055</v>
      </c>
      <c r="H23" s="288">
        <f t="shared" si="0"/>
        <v>10097403.512750996</v>
      </c>
      <c r="I23" s="288"/>
      <c r="J23" s="289"/>
    </row>
    <row r="24" spans="1:17" customFormat="1" x14ac:dyDescent="0.25">
      <c r="A24" s="3">
        <v>39356</v>
      </c>
      <c r="B24" s="28">
        <f>'[7]Consumption Data '!D75</f>
        <v>10253643</v>
      </c>
      <c r="C24" s="24">
        <f>'[8]Purchased Power Model '!C24</f>
        <v>137.69999999999999</v>
      </c>
      <c r="D24" s="24">
        <f>'[8]Purchased Power Model '!D24</f>
        <v>19.8</v>
      </c>
      <c r="E24" s="162">
        <v>1</v>
      </c>
      <c r="F24" s="162">
        <v>31</v>
      </c>
      <c r="G24" s="162">
        <v>13090</v>
      </c>
      <c r="H24" s="288">
        <f t="shared" si="0"/>
        <v>10474525.037090225</v>
      </c>
      <c r="I24" s="288"/>
      <c r="J24" s="289"/>
    </row>
    <row r="25" spans="1:17" customFormat="1" x14ac:dyDescent="0.25">
      <c r="A25" s="3">
        <v>39387</v>
      </c>
      <c r="B25" s="28">
        <f>'[7]Consumption Data '!D76</f>
        <v>12917037</v>
      </c>
      <c r="C25" s="24">
        <f>'[8]Purchased Power Model '!C25</f>
        <v>462.5</v>
      </c>
      <c r="D25" s="24">
        <f>'[8]Purchased Power Model '!D25</f>
        <v>0</v>
      </c>
      <c r="E25" s="162">
        <v>1</v>
      </c>
      <c r="F25" s="162">
        <v>30</v>
      </c>
      <c r="G25" s="162">
        <v>13090</v>
      </c>
      <c r="H25" s="288">
        <f t="shared" si="0"/>
        <v>13070487.435572531</v>
      </c>
      <c r="I25" s="288"/>
      <c r="J25" s="289"/>
    </row>
    <row r="26" spans="1:17" customFormat="1" x14ac:dyDescent="0.25">
      <c r="A26" s="3">
        <v>39417</v>
      </c>
      <c r="B26" s="28">
        <f>'[7]Consumption Data '!D77</f>
        <v>16029153</v>
      </c>
      <c r="C26" s="24">
        <f>'[8]Purchased Power Model '!C26</f>
        <v>630.70000000000005</v>
      </c>
      <c r="D26" s="24">
        <f>'[8]Purchased Power Model '!D26</f>
        <v>0</v>
      </c>
      <c r="E26" s="162">
        <v>0</v>
      </c>
      <c r="F26" s="162">
        <v>31</v>
      </c>
      <c r="G26" s="162">
        <v>13132</v>
      </c>
      <c r="H26" s="288">
        <f t="shared" si="0"/>
        <v>14983246.125086099</v>
      </c>
      <c r="I26" s="288"/>
      <c r="J26" s="289"/>
    </row>
    <row r="27" spans="1:17" customFormat="1" x14ac:dyDescent="0.25">
      <c r="A27" s="3">
        <v>39448</v>
      </c>
      <c r="B27" s="28">
        <f>'[7]Consumption Data '!D78</f>
        <v>16108836</v>
      </c>
      <c r="C27" s="24">
        <f>'[8]Purchased Power Model '!C27</f>
        <v>623.5</v>
      </c>
      <c r="D27" s="24">
        <f>'[8]Purchased Power Model '!D27</f>
        <v>0</v>
      </c>
      <c r="E27" s="162">
        <v>0</v>
      </c>
      <c r="F27" s="162">
        <v>31</v>
      </c>
      <c r="G27" s="162">
        <v>13149</v>
      </c>
      <c r="H27" s="288">
        <f t="shared" si="0"/>
        <v>14916974.400527241</v>
      </c>
      <c r="I27" s="1"/>
      <c r="J27" s="1"/>
    </row>
    <row r="28" spans="1:17" customFormat="1" x14ac:dyDescent="0.25">
      <c r="A28" s="3">
        <v>39479</v>
      </c>
      <c r="B28" s="28">
        <f>'[7]Consumption Data '!D79</f>
        <v>15111865</v>
      </c>
      <c r="C28" s="24">
        <f>'[8]Purchased Power Model '!C28</f>
        <v>674.7</v>
      </c>
      <c r="D28" s="24">
        <f>'[8]Purchased Power Model '!D28</f>
        <v>0</v>
      </c>
      <c r="E28" s="162">
        <v>0</v>
      </c>
      <c r="F28" s="162">
        <v>29</v>
      </c>
      <c r="G28" s="162">
        <v>13164</v>
      </c>
      <c r="H28" s="288">
        <f t="shared" si="0"/>
        <v>15388239.997390229</v>
      </c>
      <c r="I28" s="1"/>
      <c r="J28" s="1"/>
    </row>
    <row r="29" spans="1:17" customFormat="1" x14ac:dyDescent="0.25">
      <c r="A29" s="3">
        <v>39508</v>
      </c>
      <c r="B29" s="28">
        <f>'[7]Consumption Data '!D80</f>
        <v>14824395</v>
      </c>
      <c r="C29" s="24">
        <f>'[8]Purchased Power Model '!C29</f>
        <v>610.20000000000005</v>
      </c>
      <c r="D29" s="24">
        <f>'[8]Purchased Power Model '!D29</f>
        <v>0</v>
      </c>
      <c r="E29" s="162">
        <v>1</v>
      </c>
      <c r="F29" s="162">
        <v>31</v>
      </c>
      <c r="G29" s="162">
        <v>13185</v>
      </c>
      <c r="H29" s="288">
        <f t="shared" si="0"/>
        <v>14429978.229647988</v>
      </c>
      <c r="I29" s="1"/>
      <c r="J29" s="1"/>
    </row>
    <row r="30" spans="1:17" customFormat="1" x14ac:dyDescent="0.25">
      <c r="A30" s="3">
        <v>39539</v>
      </c>
      <c r="B30" s="28">
        <f>'[7]Consumption Data '!D81</f>
        <v>10995224</v>
      </c>
      <c r="C30" s="24">
        <f>'[8]Purchased Power Model '!C30</f>
        <v>253.9</v>
      </c>
      <c r="D30" s="24">
        <f>'[8]Purchased Power Model '!D30</f>
        <v>0</v>
      </c>
      <c r="E30" s="162">
        <v>1</v>
      </c>
      <c r="F30" s="162">
        <v>30</v>
      </c>
      <c r="G30" s="162">
        <v>13202</v>
      </c>
      <c r="H30" s="288">
        <f t="shared" si="0"/>
        <v>11150448.304603403</v>
      </c>
      <c r="I30" s="1"/>
      <c r="J30" s="1"/>
    </row>
    <row r="31" spans="1:17" customFormat="1" x14ac:dyDescent="0.25">
      <c r="A31" s="3">
        <v>39569</v>
      </c>
      <c r="B31" s="28">
        <f>'[7]Consumption Data '!D82</f>
        <v>10238538</v>
      </c>
      <c r="C31" s="24">
        <f>'[8]Purchased Power Model '!C31</f>
        <v>193.5</v>
      </c>
      <c r="D31" s="24">
        <f>'[8]Purchased Power Model '!D31</f>
        <v>2.5</v>
      </c>
      <c r="E31" s="162">
        <v>1</v>
      </c>
      <c r="F31" s="162">
        <v>31</v>
      </c>
      <c r="G31" s="162">
        <v>13240</v>
      </c>
      <c r="H31" s="288">
        <f t="shared" si="0"/>
        <v>10644202.76823052</v>
      </c>
      <c r="I31" s="1"/>
      <c r="J31" s="1"/>
    </row>
    <row r="32" spans="1:17" customFormat="1" x14ac:dyDescent="0.25">
      <c r="A32" s="3">
        <v>39600</v>
      </c>
      <c r="B32" s="28">
        <f>'[7]Consumption Data '!D83</f>
        <v>10371805</v>
      </c>
      <c r="C32" s="24">
        <f>'[8]Purchased Power Model '!C32</f>
        <v>22.7</v>
      </c>
      <c r="D32" s="24">
        <f>'[8]Purchased Power Model '!D32</f>
        <v>71.5</v>
      </c>
      <c r="E32" s="162">
        <v>0</v>
      </c>
      <c r="F32" s="162">
        <v>30</v>
      </c>
      <c r="G32" s="162">
        <v>13277</v>
      </c>
      <c r="H32" s="288">
        <f t="shared" si="0"/>
        <v>10808404.248733839</v>
      </c>
      <c r="I32" s="1"/>
      <c r="J32" s="1"/>
    </row>
    <row r="33" spans="1:31" x14ac:dyDescent="0.25">
      <c r="A33" s="3">
        <v>39630</v>
      </c>
      <c r="B33" s="28">
        <f>'[7]Consumption Data '!D84</f>
        <v>11432740</v>
      </c>
      <c r="C33" s="24">
        <f>'[8]Purchased Power Model '!C33</f>
        <v>1</v>
      </c>
      <c r="D33" s="24">
        <f>'[8]Purchased Power Model '!D33</f>
        <v>111</v>
      </c>
      <c r="E33" s="162">
        <v>0</v>
      </c>
      <c r="F33" s="162">
        <v>31</v>
      </c>
      <c r="G33" s="162">
        <v>13308</v>
      </c>
      <c r="H33" s="288">
        <f t="shared" si="0"/>
        <v>11393938.073775891</v>
      </c>
    </row>
    <row r="34" spans="1:31" x14ac:dyDescent="0.25">
      <c r="A34" s="3">
        <v>39661</v>
      </c>
      <c r="B34" s="28">
        <f>'[7]Consumption Data '!D85</f>
        <v>10970422</v>
      </c>
      <c r="C34" s="24">
        <f>'[8]Purchased Power Model '!C34</f>
        <v>12.7</v>
      </c>
      <c r="D34" s="24">
        <f>'[8]Purchased Power Model '!D34</f>
        <v>64</v>
      </c>
      <c r="E34" s="162">
        <v>0</v>
      </c>
      <c r="F34" s="162">
        <v>31</v>
      </c>
      <c r="G34" s="162">
        <v>13349</v>
      </c>
      <c r="H34" s="288">
        <f t="shared" si="0"/>
        <v>10567258.394567262</v>
      </c>
    </row>
    <row r="35" spans="1:31" x14ac:dyDescent="0.25">
      <c r="A35" s="3">
        <v>39692</v>
      </c>
      <c r="B35" s="28">
        <f>'[7]Consumption Data '!D86</f>
        <v>9784362</v>
      </c>
      <c r="C35" s="24">
        <f>'[8]Purchased Power Model '!C35</f>
        <v>59</v>
      </c>
      <c r="D35" s="24">
        <f>'[8]Purchased Power Model '!D35</f>
        <v>26.7</v>
      </c>
      <c r="E35" s="162">
        <v>1</v>
      </c>
      <c r="F35" s="162">
        <v>30</v>
      </c>
      <c r="G35" s="162">
        <v>13384</v>
      </c>
      <c r="H35" s="288">
        <f t="shared" si="0"/>
        <v>9887311.9189340863</v>
      </c>
    </row>
    <row r="36" spans="1:31" x14ac:dyDescent="0.25">
      <c r="A36" s="3">
        <v>39722</v>
      </c>
      <c r="B36" s="28">
        <f>'[7]Consumption Data '!D87</f>
        <v>10926030</v>
      </c>
      <c r="C36" s="24">
        <f>'[8]Purchased Power Model '!C36</f>
        <v>278.60000000000002</v>
      </c>
      <c r="D36" s="24">
        <f>'[8]Purchased Power Model '!D36</f>
        <v>0</v>
      </c>
      <c r="E36" s="162">
        <v>1</v>
      </c>
      <c r="F36" s="162">
        <v>31</v>
      </c>
      <c r="G36" s="162">
        <v>13423</v>
      </c>
      <c r="H36" s="288">
        <f t="shared" si="0"/>
        <v>11377797.137465039</v>
      </c>
    </row>
    <row r="37" spans="1:31" x14ac:dyDescent="0.25">
      <c r="A37" s="3">
        <v>39753</v>
      </c>
      <c r="B37" s="28">
        <f>'[7]Consumption Data '!D88</f>
        <v>13094794</v>
      </c>
      <c r="C37" s="24">
        <f>'[8]Purchased Power Model '!C37</f>
        <v>451.6</v>
      </c>
      <c r="D37" s="24">
        <f>'[8]Purchased Power Model '!D37</f>
        <v>0</v>
      </c>
      <c r="E37" s="162">
        <v>1</v>
      </c>
      <c r="F37" s="162">
        <v>30</v>
      </c>
      <c r="G37" s="162">
        <v>13431</v>
      </c>
      <c r="H37" s="288">
        <f t="shared" si="0"/>
        <v>12970159.408115372</v>
      </c>
    </row>
    <row r="38" spans="1:31" x14ac:dyDescent="0.25">
      <c r="A38" s="3">
        <v>39783</v>
      </c>
      <c r="B38" s="28">
        <f>'[7]Consumption Data '!D89</f>
        <v>16764512</v>
      </c>
      <c r="C38" s="24">
        <f>'[8]Purchased Power Model '!C38</f>
        <v>654.6</v>
      </c>
      <c r="D38" s="24">
        <f>'[8]Purchased Power Model '!D38</f>
        <v>0</v>
      </c>
      <c r="E38" s="162">
        <v>0</v>
      </c>
      <c r="F38" s="162">
        <v>31</v>
      </c>
      <c r="G38" s="162">
        <v>13472</v>
      </c>
      <c r="H38" s="288">
        <f t="shared" si="0"/>
        <v>15203231.432996752</v>
      </c>
    </row>
    <row r="39" spans="1:31" s="119" customFormat="1" x14ac:dyDescent="0.25">
      <c r="A39" s="3">
        <v>39814</v>
      </c>
      <c r="B39" s="28">
        <f>'[7]Consumption Data '!D90</f>
        <v>17810584</v>
      </c>
      <c r="C39" s="24">
        <f>'[8]Purchased Power Model '!C39</f>
        <v>830.2</v>
      </c>
      <c r="D39" s="24">
        <f>'[8]Purchased Power Model '!D39</f>
        <v>0</v>
      </c>
      <c r="E39" s="162">
        <v>0</v>
      </c>
      <c r="F39" s="162">
        <v>31</v>
      </c>
      <c r="G39" s="162">
        <v>13491</v>
      </c>
      <c r="H39" s="288">
        <f t="shared" si="0"/>
        <v>16819525.159737781</v>
      </c>
      <c r="I39" s="49"/>
      <c r="J39" s="1"/>
      <c r="K39"/>
      <c r="L39"/>
      <c r="M39"/>
      <c r="N39"/>
      <c r="O39"/>
      <c r="P39"/>
      <c r="Q39"/>
      <c r="R39"/>
      <c r="S39"/>
      <c r="T39"/>
      <c r="U39"/>
      <c r="V39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x14ac:dyDescent="0.25">
      <c r="A40" s="3">
        <v>39845</v>
      </c>
      <c r="B40" s="28">
        <f>'[7]Consumption Data '!D91</f>
        <v>14875943</v>
      </c>
      <c r="C40" s="24">
        <f>'[8]Purchased Power Model '!C40</f>
        <v>606.4</v>
      </c>
      <c r="D40" s="24">
        <f>'[8]Purchased Power Model '!D40</f>
        <v>0</v>
      </c>
      <c r="E40" s="162">
        <v>0</v>
      </c>
      <c r="F40" s="162">
        <v>28</v>
      </c>
      <c r="G40" s="162">
        <v>13506</v>
      </c>
      <c r="H40" s="288">
        <f t="shared" si="0"/>
        <v>14759579.054699954</v>
      </c>
      <c r="I40" s="49"/>
    </row>
    <row r="41" spans="1:31" x14ac:dyDescent="0.25">
      <c r="A41" s="3">
        <v>39873</v>
      </c>
      <c r="B41" s="28">
        <f>'[7]Consumption Data '!D92</f>
        <v>14168411</v>
      </c>
      <c r="C41" s="24">
        <f>'[8]Purchased Power Model '!C41</f>
        <v>533.79999999999995</v>
      </c>
      <c r="D41" s="24">
        <f>'[8]Purchased Power Model '!D41</f>
        <v>0</v>
      </c>
      <c r="E41" s="162">
        <v>1</v>
      </c>
      <c r="F41" s="162">
        <v>31</v>
      </c>
      <c r="G41" s="162">
        <v>13518</v>
      </c>
      <c r="H41" s="288">
        <f t="shared" si="0"/>
        <v>13726761.596828997</v>
      </c>
      <c r="I41" s="49"/>
    </row>
    <row r="42" spans="1:31" x14ac:dyDescent="0.25">
      <c r="A42" s="3">
        <v>39904</v>
      </c>
      <c r="B42" s="28">
        <f>'[7]Consumption Data '!D93</f>
        <v>11457915</v>
      </c>
      <c r="C42" s="24">
        <f>'[8]Purchased Power Model '!C42</f>
        <v>305.8</v>
      </c>
      <c r="D42" s="24">
        <f>'[8]Purchased Power Model '!D42</f>
        <v>1.2</v>
      </c>
      <c r="E42" s="162">
        <v>1</v>
      </c>
      <c r="F42" s="162">
        <v>30</v>
      </c>
      <c r="G42" s="162">
        <v>13525</v>
      </c>
      <c r="H42" s="288">
        <f t="shared" si="0"/>
        <v>11652013.272563186</v>
      </c>
      <c r="I42" s="49"/>
    </row>
    <row r="43" spans="1:31" x14ac:dyDescent="0.25">
      <c r="A43" s="3">
        <v>39934</v>
      </c>
      <c r="B43" s="28">
        <f>'[7]Consumption Data '!D94</f>
        <v>10081810</v>
      </c>
      <c r="C43" s="24">
        <f>'[8]Purchased Power Model '!C43</f>
        <v>158.80000000000001</v>
      </c>
      <c r="D43" s="24">
        <f>'[8]Purchased Power Model '!D43</f>
        <v>6.9</v>
      </c>
      <c r="E43" s="162">
        <v>1</v>
      </c>
      <c r="F43" s="162">
        <v>31</v>
      </c>
      <c r="G43" s="162">
        <v>13530</v>
      </c>
      <c r="H43" s="288">
        <f t="shared" si="0"/>
        <v>10412282.924952088</v>
      </c>
      <c r="I43" s="49"/>
    </row>
    <row r="44" spans="1:31" x14ac:dyDescent="0.25">
      <c r="A44" s="3">
        <v>39965</v>
      </c>
      <c r="B44" s="28">
        <f>'[7]Consumption Data '!D95</f>
        <v>9854813</v>
      </c>
      <c r="C44" s="24">
        <f>'[8]Purchased Power Model '!C44</f>
        <v>49.3</v>
      </c>
      <c r="D44" s="24">
        <f>'[8]Purchased Power Model '!D44</f>
        <v>34.200000000000003</v>
      </c>
      <c r="E44" s="162">
        <v>0</v>
      </c>
      <c r="F44" s="162">
        <v>30</v>
      </c>
      <c r="G44" s="162">
        <v>13533</v>
      </c>
      <c r="H44" s="288">
        <f t="shared" si="0"/>
        <v>10311708.539751817</v>
      </c>
      <c r="I44" s="49"/>
    </row>
    <row r="45" spans="1:31" x14ac:dyDescent="0.25">
      <c r="A45" s="3">
        <v>39995</v>
      </c>
      <c r="B45" s="28">
        <f>'[7]Consumption Data '!D96</f>
        <v>10889246</v>
      </c>
      <c r="C45" s="24">
        <f>'[8]Purchased Power Model '!C45</f>
        <v>6.2</v>
      </c>
      <c r="D45" s="24">
        <f>'[8]Purchased Power Model '!D45</f>
        <v>43.7</v>
      </c>
      <c r="E45" s="162">
        <v>0</v>
      </c>
      <c r="F45" s="162">
        <v>31</v>
      </c>
      <c r="G45" s="162">
        <v>13781</v>
      </c>
      <c r="H45" s="288">
        <f t="shared" si="0"/>
        <v>10103860.903237954</v>
      </c>
      <c r="I45" s="49"/>
    </row>
    <row r="46" spans="1:31" x14ac:dyDescent="0.25">
      <c r="A46" s="3">
        <v>40026</v>
      </c>
      <c r="B46" s="28">
        <f>'[7]Consumption Data '!D97</f>
        <v>11628804</v>
      </c>
      <c r="C46" s="24">
        <f>'[8]Purchased Power Model '!C46</f>
        <v>9.8000000000000007</v>
      </c>
      <c r="D46" s="24">
        <f>'[8]Purchased Power Model '!D46</f>
        <v>91</v>
      </c>
      <c r="E46" s="162">
        <v>0</v>
      </c>
      <c r="F46" s="162">
        <v>31</v>
      </c>
      <c r="G46" s="162">
        <v>14047</v>
      </c>
      <c r="H46" s="288">
        <f t="shared" si="0"/>
        <v>11077332.068825325</v>
      </c>
      <c r="I46" s="49"/>
    </row>
    <row r="47" spans="1:31" x14ac:dyDescent="0.25">
      <c r="A47" s="3">
        <v>40057</v>
      </c>
      <c r="B47" s="28">
        <f>'[7]Consumption Data '!D98</f>
        <v>9993074</v>
      </c>
      <c r="C47" s="24">
        <f>'[8]Purchased Power Model '!C47</f>
        <v>55.2</v>
      </c>
      <c r="D47" s="24">
        <f>'[8]Purchased Power Model '!D47</f>
        <v>20.9</v>
      </c>
      <c r="E47" s="162">
        <v>1</v>
      </c>
      <c r="F47" s="162">
        <v>30</v>
      </c>
      <c r="G47" s="162">
        <v>14145</v>
      </c>
      <c r="H47" s="288">
        <f t="shared" si="0"/>
        <v>9737029.7893876079</v>
      </c>
      <c r="I47" s="49"/>
    </row>
    <row r="48" spans="1:31" x14ac:dyDescent="0.25">
      <c r="A48" s="3">
        <v>40087</v>
      </c>
      <c r="B48" s="28">
        <f>'[7]Consumption Data '!D99</f>
        <v>11313182</v>
      </c>
      <c r="C48" s="24">
        <f>'[8]Purchased Power Model '!C48</f>
        <v>287.8</v>
      </c>
      <c r="D48" s="24">
        <f>'[8]Purchased Power Model '!D48</f>
        <v>0</v>
      </c>
      <c r="E48" s="162">
        <v>1</v>
      </c>
      <c r="F48" s="162">
        <v>31</v>
      </c>
      <c r="G48" s="162">
        <v>14177</v>
      </c>
      <c r="H48" s="288">
        <f t="shared" si="0"/>
        <v>11462477.674401358</v>
      </c>
      <c r="I48" s="49"/>
    </row>
    <row r="49" spans="1:31" x14ac:dyDescent="0.25">
      <c r="A49" s="3">
        <v>40118</v>
      </c>
      <c r="B49" s="28">
        <f>'[7]Consumption Data '!D100</f>
        <v>12003176</v>
      </c>
      <c r="C49" s="24">
        <f>'[8]Purchased Power Model '!C49</f>
        <v>361.2</v>
      </c>
      <c r="D49" s="24">
        <f>'[8]Purchased Power Model '!D49</f>
        <v>0</v>
      </c>
      <c r="E49" s="162">
        <v>1</v>
      </c>
      <c r="F49" s="162">
        <v>30</v>
      </c>
      <c r="G49" s="162">
        <v>14179</v>
      </c>
      <c r="H49" s="288">
        <f t="shared" si="0"/>
        <v>12138081.088654157</v>
      </c>
      <c r="I49" s="49"/>
    </row>
    <row r="50" spans="1:31" s="33" customFormat="1" x14ac:dyDescent="0.25">
      <c r="A50" s="3">
        <v>40148</v>
      </c>
      <c r="B50" s="28">
        <f>'[7]Consumption Data '!D101</f>
        <v>15992024</v>
      </c>
      <c r="C50" s="24">
        <f>'[8]Purchased Power Model '!C50</f>
        <v>631.29999999999995</v>
      </c>
      <c r="D50" s="24">
        <f>'[8]Purchased Power Model '!D50</f>
        <v>0</v>
      </c>
      <c r="E50" s="162">
        <v>0</v>
      </c>
      <c r="F50" s="162">
        <v>31</v>
      </c>
      <c r="G50" s="162">
        <v>13636</v>
      </c>
      <c r="H50" s="288">
        <f t="shared" si="0"/>
        <v>14988768.768799337</v>
      </c>
      <c r="I50" s="49"/>
      <c r="J50" s="1"/>
      <c r="K50"/>
      <c r="L50"/>
      <c r="M50"/>
      <c r="N50"/>
      <c r="O50"/>
      <c r="P50"/>
      <c r="Q50"/>
      <c r="R50"/>
      <c r="S50"/>
      <c r="T50"/>
      <c r="U50"/>
      <c r="V50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x14ac:dyDescent="0.25">
      <c r="A51" s="3">
        <v>40179</v>
      </c>
      <c r="B51" s="28">
        <f>'[7]Consumption Data '!D102</f>
        <v>16758847</v>
      </c>
      <c r="C51" s="24">
        <f>'[8]Purchased Power Model '!C51</f>
        <v>720</v>
      </c>
      <c r="D51" s="24">
        <f>'[8]Purchased Power Model '!D51</f>
        <v>0</v>
      </c>
      <c r="E51" s="162">
        <v>0</v>
      </c>
      <c r="F51" s="162">
        <v>31</v>
      </c>
      <c r="G51" s="162">
        <v>13627</v>
      </c>
      <c r="H51" s="288">
        <f t="shared" si="0"/>
        <v>15805199.59773971</v>
      </c>
      <c r="I51" s="49"/>
      <c r="W51" s="207"/>
      <c r="X51" s="207"/>
      <c r="Y51" s="207"/>
    </row>
    <row r="52" spans="1:31" x14ac:dyDescent="0.25">
      <c r="A52" s="3">
        <v>40210</v>
      </c>
      <c r="B52" s="28">
        <f>'[7]Consumption Data '!D103</f>
        <v>14108588</v>
      </c>
      <c r="C52" s="24">
        <f>'[8]Purchased Power Model '!C52</f>
        <v>598.29999999999995</v>
      </c>
      <c r="D52" s="24">
        <f>'[8]Purchased Power Model '!D52</f>
        <v>0</v>
      </c>
      <c r="E52" s="162">
        <v>0</v>
      </c>
      <c r="F52" s="162">
        <v>28</v>
      </c>
      <c r="G52" s="162">
        <v>13628</v>
      </c>
      <c r="H52" s="288">
        <f t="shared" si="0"/>
        <v>14685023.364571238</v>
      </c>
      <c r="I52" s="49"/>
    </row>
    <row r="53" spans="1:31" x14ac:dyDescent="0.25">
      <c r="A53" s="3">
        <v>40238</v>
      </c>
      <c r="B53" s="28">
        <f>'[7]Consumption Data '!D104</f>
        <v>12565986</v>
      </c>
      <c r="C53" s="24">
        <f>'[8]Purchased Power Model '!C53</f>
        <v>422.8</v>
      </c>
      <c r="D53" s="24">
        <f>'[8]Purchased Power Model '!D53</f>
        <v>0</v>
      </c>
      <c r="E53" s="162">
        <v>1</v>
      </c>
      <c r="F53" s="162">
        <v>31</v>
      </c>
      <c r="G53" s="162">
        <v>13641</v>
      </c>
      <c r="H53" s="288">
        <f t="shared" si="0"/>
        <v>12705072.509879941</v>
      </c>
      <c r="I53" s="49"/>
    </row>
    <row r="54" spans="1:31" x14ac:dyDescent="0.25">
      <c r="A54" s="3">
        <v>40269</v>
      </c>
      <c r="B54" s="28">
        <f>'[7]Consumption Data '!D105</f>
        <v>10254608</v>
      </c>
      <c r="C54" s="24">
        <f>'[8]Purchased Power Model '!C54</f>
        <v>225.1</v>
      </c>
      <c r="D54" s="24">
        <f>'[8]Purchased Power Model '!D54</f>
        <v>0</v>
      </c>
      <c r="E54" s="162">
        <v>1</v>
      </c>
      <c r="F54" s="162">
        <v>30</v>
      </c>
      <c r="G54" s="162">
        <v>13641</v>
      </c>
      <c r="H54" s="288">
        <f t="shared" si="0"/>
        <v>10885361.406367971</v>
      </c>
      <c r="I54" s="49"/>
    </row>
    <row r="55" spans="1:31" x14ac:dyDescent="0.25">
      <c r="A55" s="3">
        <v>40299</v>
      </c>
      <c r="B55" s="28">
        <f>'[7]Consumption Data '!D106</f>
        <v>10319214</v>
      </c>
      <c r="C55" s="24">
        <f>'[8]Purchased Power Model '!C55</f>
        <v>107.9</v>
      </c>
      <c r="D55" s="24">
        <f>'[8]Purchased Power Model '!D55</f>
        <v>45.7</v>
      </c>
      <c r="E55" s="162">
        <v>1</v>
      </c>
      <c r="F55" s="162">
        <v>31</v>
      </c>
      <c r="G55" s="162">
        <v>13637</v>
      </c>
      <c r="H55" s="288">
        <f t="shared" si="0"/>
        <v>10715131.922003817</v>
      </c>
      <c r="I55" s="49"/>
    </row>
    <row r="56" spans="1:31" x14ac:dyDescent="0.25">
      <c r="A56" s="3">
        <v>40330</v>
      </c>
      <c r="B56" s="28">
        <f>'[7]Consumption Data '!D107</f>
        <v>10886710</v>
      </c>
      <c r="C56" s="24">
        <f>'[8]Purchased Power Model '!C56</f>
        <v>21.7</v>
      </c>
      <c r="D56" s="24">
        <f>'[8]Purchased Power Model '!D56</f>
        <v>58.7</v>
      </c>
      <c r="E56" s="162">
        <v>0</v>
      </c>
      <c r="F56" s="162">
        <v>30</v>
      </c>
      <c r="G56" s="162">
        <v>13651</v>
      </c>
      <c r="H56" s="288">
        <f t="shared" si="0"/>
        <v>10544732.783721816</v>
      </c>
      <c r="I56" s="49"/>
    </row>
    <row r="57" spans="1:31" x14ac:dyDescent="0.25">
      <c r="A57" s="3">
        <v>40360</v>
      </c>
      <c r="B57" s="28">
        <f>'[7]Consumption Data '!D108</f>
        <v>12945230</v>
      </c>
      <c r="C57" s="24">
        <f>'[8]Purchased Power Model '!C57</f>
        <v>1.8</v>
      </c>
      <c r="D57" s="24">
        <f>'[8]Purchased Power Model '!D57</f>
        <v>164.9</v>
      </c>
      <c r="E57" s="162">
        <v>0</v>
      </c>
      <c r="F57" s="162">
        <v>31</v>
      </c>
      <c r="G57" s="162">
        <v>13662</v>
      </c>
      <c r="H57" s="288">
        <f t="shared" si="0"/>
        <v>12472846.479240578</v>
      </c>
      <c r="I57" s="49"/>
    </row>
    <row r="58" spans="1:31" x14ac:dyDescent="0.25">
      <c r="A58" s="3">
        <v>40391</v>
      </c>
      <c r="B58" s="28">
        <f>'[7]Consumption Data '!D109</f>
        <v>12216023</v>
      </c>
      <c r="C58" s="24">
        <f>'[8]Purchased Power Model '!C58</f>
        <v>2.1</v>
      </c>
      <c r="D58" s="24">
        <f>'[8]Purchased Power Model '!D58</f>
        <v>138.80000000000001</v>
      </c>
      <c r="E58" s="162">
        <v>0</v>
      </c>
      <c r="F58" s="162">
        <v>31</v>
      </c>
      <c r="G58" s="162">
        <v>13688</v>
      </c>
      <c r="H58" s="288">
        <f t="shared" si="0"/>
        <v>11956733.563965328</v>
      </c>
      <c r="I58" s="49"/>
    </row>
    <row r="59" spans="1:31" x14ac:dyDescent="0.25">
      <c r="A59" s="3">
        <v>40422</v>
      </c>
      <c r="B59" s="28">
        <f>'[7]Consumption Data '!D110</f>
        <v>10068692</v>
      </c>
      <c r="C59" s="24">
        <f>'[8]Purchased Power Model '!C59</f>
        <v>78.099999999999994</v>
      </c>
      <c r="D59" s="24">
        <f>'[8]Purchased Power Model '!D59</f>
        <v>31.5</v>
      </c>
      <c r="E59" s="162">
        <v>1</v>
      </c>
      <c r="F59" s="162">
        <v>30</v>
      </c>
      <c r="G59" s="162">
        <v>13700</v>
      </c>
      <c r="H59" s="288">
        <f t="shared" si="0"/>
        <v>10158541.224197568</v>
      </c>
      <c r="I59" s="49"/>
    </row>
    <row r="60" spans="1:31" x14ac:dyDescent="0.25">
      <c r="A60" s="3">
        <v>40452</v>
      </c>
      <c r="B60" s="28">
        <f>'[7]Consumption Data '!D111</f>
        <v>10537708</v>
      </c>
      <c r="C60" s="24">
        <f>'[8]Purchased Power Model '!C60</f>
        <v>241.6</v>
      </c>
      <c r="D60" s="24">
        <f>'[8]Purchased Power Model '!D60</f>
        <v>0</v>
      </c>
      <c r="E60" s="162">
        <v>1</v>
      </c>
      <c r="F60" s="162">
        <v>31</v>
      </c>
      <c r="G60" s="162">
        <v>13713</v>
      </c>
      <c r="H60" s="288">
        <f t="shared" si="0"/>
        <v>11037234.10848202</v>
      </c>
      <c r="I60" s="49"/>
    </row>
    <row r="61" spans="1:31" x14ac:dyDescent="0.25">
      <c r="A61" s="3">
        <v>40483</v>
      </c>
      <c r="B61" s="28">
        <f>'[7]Consumption Data '!D112</f>
        <v>12377930</v>
      </c>
      <c r="C61" s="24">
        <f>'[8]Purchased Power Model '!C61</f>
        <v>405.3</v>
      </c>
      <c r="D61" s="24">
        <f>'[8]Purchased Power Model '!D61</f>
        <v>0</v>
      </c>
      <c r="E61" s="162">
        <v>1</v>
      </c>
      <c r="F61" s="162">
        <v>30</v>
      </c>
      <c r="G61" s="162">
        <v>13730</v>
      </c>
      <c r="H61" s="288">
        <f t="shared" si="0"/>
        <v>12543995.401577162</v>
      </c>
      <c r="I61" s="49"/>
    </row>
    <row r="62" spans="1:31" x14ac:dyDescent="0.25">
      <c r="A62" s="3">
        <v>40513</v>
      </c>
      <c r="B62" s="28">
        <f>'[7]Consumption Data '!D113</f>
        <v>15852526</v>
      </c>
      <c r="C62" s="24">
        <f>'[8]Purchased Power Model '!C62</f>
        <v>676.2</v>
      </c>
      <c r="D62" s="24">
        <f>'[8]Purchased Power Model '!D62</f>
        <v>0</v>
      </c>
      <c r="E62" s="162">
        <v>0</v>
      </c>
      <c r="F62" s="162">
        <v>31</v>
      </c>
      <c r="G62" s="162">
        <v>13747</v>
      </c>
      <c r="H62" s="288">
        <f t="shared" si="0"/>
        <v>15402046.606673326</v>
      </c>
      <c r="I62" s="49"/>
    </row>
    <row r="63" spans="1:31" x14ac:dyDescent="0.25">
      <c r="A63" s="3">
        <v>40544</v>
      </c>
      <c r="B63" s="28">
        <f>'[7]Consumption Data '!D114</f>
        <v>16696145</v>
      </c>
      <c r="C63" s="24">
        <f>'[8]Purchased Power Model '!C63</f>
        <v>775.3</v>
      </c>
      <c r="D63" s="24">
        <f>'[8]Purchased Power Model '!D63</f>
        <v>0</v>
      </c>
      <c r="E63" s="162">
        <v>0</v>
      </c>
      <c r="F63" s="292">
        <v>31</v>
      </c>
      <c r="G63" s="162">
        <v>13752</v>
      </c>
      <c r="H63" s="288">
        <f t="shared" si="0"/>
        <v>16314203.259976491</v>
      </c>
      <c r="I63" s="49"/>
    </row>
    <row r="64" spans="1:31" x14ac:dyDescent="0.25">
      <c r="A64" s="3">
        <v>40575</v>
      </c>
      <c r="B64" s="28">
        <f>'[7]Consumption Data '!D115</f>
        <v>14407275</v>
      </c>
      <c r="C64" s="24">
        <f>'[8]Purchased Power Model '!C64</f>
        <v>654.20000000000005</v>
      </c>
      <c r="D64" s="24">
        <f>'[8]Purchased Power Model '!D64</f>
        <v>0</v>
      </c>
      <c r="E64" s="162">
        <v>0</v>
      </c>
      <c r="F64" s="292">
        <v>28</v>
      </c>
      <c r="G64" s="162">
        <v>13757</v>
      </c>
      <c r="H64" s="288">
        <f t="shared" si="0"/>
        <v>15199549.670521259</v>
      </c>
      <c r="I64" s="49"/>
    </row>
    <row r="65" spans="1:9" customFormat="1" x14ac:dyDescent="0.25">
      <c r="A65" s="3">
        <v>40603</v>
      </c>
      <c r="B65" s="28">
        <f>'[7]Consumption Data '!D116</f>
        <v>14015514</v>
      </c>
      <c r="C65" s="24">
        <f>'[8]Purchased Power Model '!C65</f>
        <v>572.79999999999995</v>
      </c>
      <c r="D65" s="24">
        <f>'[8]Purchased Power Model '!D65</f>
        <v>0</v>
      </c>
      <c r="E65" s="162">
        <v>1</v>
      </c>
      <c r="F65" s="292">
        <v>31</v>
      </c>
      <c r="G65" s="162">
        <v>13766</v>
      </c>
      <c r="H65" s="288">
        <f t="shared" si="0"/>
        <v>14085733.438189477</v>
      </c>
      <c r="I65" s="49"/>
    </row>
    <row r="66" spans="1:9" customFormat="1" x14ac:dyDescent="0.25">
      <c r="A66" s="3">
        <v>40634</v>
      </c>
      <c r="B66" s="28">
        <f>'[7]Consumption Data '!D117</f>
        <v>11306265</v>
      </c>
      <c r="C66" s="24">
        <f>'[8]Purchased Power Model '!C66</f>
        <v>332.3</v>
      </c>
      <c r="D66" s="24">
        <f>'[8]Purchased Power Model '!D66</f>
        <v>0</v>
      </c>
      <c r="E66" s="162">
        <v>1</v>
      </c>
      <c r="F66" s="292">
        <v>30</v>
      </c>
      <c r="G66" s="162">
        <v>13767</v>
      </c>
      <c r="H66" s="288">
        <f t="shared" si="0"/>
        <v>11872073.749799853</v>
      </c>
      <c r="I66" s="49"/>
    </row>
    <row r="67" spans="1:9" customFormat="1" x14ac:dyDescent="0.25">
      <c r="A67" s="3">
        <v>40664</v>
      </c>
      <c r="B67" s="28">
        <f>'[7]Consumption Data '!D118</f>
        <v>9737594</v>
      </c>
      <c r="C67" s="24">
        <f>'[8]Purchased Power Model '!C67</f>
        <v>134.1</v>
      </c>
      <c r="D67" s="24">
        <f>'[8]Purchased Power Model '!D67</f>
        <v>13</v>
      </c>
      <c r="E67" s="162">
        <v>1</v>
      </c>
      <c r="F67" s="292">
        <v>31</v>
      </c>
      <c r="G67" s="162">
        <v>13771</v>
      </c>
      <c r="H67" s="288">
        <f t="shared" si="0"/>
        <v>10306203.549810924</v>
      </c>
      <c r="I67" s="49"/>
    </row>
    <row r="68" spans="1:9" customFormat="1" x14ac:dyDescent="0.25">
      <c r="A68" s="3">
        <v>40695</v>
      </c>
      <c r="B68" s="28">
        <f>'[7]Consumption Data '!D119</f>
        <v>9716476</v>
      </c>
      <c r="C68" s="24">
        <f>'[8]Purchased Power Model '!C68</f>
        <v>19</v>
      </c>
      <c r="D68" s="24">
        <f>'[8]Purchased Power Model '!D68</f>
        <v>52.2</v>
      </c>
      <c r="E68" s="162">
        <v>0</v>
      </c>
      <c r="F68" s="292">
        <v>30</v>
      </c>
      <c r="G68" s="162">
        <v>13779</v>
      </c>
      <c r="H68" s="288">
        <f t="shared" ref="H68:H122" si="1">$L$18+$L$19*C68+$L$20*D68+$L$21*E68</f>
        <v>10390659.333703542</v>
      </c>
      <c r="I68" s="49"/>
    </row>
    <row r="69" spans="1:9" customFormat="1" x14ac:dyDescent="0.25">
      <c r="A69" s="3">
        <v>40725</v>
      </c>
      <c r="B69" s="28">
        <f>'[7]Consumption Data '!D120</f>
        <v>13535935</v>
      </c>
      <c r="C69" s="24">
        <f>'[8]Purchased Power Model '!C69</f>
        <v>0</v>
      </c>
      <c r="D69" s="24">
        <f>'[8]Purchased Power Model '!D69</f>
        <v>198.5</v>
      </c>
      <c r="E69" s="162">
        <v>0</v>
      </c>
      <c r="F69" s="292">
        <v>31</v>
      </c>
      <c r="G69" s="162">
        <v>13793</v>
      </c>
      <c r="H69" s="288">
        <f t="shared" si="1"/>
        <v>13124254.577512</v>
      </c>
      <c r="I69" s="49"/>
    </row>
    <row r="70" spans="1:9" customFormat="1" x14ac:dyDescent="0.25">
      <c r="A70" s="3">
        <v>40756</v>
      </c>
      <c r="B70" s="28">
        <f>'[7]Consumption Data '!D121</f>
        <v>11675437</v>
      </c>
      <c r="C70" s="24">
        <f>'[8]Purchased Power Model '!C70</f>
        <v>0</v>
      </c>
      <c r="D70" s="24">
        <f>'[8]Purchased Power Model '!D70</f>
        <v>122.2</v>
      </c>
      <c r="E70" s="162">
        <v>0</v>
      </c>
      <c r="F70" s="292">
        <v>31</v>
      </c>
      <c r="G70" s="162">
        <v>13804</v>
      </c>
      <c r="H70" s="288">
        <f t="shared" si="1"/>
        <v>11607392.344057539</v>
      </c>
      <c r="I70" s="49"/>
    </row>
    <row r="71" spans="1:9" customFormat="1" x14ac:dyDescent="0.25">
      <c r="A71" s="3">
        <v>40787</v>
      </c>
      <c r="B71" s="28">
        <f>'[7]Consumption Data '!D122</f>
        <v>9553832</v>
      </c>
      <c r="C71" s="24">
        <f>'[8]Purchased Power Model '!C71</f>
        <v>48.2</v>
      </c>
      <c r="D71" s="24">
        <f>'[8]Purchased Power Model '!D71</f>
        <v>39.700000000000003</v>
      </c>
      <c r="E71" s="162">
        <v>1</v>
      </c>
      <c r="F71" s="292">
        <v>30</v>
      </c>
      <c r="G71" s="162">
        <v>13800</v>
      </c>
      <c r="H71" s="288">
        <f t="shared" si="1"/>
        <v>10046347.438713206</v>
      </c>
      <c r="I71" s="49"/>
    </row>
    <row r="72" spans="1:9" customFormat="1" x14ac:dyDescent="0.25">
      <c r="A72" s="3">
        <v>40817</v>
      </c>
      <c r="B72" s="28">
        <f>'[7]Consumption Data '!D123</f>
        <v>10426163</v>
      </c>
      <c r="C72" s="24">
        <f>'[8]Purchased Power Model '!C72</f>
        <v>235.5</v>
      </c>
      <c r="D72" s="24">
        <f>'[8]Purchased Power Model '!D72</f>
        <v>2.4</v>
      </c>
      <c r="E72" s="162">
        <v>1</v>
      </c>
      <c r="F72" s="292">
        <v>31</v>
      </c>
      <c r="G72" s="162">
        <v>13820</v>
      </c>
      <c r="H72" s="288">
        <f t="shared" si="1"/>
        <v>11028799.804260133</v>
      </c>
      <c r="I72" s="49"/>
    </row>
    <row r="73" spans="1:9" customFormat="1" x14ac:dyDescent="0.25">
      <c r="A73" s="3">
        <v>40848</v>
      </c>
      <c r="B73" s="28">
        <f>'[7]Consumption Data '!D124</f>
        <v>11200470</v>
      </c>
      <c r="C73" s="24">
        <f>'[8]Purchased Power Model '!C73</f>
        <v>342.1</v>
      </c>
      <c r="D73" s="24">
        <f>'[8]Purchased Power Model '!D73</f>
        <v>0</v>
      </c>
      <c r="E73" s="162">
        <v>1</v>
      </c>
      <c r="F73" s="292">
        <v>30</v>
      </c>
      <c r="G73" s="162">
        <v>13839</v>
      </c>
      <c r="H73" s="288">
        <f t="shared" si="1"/>
        <v>11962276.930449409</v>
      </c>
      <c r="I73" s="49"/>
    </row>
    <row r="74" spans="1:9" customFormat="1" x14ac:dyDescent="0.25">
      <c r="A74" s="3">
        <v>40878</v>
      </c>
      <c r="B74" s="28">
        <f>'[7]Consumption Data '!D125</f>
        <v>14406250</v>
      </c>
      <c r="C74" s="24">
        <f>'[8]Purchased Power Model '!C74</f>
        <v>534</v>
      </c>
      <c r="D74" s="24">
        <f>'[8]Purchased Power Model '!D74</f>
        <v>0</v>
      </c>
      <c r="E74" s="162">
        <v>0</v>
      </c>
      <c r="F74" s="292">
        <v>31</v>
      </c>
      <c r="G74" s="162">
        <v>13854</v>
      </c>
      <c r="H74" s="288">
        <f t="shared" si="1"/>
        <v>14093180.046635885</v>
      </c>
      <c r="I74" s="49"/>
    </row>
    <row r="75" spans="1:9" customFormat="1" x14ac:dyDescent="0.25">
      <c r="A75" s="3">
        <v>40909</v>
      </c>
      <c r="B75" s="28">
        <v>14419203</v>
      </c>
      <c r="C75" s="24">
        <f>'[8]Purchased Power Model '!C75</f>
        <v>611.1</v>
      </c>
      <c r="D75" s="24">
        <f>'[8]Purchased Power Model '!D75</f>
        <v>0</v>
      </c>
      <c r="E75" s="162">
        <v>0</v>
      </c>
      <c r="F75" s="162">
        <v>31</v>
      </c>
      <c r="G75" s="162">
        <f>(G74+G76)/2</f>
        <v>13858.5</v>
      </c>
      <c r="H75" s="288">
        <f t="shared" si="1"/>
        <v>14802839.763786986</v>
      </c>
      <c r="I75" s="49"/>
    </row>
    <row r="76" spans="1:9" customFormat="1" x14ac:dyDescent="0.25">
      <c r="A76" s="3">
        <v>40940</v>
      </c>
      <c r="B76" s="28">
        <v>15186723</v>
      </c>
      <c r="C76" s="24">
        <f>'[8]Purchased Power Model '!C76</f>
        <v>531.70000000000005</v>
      </c>
      <c r="D76" s="24">
        <f>'[8]Purchased Power Model '!D76</f>
        <v>0</v>
      </c>
      <c r="E76" s="162">
        <v>0</v>
      </c>
      <c r="F76" s="162">
        <v>29</v>
      </c>
      <c r="G76" s="162">
        <f>'[6]Customer Numbers'!B7</f>
        <v>13863</v>
      </c>
      <c r="H76" s="288">
        <f t="shared" si="1"/>
        <v>14072009.912401805</v>
      </c>
      <c r="I76" s="49"/>
    </row>
    <row r="77" spans="1:9" customFormat="1" x14ac:dyDescent="0.25">
      <c r="A77" s="3">
        <v>40969</v>
      </c>
      <c r="B77" s="28">
        <v>13290184</v>
      </c>
      <c r="C77" s="24">
        <f>'[8]Purchased Power Model '!C77</f>
        <v>349.40000000000009</v>
      </c>
      <c r="D77" s="24">
        <f>'[8]Purchased Power Model '!D77</f>
        <v>0.2</v>
      </c>
      <c r="E77" s="162">
        <v>1</v>
      </c>
      <c r="F77" s="162">
        <v>31</v>
      </c>
      <c r="G77" s="162">
        <f>'[6]Customer Numbers'!B8</f>
        <v>13884</v>
      </c>
      <c r="H77" s="288">
        <f t="shared" si="1"/>
        <v>12033445.143421257</v>
      </c>
      <c r="I77" s="49"/>
    </row>
    <row r="78" spans="1:9" customFormat="1" x14ac:dyDescent="0.25">
      <c r="A78" s="3">
        <v>41000</v>
      </c>
      <c r="B78" s="28">
        <v>11753568</v>
      </c>
      <c r="C78" s="24">
        <f>'[8]Purchased Power Model '!C78</f>
        <v>321.70000000000005</v>
      </c>
      <c r="D78" s="24">
        <f>'[8]Purchased Power Model '!D78</f>
        <v>0</v>
      </c>
      <c r="E78" s="162">
        <v>1</v>
      </c>
      <c r="F78" s="162">
        <v>30</v>
      </c>
      <c r="G78" s="162">
        <f>'[6]Customer Numbers'!B9</f>
        <v>13893</v>
      </c>
      <c r="H78" s="288">
        <f t="shared" si="1"/>
        <v>11774507.044199314</v>
      </c>
      <c r="I78" s="49"/>
    </row>
    <row r="79" spans="1:9" customFormat="1" x14ac:dyDescent="0.25">
      <c r="A79" s="3">
        <v>41030</v>
      </c>
      <c r="B79" s="28">
        <v>10732730</v>
      </c>
      <c r="C79" s="24">
        <f>'[8]Purchased Power Model '!C79</f>
        <v>80.7</v>
      </c>
      <c r="D79" s="24">
        <f>'[8]Purchased Power Model '!D79</f>
        <v>36.700000000000003</v>
      </c>
      <c r="E79" s="162">
        <v>1</v>
      </c>
      <c r="F79" s="162">
        <v>31</v>
      </c>
      <c r="G79" s="162">
        <f>'[6]Customer Numbers'!B10</f>
        <v>13898</v>
      </c>
      <c r="H79" s="288">
        <f t="shared" si="1"/>
        <v>10285849.922935229</v>
      </c>
      <c r="I79" s="49"/>
    </row>
    <row r="80" spans="1:9" customFormat="1" x14ac:dyDescent="0.25">
      <c r="A80" s="3">
        <v>41061</v>
      </c>
      <c r="B80" s="28">
        <v>9647919</v>
      </c>
      <c r="C80" s="24">
        <f>'[8]Purchased Power Model '!C80</f>
        <v>23.2</v>
      </c>
      <c r="D80" s="24">
        <f>'[8]Purchased Power Model '!D80</f>
        <v>101.60000000000001</v>
      </c>
      <c r="E80" s="162">
        <v>0</v>
      </c>
      <c r="F80" s="162">
        <v>30</v>
      </c>
      <c r="G80" s="162">
        <f>'[6]Customer Numbers'!B11</f>
        <v>13903</v>
      </c>
      <c r="H80" s="288">
        <f t="shared" si="1"/>
        <v>11411401.644842349</v>
      </c>
      <c r="I80" s="49"/>
    </row>
    <row r="81" spans="1:9" customFormat="1" x14ac:dyDescent="0.25">
      <c r="A81" s="3">
        <v>41091</v>
      </c>
      <c r="B81" s="28">
        <v>11182332</v>
      </c>
      <c r="C81" s="24">
        <f>'[8]Purchased Power Model '!C81</f>
        <v>0</v>
      </c>
      <c r="D81" s="24">
        <f>'[8]Purchased Power Model '!D81</f>
        <v>195.39999999999998</v>
      </c>
      <c r="E81" s="162">
        <v>0</v>
      </c>
      <c r="F81" s="162">
        <v>31</v>
      </c>
      <c r="G81" s="162">
        <f>'[6]Customer Numbers'!B12</f>
        <v>13944</v>
      </c>
      <c r="H81" s="288">
        <f t="shared" si="1"/>
        <v>13062625.836703233</v>
      </c>
      <c r="I81" s="49"/>
    </row>
    <row r="82" spans="1:9" customFormat="1" x14ac:dyDescent="0.25">
      <c r="A82" s="3">
        <v>41122</v>
      </c>
      <c r="B82" s="28">
        <v>13798406</v>
      </c>
      <c r="C82" s="24">
        <f>'[8]Purchased Power Model '!C82</f>
        <v>2</v>
      </c>
      <c r="D82" s="24">
        <f>'[8]Purchased Power Model '!D82</f>
        <v>112.10000000000001</v>
      </c>
      <c r="E82" s="162">
        <v>0</v>
      </c>
      <c r="F82" s="162">
        <v>31</v>
      </c>
      <c r="G82" s="162">
        <f>'[6]Customer Numbers'!B13</f>
        <v>13974</v>
      </c>
      <c r="H82" s="288">
        <f t="shared" si="1"/>
        <v>11425010.742832247</v>
      </c>
      <c r="I82" s="49"/>
    </row>
    <row r="83" spans="1:9" customFormat="1" x14ac:dyDescent="0.25">
      <c r="A83" s="3">
        <v>41153</v>
      </c>
      <c r="B83" s="28">
        <v>11993115</v>
      </c>
      <c r="C83" s="24">
        <f>'[8]Purchased Power Model '!C83</f>
        <v>85</v>
      </c>
      <c r="D83" s="24">
        <f>'[8]Purchased Power Model '!D83</f>
        <v>35.6</v>
      </c>
      <c r="E83" s="162">
        <v>1</v>
      </c>
      <c r="F83" s="162">
        <v>30</v>
      </c>
      <c r="G83" s="162">
        <f>'[6]Customer Numbers'!B14</f>
        <v>13980</v>
      </c>
      <c r="H83" s="288">
        <f t="shared" si="1"/>
        <v>10303560.606679142</v>
      </c>
      <c r="I83" s="49"/>
    </row>
    <row r="84" spans="1:9" customFormat="1" x14ac:dyDescent="0.25">
      <c r="A84" s="3">
        <v>41183</v>
      </c>
      <c r="B84" s="28">
        <v>9968055</v>
      </c>
      <c r="C84" s="24">
        <f>'[8]Purchased Power Model '!C84</f>
        <v>242.50000000000003</v>
      </c>
      <c r="D84" s="24">
        <f>'[8]Purchased Power Model '!D84</f>
        <v>1.1000000000000001</v>
      </c>
      <c r="E84" s="162">
        <v>1</v>
      </c>
      <c r="F84" s="162">
        <v>31</v>
      </c>
      <c r="G84" s="162">
        <f>'[6]Customer Numbers'!B15</f>
        <v>14024</v>
      </c>
      <c r="H84" s="288">
        <f t="shared" si="1"/>
        <v>11067386.336919503</v>
      </c>
      <c r="I84" s="49"/>
    </row>
    <row r="85" spans="1:9" customFormat="1" x14ac:dyDescent="0.25">
      <c r="A85" s="3">
        <v>41214</v>
      </c>
      <c r="B85" s="28">
        <v>10745430</v>
      </c>
      <c r="C85" s="24">
        <f>'[8]Purchased Power Model '!C85</f>
        <v>433.99999999999994</v>
      </c>
      <c r="D85" s="24">
        <f>'[8]Purchased Power Model '!D85</f>
        <v>0</v>
      </c>
      <c r="E85" s="162">
        <v>1</v>
      </c>
      <c r="F85" s="162">
        <v>30</v>
      </c>
      <c r="G85" s="162">
        <f>'[6]Customer Numbers'!B16</f>
        <v>14037</v>
      </c>
      <c r="H85" s="288">
        <f t="shared" si="1"/>
        <v>12808161.859193718</v>
      </c>
      <c r="I85" s="49"/>
    </row>
    <row r="86" spans="1:9" customFormat="1" x14ac:dyDescent="0.25">
      <c r="A86" s="3">
        <v>41244</v>
      </c>
      <c r="B86" s="28">
        <v>12225430</v>
      </c>
      <c r="C86" s="24">
        <f>'[8]Purchased Power Model '!C86</f>
        <v>533.50000000000011</v>
      </c>
      <c r="D86" s="24">
        <f>'[8]Purchased Power Model '!D86</f>
        <v>0</v>
      </c>
      <c r="E86" s="162">
        <v>0</v>
      </c>
      <c r="F86" s="162">
        <v>31</v>
      </c>
      <c r="G86" s="162">
        <f>'[6]Customer Numbers'!B17</f>
        <v>14061</v>
      </c>
      <c r="H86" s="288">
        <f t="shared" si="1"/>
        <v>14088577.84354152</v>
      </c>
      <c r="I86" s="49"/>
    </row>
    <row r="87" spans="1:9" customFormat="1" x14ac:dyDescent="0.25">
      <c r="A87" s="3">
        <v>41275</v>
      </c>
      <c r="B87" s="28">
        <v>14692174</v>
      </c>
      <c r="C87" s="24">
        <f>'[8]Purchased Power Model '!C87</f>
        <v>624.40000000000009</v>
      </c>
      <c r="D87" s="24">
        <f>'[8]Purchased Power Model '!D87</f>
        <v>0</v>
      </c>
      <c r="E87" s="162">
        <v>0</v>
      </c>
      <c r="F87" s="162">
        <v>31</v>
      </c>
      <c r="G87" s="162">
        <f>'[6]Customer Numbers'!B23</f>
        <v>14074</v>
      </c>
      <c r="H87" s="288">
        <f t="shared" si="1"/>
        <v>14925258.3660971</v>
      </c>
      <c r="I87" s="49"/>
    </row>
    <row r="88" spans="1:9" customFormat="1" x14ac:dyDescent="0.25">
      <c r="A88" s="3">
        <v>41306</v>
      </c>
      <c r="B88" s="28">
        <v>15269953</v>
      </c>
      <c r="C88" s="24">
        <f>'[8]Purchased Power Model '!C88</f>
        <v>631.49999999999989</v>
      </c>
      <c r="D88" s="24">
        <f>'[8]Purchased Power Model '!D88</f>
        <v>0</v>
      </c>
      <c r="E88" s="162">
        <v>0</v>
      </c>
      <c r="F88" s="162">
        <v>28</v>
      </c>
      <c r="G88" s="162">
        <f>'[6]Customer Numbers'!B24</f>
        <v>14084</v>
      </c>
      <c r="H88" s="288">
        <f t="shared" si="1"/>
        <v>14990609.650037082</v>
      </c>
      <c r="I88" s="49"/>
    </row>
    <row r="89" spans="1:9" customFormat="1" x14ac:dyDescent="0.25">
      <c r="A89" s="3">
        <v>41334</v>
      </c>
      <c r="B89" s="28">
        <v>14126587</v>
      </c>
      <c r="C89" s="24">
        <f>'[8]Purchased Power Model '!C89</f>
        <v>554.79999999999995</v>
      </c>
      <c r="D89" s="24">
        <f>'[8]Purchased Power Model '!D89</f>
        <v>0</v>
      </c>
      <c r="E89" s="162">
        <v>1</v>
      </c>
      <c r="F89" s="162">
        <v>31</v>
      </c>
      <c r="G89" s="162">
        <f>'[6]Customer Numbers'!B25</f>
        <v>14097</v>
      </c>
      <c r="H89" s="288">
        <f t="shared" si="1"/>
        <v>13920054.126792332</v>
      </c>
      <c r="I89" s="49"/>
    </row>
    <row r="90" spans="1:9" customFormat="1" x14ac:dyDescent="0.25">
      <c r="A90" s="3">
        <v>41365</v>
      </c>
      <c r="B90" s="28">
        <v>13656289</v>
      </c>
      <c r="C90" s="24">
        <f>'[8]Purchased Power Model '!C90</f>
        <v>358.6</v>
      </c>
      <c r="D90" s="24">
        <f>'[8]Purchased Power Model '!D90</f>
        <v>0</v>
      </c>
      <c r="E90" s="162">
        <v>1</v>
      </c>
      <c r="F90" s="162">
        <v>30</v>
      </c>
      <c r="G90" s="162">
        <f>'[6]Customer Numbers'!B26</f>
        <v>14105</v>
      </c>
      <c r="H90" s="288">
        <f t="shared" si="1"/>
        <v>12114149.632563459</v>
      </c>
      <c r="I90" s="49"/>
    </row>
    <row r="91" spans="1:9" customFormat="1" x14ac:dyDescent="0.25">
      <c r="A91" s="3">
        <v>41395</v>
      </c>
      <c r="B91" s="28">
        <v>11414254</v>
      </c>
      <c r="C91" s="24">
        <f>'[8]Purchased Power Model '!C91</f>
        <v>109.10000000000001</v>
      </c>
      <c r="D91" s="24">
        <f>'[8]Purchased Power Model '!D91</f>
        <v>23.1</v>
      </c>
      <c r="E91" s="162">
        <v>1</v>
      </c>
      <c r="F91" s="162">
        <v>31</v>
      </c>
      <c r="G91" s="162">
        <f>'[6]Customer Numbers'!B27</f>
        <v>14135</v>
      </c>
      <c r="H91" s="288">
        <f t="shared" si="1"/>
        <v>10276883.808695422</v>
      </c>
      <c r="I91" s="49"/>
    </row>
    <row r="92" spans="1:9" customFormat="1" x14ac:dyDescent="0.25">
      <c r="A92" s="3">
        <v>41426</v>
      </c>
      <c r="B92" s="28">
        <v>9912417</v>
      </c>
      <c r="C92" s="24">
        <f>'[8]Purchased Power Model '!C92</f>
        <v>32.999999999999993</v>
      </c>
      <c r="D92" s="24">
        <f>'[8]Purchased Power Model '!D92</f>
        <v>59.6</v>
      </c>
      <c r="E92" s="162">
        <v>0</v>
      </c>
      <c r="F92" s="162">
        <v>30</v>
      </c>
      <c r="G92" s="162">
        <f>'[6]Customer Numbers'!B28</f>
        <v>14157</v>
      </c>
      <c r="H92" s="288">
        <f t="shared" si="1"/>
        <v>10666634.788727982</v>
      </c>
      <c r="I92" s="49"/>
    </row>
    <row r="93" spans="1:9" customFormat="1" x14ac:dyDescent="0.25">
      <c r="A93" s="3">
        <v>41456</v>
      </c>
      <c r="B93" s="28">
        <v>10710649</v>
      </c>
      <c r="C93" s="24">
        <f>'[8]Purchased Power Model '!C93</f>
        <v>1.2999999999999998</v>
      </c>
      <c r="D93" s="24">
        <f>'[8]Purchased Power Model '!D93</f>
        <v>120.80000000000003</v>
      </c>
      <c r="E93" s="162">
        <v>0</v>
      </c>
      <c r="F93" s="162">
        <v>31</v>
      </c>
      <c r="G93" s="162">
        <f>'[6]Customer Numbers'!B29</f>
        <v>14183</v>
      </c>
      <c r="H93" s="288">
        <f t="shared" si="1"/>
        <v>11591525.737544093</v>
      </c>
      <c r="I93" s="49"/>
    </row>
    <row r="94" spans="1:9" customFormat="1" x14ac:dyDescent="0.25">
      <c r="A94" s="3">
        <v>41487</v>
      </c>
      <c r="B94" s="28">
        <v>13234184</v>
      </c>
      <c r="C94" s="24">
        <f>'[8]Purchased Power Model '!C94</f>
        <v>4.4000000000000004</v>
      </c>
      <c r="D94" s="24">
        <f>'[8]Purchased Power Model '!D94</f>
        <v>93.799999999999983</v>
      </c>
      <c r="E94" s="162">
        <v>0</v>
      </c>
      <c r="F94" s="162">
        <v>31</v>
      </c>
      <c r="G94" s="162">
        <f>'[6]Customer Numbers'!B30</f>
        <v>14221</v>
      </c>
      <c r="H94" s="288">
        <f t="shared" si="1"/>
        <v>11083292.944523776</v>
      </c>
      <c r="I94" s="49"/>
    </row>
    <row r="95" spans="1:9" customFormat="1" x14ac:dyDescent="0.25">
      <c r="A95" s="3">
        <v>41518</v>
      </c>
      <c r="B95" s="28">
        <v>11544524</v>
      </c>
      <c r="C95" s="24">
        <f>'[8]Purchased Power Model '!C95</f>
        <v>82.999999999999986</v>
      </c>
      <c r="D95" s="24">
        <f>'[8]Purchased Power Model '!D95</f>
        <v>28.099999999999998</v>
      </c>
      <c r="E95" s="162">
        <v>1</v>
      </c>
      <c r="F95" s="162">
        <v>30</v>
      </c>
      <c r="G95" s="162">
        <f>'[6]Customer Numbers'!B31</f>
        <v>14235</v>
      </c>
      <c r="H95" s="288">
        <f t="shared" si="1"/>
        <v>10136050.00202241</v>
      </c>
      <c r="I95" s="49"/>
    </row>
    <row r="96" spans="1:9" customFormat="1" x14ac:dyDescent="0.25">
      <c r="A96" s="3">
        <v>41548</v>
      </c>
      <c r="B96" s="28">
        <v>10038352</v>
      </c>
      <c r="C96" s="24">
        <f>'[8]Purchased Power Model '!C96</f>
        <v>208.5</v>
      </c>
      <c r="D96" s="24">
        <f>'[8]Purchased Power Model '!D96</f>
        <v>0.4</v>
      </c>
      <c r="E96" s="162">
        <v>1</v>
      </c>
      <c r="F96" s="162">
        <v>31</v>
      </c>
      <c r="G96" s="162">
        <f>'[6]Customer Numbers'!B32</f>
        <v>14261</v>
      </c>
      <c r="H96" s="288">
        <f t="shared" si="1"/>
        <v>10740520.359223276</v>
      </c>
      <c r="I96" s="49"/>
    </row>
    <row r="97" spans="1:32" x14ac:dyDescent="0.25">
      <c r="A97" s="3">
        <v>41579</v>
      </c>
      <c r="B97" s="28">
        <v>10529891</v>
      </c>
      <c r="C97" s="24">
        <f>'[8]Purchased Power Model '!C97</f>
        <v>478.20000000000005</v>
      </c>
      <c r="D97" s="24">
        <f>'[8]Purchased Power Model '!D97</f>
        <v>0</v>
      </c>
      <c r="E97" s="162">
        <v>1</v>
      </c>
      <c r="F97" s="162">
        <v>30</v>
      </c>
      <c r="G97" s="162">
        <f>'[6]Customer Numbers'!B33</f>
        <v>14303</v>
      </c>
      <c r="H97" s="288">
        <f t="shared" si="1"/>
        <v>13214996.612735597</v>
      </c>
      <c r="I97" s="49"/>
    </row>
    <row r="98" spans="1:32" s="208" customFormat="1" x14ac:dyDescent="0.25">
      <c r="A98" s="3">
        <v>41609</v>
      </c>
      <c r="B98" s="28">
        <v>12835022</v>
      </c>
      <c r="C98" s="24">
        <f>'[8]Purchased Power Model '!C98</f>
        <v>687.9</v>
      </c>
      <c r="D98" s="24">
        <f>'[8]Purchased Power Model '!D98</f>
        <v>0</v>
      </c>
      <c r="E98" s="162">
        <v>0</v>
      </c>
      <c r="F98" s="162">
        <v>31</v>
      </c>
      <c r="G98" s="162">
        <f>'[6]Customer Numbers'!B34</f>
        <v>14317</v>
      </c>
      <c r="H98" s="288">
        <f t="shared" si="1"/>
        <v>15509738.159081468</v>
      </c>
      <c r="I98" s="49"/>
      <c r="J98" s="1"/>
      <c r="K98"/>
      <c r="L98"/>
      <c r="M98"/>
      <c r="N98"/>
      <c r="O98"/>
      <c r="P98"/>
      <c r="Q98"/>
      <c r="R98"/>
      <c r="S98"/>
      <c r="T98"/>
      <c r="U98"/>
      <c r="V98"/>
      <c r="AF98"/>
    </row>
    <row r="99" spans="1:32" s="208" customFormat="1" x14ac:dyDescent="0.25">
      <c r="A99" s="3">
        <v>41640</v>
      </c>
      <c r="B99" s="28">
        <v>16379015</v>
      </c>
      <c r="C99" s="24">
        <f>'[8]Purchased Power Model '!C99</f>
        <v>825.90000000000009</v>
      </c>
      <c r="D99" s="24">
        <f>'[8]Purchased Power Model '!D99</f>
        <v>0</v>
      </c>
      <c r="E99" s="162">
        <v>0</v>
      </c>
      <c r="F99" s="162">
        <v>31</v>
      </c>
      <c r="G99" s="162">
        <f>'[6]Customer Numbers'!B41</f>
        <v>14372</v>
      </c>
      <c r="H99" s="288">
        <f t="shared" si="1"/>
        <v>16779946.213126242</v>
      </c>
      <c r="I99" s="49"/>
      <c r="J99" s="1"/>
      <c r="K99"/>
      <c r="L99"/>
      <c r="M99"/>
      <c r="N99"/>
      <c r="O99"/>
      <c r="P99"/>
      <c r="Q99"/>
      <c r="R99"/>
      <c r="S99"/>
      <c r="T99"/>
      <c r="U99"/>
      <c r="V99"/>
      <c r="AF99"/>
    </row>
    <row r="100" spans="1:32" s="208" customFormat="1" x14ac:dyDescent="0.25">
      <c r="A100" s="3">
        <v>41671</v>
      </c>
      <c r="B100" s="28">
        <v>17466985</v>
      </c>
      <c r="C100" s="24">
        <f>'[8]Purchased Power Model '!C100</f>
        <v>737.09999999999991</v>
      </c>
      <c r="D100" s="24">
        <f>'[8]Purchased Power Model '!D100</f>
        <v>0</v>
      </c>
      <c r="E100" s="162">
        <v>0</v>
      </c>
      <c r="F100" s="162">
        <v>28</v>
      </c>
      <c r="G100" s="162">
        <f>'[6]Customer Numbers'!B42</f>
        <v>14388</v>
      </c>
      <c r="H100" s="288">
        <f t="shared" si="1"/>
        <v>15962594.943566997</v>
      </c>
      <c r="I100" s="49"/>
      <c r="J100" s="1"/>
      <c r="K100"/>
      <c r="L100"/>
      <c r="M100"/>
      <c r="N100"/>
      <c r="O100"/>
      <c r="P100"/>
      <c r="Q100"/>
      <c r="R100"/>
      <c r="S100"/>
      <c r="T100"/>
      <c r="U100"/>
      <c r="V100"/>
      <c r="AF100"/>
    </row>
    <row r="101" spans="1:32" s="208" customFormat="1" x14ac:dyDescent="0.25">
      <c r="A101" s="3">
        <v>41699</v>
      </c>
      <c r="B101" s="28">
        <v>14955218</v>
      </c>
      <c r="C101" s="24">
        <f>'[8]Purchased Power Model '!C101</f>
        <v>690.6</v>
      </c>
      <c r="D101" s="24">
        <f>'[8]Purchased Power Model '!D101</f>
        <v>0</v>
      </c>
      <c r="E101" s="162">
        <v>1</v>
      </c>
      <c r="F101" s="162">
        <v>31</v>
      </c>
      <c r="G101" s="162">
        <f>'[6]Customer Numbers'!B43</f>
        <v>14406</v>
      </c>
      <c r="H101" s="288">
        <f t="shared" si="1"/>
        <v>15170012.487221899</v>
      </c>
      <c r="I101" s="49"/>
      <c r="J101" s="1"/>
      <c r="K101"/>
      <c r="L101"/>
      <c r="M101"/>
      <c r="N101"/>
      <c r="O101"/>
      <c r="P101"/>
      <c r="Q101"/>
      <c r="R101"/>
      <c r="S101"/>
      <c r="T101"/>
      <c r="U101"/>
      <c r="V101"/>
      <c r="AF101"/>
    </row>
    <row r="102" spans="1:32" s="208" customFormat="1" x14ac:dyDescent="0.25">
      <c r="A102" s="3">
        <v>41730</v>
      </c>
      <c r="B102" s="28">
        <v>15294722.68</v>
      </c>
      <c r="C102" s="24">
        <f>'[8]Purchased Power Model '!C102</f>
        <v>356.90000000000003</v>
      </c>
      <c r="D102" s="24">
        <f>'[8]Purchased Power Model '!D102</f>
        <v>0</v>
      </c>
      <c r="E102" s="162">
        <v>1</v>
      </c>
      <c r="F102" s="162">
        <v>30</v>
      </c>
      <c r="G102" s="162">
        <f>'[6]Customer Numbers'!B44</f>
        <v>14439</v>
      </c>
      <c r="H102" s="288">
        <f t="shared" si="1"/>
        <v>12098502.142042618</v>
      </c>
      <c r="I102" s="49"/>
      <c r="J102" s="1"/>
      <c r="K102"/>
      <c r="L102"/>
      <c r="M102"/>
      <c r="N102"/>
      <c r="O102"/>
      <c r="P102"/>
      <c r="Q102"/>
      <c r="R102"/>
      <c r="S102"/>
      <c r="T102"/>
      <c r="U102"/>
      <c r="V102"/>
      <c r="AF102"/>
    </row>
    <row r="103" spans="1:32" s="208" customFormat="1" x14ac:dyDescent="0.25">
      <c r="A103" s="3">
        <v>41760</v>
      </c>
      <c r="B103" s="28">
        <v>11587580.060000001</v>
      </c>
      <c r="C103" s="24">
        <f>'[8]Purchased Power Model '!C103</f>
        <v>132.10000000000005</v>
      </c>
      <c r="D103" s="24">
        <f>'[8]Purchased Power Model '!D103</f>
        <v>11.9</v>
      </c>
      <c r="E103" s="162">
        <v>1</v>
      </c>
      <c r="F103" s="162">
        <v>31</v>
      </c>
      <c r="G103" s="162">
        <f>'[6]Customer Numbers'!B45</f>
        <v>14461</v>
      </c>
      <c r="H103" s="288">
        <f t="shared" si="1"/>
        <v>10265926.474565838</v>
      </c>
      <c r="I103" s="49"/>
      <c r="J103" s="1"/>
      <c r="K103"/>
      <c r="L103"/>
      <c r="M103"/>
      <c r="N103"/>
      <c r="O103"/>
      <c r="P103"/>
      <c r="Q103"/>
      <c r="R103"/>
      <c r="S103"/>
      <c r="T103"/>
      <c r="U103"/>
      <c r="V103"/>
      <c r="AF103"/>
    </row>
    <row r="104" spans="1:32" s="208" customFormat="1" x14ac:dyDescent="0.25">
      <c r="A104" s="3">
        <v>41791</v>
      </c>
      <c r="B104" s="28">
        <v>9833121.9600000009</v>
      </c>
      <c r="C104" s="24">
        <f>'[8]Purchased Power Model '!C104</f>
        <v>14.1</v>
      </c>
      <c r="D104" s="24">
        <f>'[8]Purchased Power Model '!D104</f>
        <v>68.099999999999994</v>
      </c>
      <c r="E104" s="162">
        <v>0</v>
      </c>
      <c r="F104" s="162">
        <v>30</v>
      </c>
      <c r="G104" s="162">
        <f>'[6]Customer Numbers'!B46</f>
        <v>14474</v>
      </c>
      <c r="H104" s="288">
        <f t="shared" si="1"/>
        <v>10661653.54301082</v>
      </c>
      <c r="I104" s="49"/>
      <c r="J104" s="1"/>
      <c r="K104"/>
      <c r="L104"/>
      <c r="M104"/>
      <c r="N104"/>
      <c r="O104"/>
      <c r="P104"/>
      <c r="Q104"/>
      <c r="R104"/>
      <c r="S104"/>
      <c r="T104"/>
      <c r="U104"/>
      <c r="V104"/>
      <c r="AF104"/>
    </row>
    <row r="105" spans="1:32" s="208" customFormat="1" x14ac:dyDescent="0.25">
      <c r="A105" s="3">
        <v>41821</v>
      </c>
      <c r="B105" s="28">
        <v>10541056.630000001</v>
      </c>
      <c r="C105" s="24">
        <f>'[8]Purchased Power Model '!C105</f>
        <v>4</v>
      </c>
      <c r="D105" s="24">
        <f>'[8]Purchased Power Model '!D105</f>
        <v>71</v>
      </c>
      <c r="E105" s="162">
        <v>0</v>
      </c>
      <c r="F105" s="162">
        <v>31</v>
      </c>
      <c r="G105" s="162">
        <f>'[6]Customer Numbers'!B47</f>
        <v>14507</v>
      </c>
      <c r="H105" s="288">
        <f t="shared" si="1"/>
        <v>10626341.733519297</v>
      </c>
      <c r="I105" s="49"/>
      <c r="J105" s="1"/>
      <c r="K105"/>
      <c r="L105"/>
      <c r="M105"/>
      <c r="N105"/>
      <c r="O105"/>
      <c r="P105"/>
      <c r="Q105"/>
      <c r="R105"/>
      <c r="S105"/>
      <c r="T105"/>
      <c r="U105"/>
      <c r="V105"/>
      <c r="AF105"/>
    </row>
    <row r="106" spans="1:32" s="208" customFormat="1" x14ac:dyDescent="0.25">
      <c r="A106" s="3">
        <v>41852</v>
      </c>
      <c r="B106" s="28">
        <v>11450189.99</v>
      </c>
      <c r="C106" s="24">
        <f>'[8]Purchased Power Model '!C106</f>
        <v>8.7999999999999989</v>
      </c>
      <c r="D106" s="24">
        <f>'[8]Purchased Power Model '!D106</f>
        <v>81.799999999999983</v>
      </c>
      <c r="E106" s="162">
        <v>0</v>
      </c>
      <c r="F106" s="162">
        <v>31</v>
      </c>
      <c r="G106" s="162">
        <f>'[6]Customer Numbers'!B48</f>
        <v>14539</v>
      </c>
      <c r="H106" s="288">
        <f t="shared" si="1"/>
        <v>10885229.464107353</v>
      </c>
      <c r="I106" s="49"/>
      <c r="J106" s="1"/>
      <c r="K106"/>
      <c r="L106"/>
      <c r="M106"/>
      <c r="N106"/>
      <c r="O106"/>
      <c r="P106"/>
      <c r="Q106"/>
      <c r="R106"/>
      <c r="S106"/>
      <c r="T106"/>
      <c r="U106"/>
      <c r="V106"/>
      <c r="AF106"/>
    </row>
    <row r="107" spans="1:32" s="208" customFormat="1" x14ac:dyDescent="0.25">
      <c r="A107" s="3">
        <v>41883</v>
      </c>
      <c r="B107" s="28">
        <v>11521627.57</v>
      </c>
      <c r="C107" s="24">
        <f>'[8]Purchased Power Model '!C107</f>
        <v>69.700000000000017</v>
      </c>
      <c r="D107" s="24">
        <f>'[8]Purchased Power Model '!D107</f>
        <v>30.099999999999998</v>
      </c>
      <c r="E107" s="162">
        <v>1</v>
      </c>
      <c r="F107" s="162">
        <v>30</v>
      </c>
      <c r="G107" s="162">
        <f>'[6]Customer Numbers'!B49</f>
        <v>14566</v>
      </c>
      <c r="H107" s="288">
        <f t="shared" si="1"/>
        <v>10053391.877653437</v>
      </c>
      <c r="I107" s="49"/>
      <c r="J107" s="1"/>
      <c r="K107"/>
      <c r="L107"/>
      <c r="M107"/>
      <c r="N107"/>
      <c r="O107"/>
      <c r="P107"/>
      <c r="Q107"/>
      <c r="R107"/>
      <c r="S107"/>
      <c r="T107"/>
      <c r="U107"/>
      <c r="V107"/>
      <c r="AF107"/>
    </row>
    <row r="108" spans="1:32" s="208" customFormat="1" x14ac:dyDescent="0.25">
      <c r="A108" s="3">
        <v>41913</v>
      </c>
      <c r="B108" s="28">
        <v>9968060.1999999993</v>
      </c>
      <c r="C108" s="24">
        <f>'[8]Purchased Power Model '!C108</f>
        <v>224.30000000000004</v>
      </c>
      <c r="D108" s="24">
        <f>'[8]Purchased Power Model '!D108</f>
        <v>1.3</v>
      </c>
      <c r="E108" s="162">
        <v>1</v>
      </c>
      <c r="F108" s="162">
        <v>31</v>
      </c>
      <c r="G108" s="162">
        <f>'[6]Customer Numbers'!B50</f>
        <v>14612</v>
      </c>
      <c r="H108" s="288">
        <f t="shared" si="1"/>
        <v>10903842.192078728</v>
      </c>
      <c r="I108" s="49"/>
      <c r="J108" s="1"/>
      <c r="K108"/>
      <c r="L108"/>
      <c r="M108"/>
      <c r="N108"/>
      <c r="O108"/>
      <c r="P108"/>
      <c r="Q108"/>
      <c r="R108"/>
      <c r="S108"/>
      <c r="T108"/>
      <c r="U108"/>
      <c r="V108"/>
      <c r="AF108"/>
    </row>
    <row r="109" spans="1:32" s="208" customFormat="1" x14ac:dyDescent="0.25">
      <c r="A109" s="3">
        <v>41944</v>
      </c>
      <c r="B109" s="28">
        <v>10531538.1</v>
      </c>
      <c r="C109" s="24">
        <f>'[8]Purchased Power Model '!C109</f>
        <v>482.1</v>
      </c>
      <c r="D109" s="24">
        <f>'[8]Purchased Power Model '!D109</f>
        <v>0</v>
      </c>
      <c r="E109" s="162">
        <v>1</v>
      </c>
      <c r="F109" s="162">
        <v>30</v>
      </c>
      <c r="G109" s="162">
        <f>'[6]Customer Numbers'!B51</f>
        <v>14647</v>
      </c>
      <c r="H109" s="288">
        <f t="shared" si="1"/>
        <v>13250893.796871645</v>
      </c>
      <c r="I109" s="49"/>
      <c r="J109" s="1"/>
      <c r="K109"/>
      <c r="L109"/>
      <c r="M109"/>
      <c r="N109"/>
      <c r="O109"/>
      <c r="P109"/>
      <c r="Q109"/>
      <c r="R109"/>
      <c r="S109"/>
      <c r="T109"/>
      <c r="U109"/>
      <c r="V109"/>
      <c r="AF109"/>
    </row>
    <row r="110" spans="1:32" s="208" customFormat="1" x14ac:dyDescent="0.25">
      <c r="A110" s="3">
        <v>41974</v>
      </c>
      <c r="B110" s="28">
        <v>12848843.130000001</v>
      </c>
      <c r="C110" s="24">
        <f>'[8]Purchased Power Model '!C110</f>
        <v>557.29999999999995</v>
      </c>
      <c r="D110" s="24">
        <f>'[8]Purchased Power Model '!D110</f>
        <v>0</v>
      </c>
      <c r="E110" s="162">
        <v>0</v>
      </c>
      <c r="F110" s="162">
        <v>31</v>
      </c>
      <c r="G110" s="162">
        <f>'[6]Customer Numbers'!B52</f>
        <v>14699</v>
      </c>
      <c r="H110" s="288">
        <f t="shared" si="1"/>
        <v>14307642.710833298</v>
      </c>
      <c r="I110" s="49"/>
      <c r="J110" s="1"/>
      <c r="K110"/>
      <c r="L110"/>
      <c r="M110"/>
      <c r="N110"/>
      <c r="O110"/>
      <c r="P110"/>
      <c r="Q110"/>
      <c r="R110"/>
      <c r="S110"/>
      <c r="T110"/>
      <c r="U110"/>
      <c r="V110"/>
      <c r="AF110"/>
    </row>
    <row r="111" spans="1:32" s="208" customFormat="1" x14ac:dyDescent="0.25">
      <c r="A111" s="3">
        <v>42005</v>
      </c>
      <c r="B111" s="28">
        <v>14844381.220000001</v>
      </c>
      <c r="C111" s="24">
        <f>'[8]Purchased Power Model '!C111</f>
        <v>792.39999999999975</v>
      </c>
      <c r="D111" s="24">
        <f>'[8]Purchased Power Model '!D111</f>
        <v>0</v>
      </c>
      <c r="E111" s="162">
        <v>0</v>
      </c>
      <c r="F111" s="162">
        <v>31</v>
      </c>
      <c r="G111" s="162">
        <f>'[6]Customer Numbers'!B60</f>
        <v>14727</v>
      </c>
      <c r="H111" s="288">
        <f t="shared" si="1"/>
        <v>16471598.605803777</v>
      </c>
      <c r="I111" s="49"/>
      <c r="J111" s="1"/>
      <c r="K111"/>
      <c r="L111"/>
      <c r="M111"/>
      <c r="N111"/>
      <c r="O111"/>
      <c r="P111"/>
      <c r="Q111"/>
      <c r="R111"/>
      <c r="S111"/>
      <c r="T111"/>
      <c r="U111"/>
      <c r="V111"/>
      <c r="AF111"/>
    </row>
    <row r="112" spans="1:32" s="208" customFormat="1" x14ac:dyDescent="0.25">
      <c r="A112" s="3">
        <v>42036</v>
      </c>
      <c r="B112" s="28">
        <v>16906263.699999999</v>
      </c>
      <c r="C112" s="24">
        <f>'[8]Purchased Power Model '!C112</f>
        <v>856.8</v>
      </c>
      <c r="D112" s="24">
        <f>'[8]Purchased Power Model '!D112</f>
        <v>0</v>
      </c>
      <c r="E112" s="162">
        <v>0</v>
      </c>
      <c r="F112" s="162">
        <v>28</v>
      </c>
      <c r="G112" s="162">
        <f>'[6]Customer Numbers'!B61</f>
        <v>14735</v>
      </c>
      <c r="H112" s="288">
        <f t="shared" si="1"/>
        <v>17064362.364358008</v>
      </c>
      <c r="I112" s="49"/>
      <c r="J112" s="1"/>
      <c r="K112"/>
      <c r="L112"/>
      <c r="M112"/>
      <c r="N112"/>
      <c r="O112"/>
      <c r="P112"/>
      <c r="Q112"/>
      <c r="R112"/>
      <c r="S112"/>
      <c r="T112"/>
      <c r="U112"/>
      <c r="V112"/>
      <c r="AF112"/>
    </row>
    <row r="113" spans="1:32" s="208" customFormat="1" x14ac:dyDescent="0.25">
      <c r="A113" s="3">
        <v>42064</v>
      </c>
      <c r="B113" s="28">
        <v>16266029.83</v>
      </c>
      <c r="C113" s="24">
        <f>'[8]Purchased Power Model '!C113</f>
        <v>615.49999999999989</v>
      </c>
      <c r="D113" s="24">
        <f>'[8]Purchased Power Model '!D113</f>
        <v>0</v>
      </c>
      <c r="E113" s="162">
        <v>1</v>
      </c>
      <c r="F113" s="162">
        <v>31</v>
      </c>
      <c r="G113" s="162">
        <f>'[6]Customer Numbers'!B62</f>
        <v>14759</v>
      </c>
      <c r="H113" s="288">
        <f t="shared" si="1"/>
        <v>14478761.582448257</v>
      </c>
      <c r="I113" s="49"/>
      <c r="J113" s="1"/>
      <c r="K113"/>
      <c r="L113"/>
      <c r="M113"/>
      <c r="N113"/>
      <c r="O113"/>
      <c r="P113"/>
      <c r="Q113"/>
      <c r="R113"/>
      <c r="S113"/>
      <c r="T113"/>
      <c r="U113"/>
      <c r="V113"/>
      <c r="AF113"/>
    </row>
    <row r="114" spans="1:32" s="208" customFormat="1" x14ac:dyDescent="0.25">
      <c r="A114" s="3">
        <v>42095</v>
      </c>
      <c r="B114" s="28">
        <v>14274593.859999999</v>
      </c>
      <c r="C114" s="24">
        <f>'[8]Purchased Power Model '!C114</f>
        <v>313.7</v>
      </c>
      <c r="D114" s="24">
        <f>'[8]Purchased Power Model '!D114</f>
        <v>0</v>
      </c>
      <c r="E114" s="162">
        <v>1</v>
      </c>
      <c r="F114" s="162">
        <v>30</v>
      </c>
      <c r="G114" s="162">
        <f>'[6]Customer Numbers'!B63</f>
        <v>14776</v>
      </c>
      <c r="H114" s="288">
        <f t="shared" si="1"/>
        <v>11700871.794689471</v>
      </c>
      <c r="I114" s="49"/>
      <c r="J114" s="1"/>
      <c r="K114"/>
      <c r="L114"/>
      <c r="M114"/>
      <c r="N114"/>
      <c r="O114"/>
      <c r="P114"/>
      <c r="Q114"/>
      <c r="R114"/>
      <c r="S114"/>
      <c r="T114"/>
      <c r="U114"/>
      <c r="V114"/>
      <c r="AF114"/>
    </row>
    <row r="115" spans="1:32" s="208" customFormat="1" x14ac:dyDescent="0.25">
      <c r="A115" s="3">
        <v>42125</v>
      </c>
      <c r="B115" s="28">
        <v>10939644.949999999</v>
      </c>
      <c r="C115" s="24">
        <f>'[8]Purchased Power Model '!C115</f>
        <v>89.3</v>
      </c>
      <c r="D115" s="24">
        <f>'[8]Purchased Power Model '!D115</f>
        <v>34.1</v>
      </c>
      <c r="E115" s="162">
        <v>1</v>
      </c>
      <c r="F115" s="162">
        <v>31</v>
      </c>
      <c r="G115" s="162">
        <f>'[6]Customer Numbers'!B64</f>
        <v>14789</v>
      </c>
      <c r="H115" s="288">
        <f t="shared" si="1"/>
        <v>10313319.194834828</v>
      </c>
      <c r="I115" s="49"/>
      <c r="J115" s="1"/>
      <c r="K115"/>
      <c r="L115"/>
      <c r="M115"/>
      <c r="N115"/>
      <c r="O115"/>
      <c r="P115"/>
      <c r="Q115"/>
      <c r="R115"/>
      <c r="S115"/>
      <c r="T115"/>
      <c r="U115"/>
      <c r="V115"/>
      <c r="AF115"/>
    </row>
    <row r="116" spans="1:32" s="208" customFormat="1" x14ac:dyDescent="0.25">
      <c r="A116" s="3">
        <v>42156</v>
      </c>
      <c r="B116" s="28">
        <v>10005423.689999999</v>
      </c>
      <c r="C116" s="24">
        <f>'[8]Purchased Power Model '!C116</f>
        <v>33.800000000000004</v>
      </c>
      <c r="D116" s="24">
        <f>'[8]Purchased Power Model '!D116</f>
        <v>32.299999999999997</v>
      </c>
      <c r="E116" s="162">
        <v>0</v>
      </c>
      <c r="F116" s="162">
        <v>30</v>
      </c>
      <c r="G116" s="162">
        <f>'[6]Customer Numbers'!B65</f>
        <v>14816</v>
      </c>
      <c r="H116" s="288">
        <f t="shared" si="1"/>
        <v>10131267.789782414</v>
      </c>
      <c r="I116" s="49"/>
      <c r="J116" s="1"/>
      <c r="K116"/>
      <c r="L116"/>
      <c r="M116"/>
      <c r="N116"/>
      <c r="O116"/>
      <c r="P116"/>
      <c r="Q116"/>
      <c r="R116"/>
      <c r="S116"/>
      <c r="T116"/>
      <c r="U116"/>
      <c r="V116"/>
      <c r="AF116"/>
    </row>
    <row r="117" spans="1:32" s="208" customFormat="1" x14ac:dyDescent="0.25">
      <c r="A117" s="3">
        <v>42186</v>
      </c>
      <c r="B117" s="28">
        <v>9913946.4600000009</v>
      </c>
      <c r="C117" s="24">
        <f>'[8]Purchased Power Model '!C117</f>
        <v>4</v>
      </c>
      <c r="D117" s="24">
        <f>'[8]Purchased Power Model '!D117</f>
        <v>114.29999999999998</v>
      </c>
      <c r="E117" s="162">
        <v>0</v>
      </c>
      <c r="F117" s="162">
        <v>31</v>
      </c>
      <c r="G117" s="162">
        <f>'[6]Customer Numbers'!B66</f>
        <v>14814</v>
      </c>
      <c r="H117" s="288">
        <f t="shared" si="1"/>
        <v>11487156.080944959</v>
      </c>
      <c r="I117" s="49"/>
      <c r="J117" s="1"/>
      <c r="K117"/>
      <c r="L117"/>
      <c r="M117"/>
      <c r="N117"/>
      <c r="O117"/>
      <c r="P117"/>
      <c r="Q117"/>
      <c r="R117"/>
      <c r="S117"/>
      <c r="T117"/>
      <c r="U117"/>
      <c r="V117"/>
      <c r="AF117"/>
    </row>
    <row r="118" spans="1:32" s="208" customFormat="1" x14ac:dyDescent="0.25">
      <c r="A118" s="3">
        <v>42217</v>
      </c>
      <c r="B118" s="28">
        <v>12836682.76</v>
      </c>
      <c r="C118" s="24">
        <f>'[8]Purchased Power Model '!C118</f>
        <v>4.4000000000000004</v>
      </c>
      <c r="D118" s="24">
        <f>'[8]Purchased Power Model '!D118</f>
        <v>88.6</v>
      </c>
      <c r="E118" s="162">
        <v>0</v>
      </c>
      <c r="F118" s="162">
        <v>31</v>
      </c>
      <c r="G118" s="162">
        <f>'[6]Customer Numbers'!B67</f>
        <v>14895</v>
      </c>
      <c r="H118" s="288">
        <f t="shared" si="1"/>
        <v>10979915.701876814</v>
      </c>
      <c r="I118" s="49"/>
      <c r="J118" s="1"/>
      <c r="K118"/>
      <c r="L118"/>
      <c r="M118"/>
      <c r="N118"/>
      <c r="O118"/>
      <c r="P118"/>
      <c r="Q118"/>
      <c r="R118"/>
      <c r="S118"/>
      <c r="T118"/>
      <c r="U118"/>
      <c r="V118"/>
      <c r="AF118"/>
    </row>
    <row r="119" spans="1:32" s="208" customFormat="1" x14ac:dyDescent="0.25">
      <c r="A119" s="3">
        <v>42248</v>
      </c>
      <c r="B119" s="28">
        <v>12007589.77</v>
      </c>
      <c r="C119" s="24">
        <f>'[8]Purchased Power Model '!C119</f>
        <v>31.099999999999994</v>
      </c>
      <c r="D119" s="24">
        <f>'[8]Purchased Power Model '!D119</f>
        <v>81.900000000000006</v>
      </c>
      <c r="E119" s="162">
        <v>1</v>
      </c>
      <c r="F119" s="162">
        <v>30</v>
      </c>
      <c r="G119" s="162">
        <f>'[6]Customer Numbers'!B68</f>
        <v>14926</v>
      </c>
      <c r="H119" s="288">
        <f t="shared" si="1"/>
        <v>10727898.177443955</v>
      </c>
      <c r="I119" s="49"/>
      <c r="J119" s="1"/>
      <c r="K119"/>
      <c r="L119"/>
      <c r="M119"/>
      <c r="N119"/>
      <c r="O119"/>
      <c r="P119"/>
      <c r="Q119"/>
      <c r="R119"/>
      <c r="S119"/>
      <c r="T119"/>
      <c r="U119"/>
      <c r="V119"/>
      <c r="AF119"/>
    </row>
    <row r="120" spans="1:32" s="208" customFormat="1" x14ac:dyDescent="0.25">
      <c r="A120" s="3">
        <v>42278</v>
      </c>
      <c r="B120" s="28">
        <v>11180147.02</v>
      </c>
      <c r="C120" s="24">
        <f>'[8]Purchased Power Model '!C120</f>
        <v>249.8</v>
      </c>
      <c r="D120" s="24">
        <f>'[8]Purchased Power Model '!D120</f>
        <v>0</v>
      </c>
      <c r="E120" s="162">
        <v>1</v>
      </c>
      <c r="F120" s="162">
        <v>31</v>
      </c>
      <c r="G120" s="162">
        <f>'[6]Customer Numbers'!B69</f>
        <v>14975</v>
      </c>
      <c r="H120" s="288">
        <f t="shared" si="1"/>
        <v>11112710.239229608</v>
      </c>
      <c r="I120" s="49"/>
      <c r="J120" s="1"/>
      <c r="K120"/>
      <c r="L120"/>
      <c r="M120"/>
      <c r="N120"/>
      <c r="O120"/>
      <c r="P120"/>
      <c r="Q120"/>
      <c r="R120"/>
      <c r="S120"/>
      <c r="T120"/>
      <c r="U120"/>
      <c r="V120"/>
      <c r="AF120"/>
    </row>
    <row r="121" spans="1:32" s="208" customFormat="1" x14ac:dyDescent="0.25">
      <c r="A121" s="3">
        <v>42309</v>
      </c>
      <c r="B121" s="28">
        <v>10611037.560000001</v>
      </c>
      <c r="C121" s="24">
        <f>'[8]Purchased Power Model '!C121</f>
        <v>345</v>
      </c>
      <c r="D121" s="24">
        <f>'[8]Purchased Power Model '!D121</f>
        <v>0</v>
      </c>
      <c r="E121" s="162">
        <v>1</v>
      </c>
      <c r="F121" s="162">
        <v>30</v>
      </c>
      <c r="G121" s="162">
        <f>'[6]Customer Numbers'!B70</f>
        <v>15045</v>
      </c>
      <c r="H121" s="288">
        <f t="shared" si="1"/>
        <v>11988969.708396727</v>
      </c>
      <c r="I121" s="49"/>
      <c r="J121" s="1"/>
      <c r="K121"/>
      <c r="L121"/>
      <c r="M121"/>
      <c r="N121"/>
      <c r="O121"/>
      <c r="P121"/>
      <c r="Q121"/>
      <c r="R121"/>
      <c r="S121"/>
      <c r="T121"/>
      <c r="U121"/>
      <c r="V121"/>
      <c r="AF121"/>
    </row>
    <row r="122" spans="1:32" s="208" customFormat="1" x14ac:dyDescent="0.25">
      <c r="A122" s="3">
        <v>42339</v>
      </c>
      <c r="B122" s="28">
        <v>11257182.140000001</v>
      </c>
      <c r="C122" s="24">
        <f>'[8]Purchased Power Model '!C122</f>
        <v>429.70000000000005</v>
      </c>
      <c r="D122" s="24">
        <f>'[8]Purchased Power Model '!D122</f>
        <v>0</v>
      </c>
      <c r="E122" s="162">
        <v>0</v>
      </c>
      <c r="F122" s="162">
        <v>31</v>
      </c>
      <c r="G122" s="162">
        <f>'[6]Customer Numbers'!B71</f>
        <v>15082</v>
      </c>
      <c r="H122" s="288">
        <f t="shared" si="1"/>
        <v>13133160.48115132</v>
      </c>
      <c r="I122" s="49"/>
      <c r="J122" s="1"/>
      <c r="K122"/>
      <c r="L122"/>
      <c r="M122"/>
      <c r="N122"/>
      <c r="O122"/>
      <c r="P122"/>
      <c r="Q122"/>
      <c r="R122"/>
      <c r="S122"/>
      <c r="T122"/>
      <c r="U122"/>
      <c r="V122"/>
      <c r="AF122"/>
    </row>
    <row r="123" spans="1:32" s="208" customFormat="1" x14ac:dyDescent="0.25">
      <c r="A123" s="3"/>
      <c r="B123" s="28"/>
      <c r="C123" s="24"/>
      <c r="D123" s="24"/>
      <c r="E123" s="162"/>
      <c r="F123" s="162"/>
      <c r="G123" s="162"/>
      <c r="H123" s="288"/>
      <c r="I123" s="49"/>
      <c r="J123" s="1"/>
      <c r="K123"/>
      <c r="L123"/>
      <c r="M123"/>
      <c r="N123"/>
      <c r="O123"/>
      <c r="P123"/>
      <c r="Q123"/>
      <c r="R123"/>
      <c r="S123"/>
      <c r="T123"/>
      <c r="U123"/>
      <c r="V123"/>
      <c r="AF123"/>
    </row>
    <row r="124" spans="1:32" s="208" customFormat="1" x14ac:dyDescent="0.25">
      <c r="A124" s="3"/>
      <c r="B124" s="28"/>
      <c r="C124" s="24"/>
      <c r="D124" s="24" t="s">
        <v>244</v>
      </c>
      <c r="E124" s="24"/>
      <c r="F124" s="24"/>
      <c r="G124" s="24"/>
      <c r="H124" s="49">
        <f>SUM(H3:H123)</f>
        <v>1489232669.28</v>
      </c>
      <c r="I124" s="1"/>
      <c r="J124" s="1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32" s="208" customFormat="1" x14ac:dyDescent="0.25">
      <c r="A125" s="3"/>
      <c r="B125" s="28"/>
      <c r="C125" s="24"/>
      <c r="D125" s="24"/>
      <c r="E125" s="24"/>
      <c r="F125" s="24"/>
      <c r="G125" s="24"/>
      <c r="H125" s="1"/>
      <c r="I125" s="1"/>
      <c r="J125" s="1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32" s="208" customFormat="1" x14ac:dyDescent="0.25">
      <c r="A126">
        <v>2006</v>
      </c>
      <c r="B126" s="28">
        <f>SUM(B3:B14)</f>
        <v>146383018</v>
      </c>
      <c r="C126" s="24"/>
      <c r="D126" s="24"/>
      <c r="E126" s="24"/>
      <c r="F126" s="24"/>
      <c r="G126" s="24"/>
      <c r="H126" s="28">
        <f>SUM(H3:H14)</f>
        <v>146650138.00570038</v>
      </c>
      <c r="I126" s="35">
        <f>H126-B126</f>
        <v>267120.00570037961</v>
      </c>
      <c r="J126" s="5">
        <f>I126/B126</f>
        <v>1.8248018749031367E-3</v>
      </c>
      <c r="K126"/>
      <c r="L126"/>
      <c r="M126"/>
      <c r="N126"/>
      <c r="O126"/>
      <c r="P126"/>
      <c r="Q126"/>
      <c r="R126"/>
      <c r="S126"/>
      <c r="T126"/>
      <c r="U126"/>
      <c r="V126"/>
    </row>
    <row r="127" spans="1:32" s="208" customFormat="1" x14ac:dyDescent="0.25">
      <c r="A127" s="17">
        <v>2007</v>
      </c>
      <c r="B127" s="28">
        <f>SUM(B15:B26)</f>
        <v>150259456</v>
      </c>
      <c r="C127" s="24"/>
      <c r="D127" s="24"/>
      <c r="E127" s="24"/>
      <c r="F127" s="24"/>
      <c r="G127" s="24"/>
      <c r="H127" s="28">
        <f>SUM(H15:H26)</f>
        <v>150851512.86036399</v>
      </c>
      <c r="I127" s="35">
        <f t="shared" ref="I127:I135" si="2">H127-B127</f>
        <v>592056.86036399007</v>
      </c>
      <c r="J127" s="5">
        <f t="shared" ref="J127:J135" si="3">I127/B127</f>
        <v>3.940230293153664E-3</v>
      </c>
      <c r="K127"/>
      <c r="L127"/>
      <c r="M127"/>
      <c r="N127"/>
      <c r="O127"/>
      <c r="P127"/>
      <c r="Q127"/>
      <c r="R127"/>
      <c r="S127"/>
      <c r="T127"/>
      <c r="U127"/>
      <c r="V127"/>
    </row>
    <row r="128" spans="1:32" s="208" customFormat="1" x14ac:dyDescent="0.25">
      <c r="A128">
        <v>2008</v>
      </c>
      <c r="B128" s="28">
        <f>SUM(B27:B38)</f>
        <v>150623523</v>
      </c>
      <c r="C128" s="24"/>
      <c r="D128" s="24"/>
      <c r="E128" s="24"/>
      <c r="F128" s="24"/>
      <c r="G128" s="24"/>
      <c r="H128" s="28">
        <f>SUM(H27:H38)</f>
        <v>148737944.31498763</v>
      </c>
      <c r="I128" s="35">
        <f t="shared" si="2"/>
        <v>-1885578.6850123703</v>
      </c>
      <c r="J128" s="5">
        <f t="shared" si="3"/>
        <v>-1.2518487467673761E-2</v>
      </c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s="208" customFormat="1" x14ac:dyDescent="0.25">
      <c r="A129" s="17">
        <v>2009</v>
      </c>
      <c r="B129" s="28">
        <f>SUM(B39:B50)</f>
        <v>150068982</v>
      </c>
      <c r="C129" s="24"/>
      <c r="D129" s="24"/>
      <c r="E129" s="24"/>
      <c r="F129" s="24"/>
      <c r="G129" s="24"/>
      <c r="H129" s="28">
        <f>SUM(H39:H50)</f>
        <v>147189420.84183958</v>
      </c>
      <c r="I129" s="35">
        <f t="shared" si="2"/>
        <v>-2879561.1581604183</v>
      </c>
      <c r="J129" s="5">
        <f t="shared" si="3"/>
        <v>-1.9188250095282303E-2</v>
      </c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s="208" customFormat="1" x14ac:dyDescent="0.25">
      <c r="A130">
        <v>2010</v>
      </c>
      <c r="B130" s="28">
        <f>SUM(B51:B62)</f>
        <v>148892062</v>
      </c>
      <c r="C130" s="24"/>
      <c r="D130" s="24"/>
      <c r="E130" s="24"/>
      <c r="F130" s="24"/>
      <c r="G130" s="24"/>
      <c r="H130" s="28">
        <f>SUM(H51:H62)</f>
        <v>148911918.96842048</v>
      </c>
      <c r="I130" s="35">
        <f t="shared" si="2"/>
        <v>19856.968420475721</v>
      </c>
      <c r="J130" s="5">
        <f t="shared" si="3"/>
        <v>1.3336485608262798E-4</v>
      </c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s="208" customFormat="1" x14ac:dyDescent="0.25">
      <c r="A131">
        <v>2011</v>
      </c>
      <c r="B131" s="28">
        <f>SUM(B63:B74)</f>
        <v>146677356</v>
      </c>
      <c r="C131" s="24"/>
      <c r="D131" s="24"/>
      <c r="E131" s="24"/>
      <c r="F131" s="24"/>
      <c r="G131" s="24"/>
      <c r="H131" s="28">
        <f>SUM(H63:H74)</f>
        <v>150030674.14362973</v>
      </c>
      <c r="I131" s="35">
        <f t="shared" si="2"/>
        <v>3353318.1436297297</v>
      </c>
      <c r="J131" s="5">
        <f t="shared" si="3"/>
        <v>2.2861866583071825E-2</v>
      </c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s="208" customFormat="1" x14ac:dyDescent="0.25">
      <c r="A132">
        <v>2012</v>
      </c>
      <c r="B132" s="208">
        <f>SUM(B75:B86)</f>
        <v>144943095</v>
      </c>
      <c r="C132" s="24"/>
      <c r="D132" s="24"/>
      <c r="E132" s="24"/>
      <c r="F132" s="24"/>
      <c r="G132" s="24"/>
      <c r="H132" s="208">
        <f>SUM(H75:H86)</f>
        <v>147135376.65745631</v>
      </c>
      <c r="I132" s="35">
        <f t="shared" si="2"/>
        <v>2192281.6574563086</v>
      </c>
      <c r="J132" s="5">
        <f t="shared" si="3"/>
        <v>1.5125119671663618E-2</v>
      </c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s="208" customFormat="1" x14ac:dyDescent="0.25">
      <c r="A133">
        <v>2013</v>
      </c>
      <c r="B133" s="208">
        <f>SUM(B87:B98)</f>
        <v>147964296</v>
      </c>
      <c r="C133" s="24"/>
      <c r="D133" s="24"/>
      <c r="E133" s="24"/>
      <c r="F133" s="24"/>
      <c r="G133" s="24"/>
      <c r="H133" s="208">
        <f>SUM(H87:H98)</f>
        <v>149169714.18804401</v>
      </c>
      <c r="I133" s="35">
        <f t="shared" si="2"/>
        <v>1205418.1880440116</v>
      </c>
      <c r="J133" s="5">
        <f t="shared" si="3"/>
        <v>8.146682818968784E-3</v>
      </c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s="208" customFormat="1" x14ac:dyDescent="0.25">
      <c r="A134">
        <v>2014</v>
      </c>
      <c r="B134" s="28">
        <f>SUM(B99:B110)</f>
        <v>152377958.31999999</v>
      </c>
      <c r="C134" s="24"/>
      <c r="D134" s="24"/>
      <c r="E134" s="24"/>
      <c r="F134" s="24"/>
      <c r="G134" s="24"/>
      <c r="H134" s="28">
        <f>SUM(H99:H110)</f>
        <v>150965977.57859817</v>
      </c>
      <c r="I134" s="35">
        <f t="shared" si="2"/>
        <v>-1411980.7414018214</v>
      </c>
      <c r="J134" s="5">
        <f t="shared" si="3"/>
        <v>-9.2663056846883571E-3</v>
      </c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s="208" customFormat="1" x14ac:dyDescent="0.25">
      <c r="A135" s="17">
        <v>2015</v>
      </c>
      <c r="B135" s="28">
        <f>SUM(B111:B122)</f>
        <v>151042922.95999998</v>
      </c>
      <c r="C135" s="24"/>
      <c r="D135" s="24"/>
      <c r="E135" s="24"/>
      <c r="F135" s="24"/>
      <c r="G135" s="24"/>
      <c r="H135" s="28">
        <f>SUM(H111:H122)</f>
        <v>149589991.72096014</v>
      </c>
      <c r="I135" s="35">
        <f t="shared" si="2"/>
        <v>-1452931.2390398383</v>
      </c>
      <c r="J135" s="5">
        <f t="shared" si="3"/>
        <v>-9.6193268149651189E-3</v>
      </c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s="208" customFormat="1" x14ac:dyDescent="0.25">
      <c r="A136"/>
      <c r="B136" s="28"/>
      <c r="C136" s="24"/>
      <c r="D136" s="24"/>
      <c r="E136" s="24"/>
      <c r="F136" s="24"/>
      <c r="G136" s="24"/>
      <c r="I136" s="1"/>
      <c r="J136" s="1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s="208" customFormat="1" x14ac:dyDescent="0.25">
      <c r="A137" t="s">
        <v>245</v>
      </c>
      <c r="B137" s="28">
        <f>SUM(B126:B135)</f>
        <v>1489232669.28</v>
      </c>
      <c r="C137" s="24"/>
      <c r="D137" s="24"/>
      <c r="E137" s="24"/>
      <c r="F137" s="24"/>
      <c r="G137" s="24"/>
      <c r="H137" s="28">
        <f>SUM(H126:H135)</f>
        <v>1489232669.2800004</v>
      </c>
      <c r="I137" s="208">
        <f>H137-B137</f>
        <v>0</v>
      </c>
      <c r="J137" s="1"/>
      <c r="K137"/>
      <c r="L137"/>
      <c r="M137"/>
      <c r="N137"/>
      <c r="O137"/>
      <c r="P137"/>
      <c r="Q137"/>
      <c r="R137"/>
      <c r="S137"/>
      <c r="T137"/>
      <c r="U137"/>
      <c r="V137"/>
    </row>
    <row r="139" spans="1:22" s="208" customFormat="1" x14ac:dyDescent="0.25">
      <c r="A139"/>
      <c r="B139" s="28"/>
      <c r="C139" s="24"/>
      <c r="D139" s="24"/>
      <c r="E139" s="24"/>
      <c r="F139" s="24"/>
      <c r="G139" s="24"/>
      <c r="I139" s="49"/>
      <c r="J139" s="1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s="208" customFormat="1" x14ac:dyDescent="0.25">
      <c r="A140"/>
      <c r="B140" s="28"/>
      <c r="C140" s="24"/>
      <c r="D140" s="24"/>
      <c r="E140" s="24"/>
      <c r="F140" s="24"/>
      <c r="G140" s="24"/>
      <c r="H140" s="206"/>
      <c r="I140" s="206" t="s">
        <v>246</v>
      </c>
      <c r="J140" s="206"/>
      <c r="K140"/>
      <c r="L140"/>
      <c r="M140"/>
      <c r="N140"/>
      <c r="O140"/>
      <c r="P140"/>
      <c r="Q140"/>
      <c r="R140"/>
      <c r="S140"/>
      <c r="T140"/>
      <c r="U140"/>
      <c r="V140"/>
    </row>
    <row r="152" spans="1:32" s="208" customFormat="1" x14ac:dyDescent="0.25">
      <c r="A152"/>
      <c r="B152" s="28"/>
      <c r="C152" s="24"/>
      <c r="D152" s="24"/>
      <c r="E152" s="24"/>
      <c r="F152" s="24"/>
      <c r="G152" s="24"/>
      <c r="H152" s="1"/>
      <c r="I152" s="1"/>
      <c r="J152" s="1"/>
      <c r="K152"/>
      <c r="L152"/>
      <c r="M152"/>
      <c r="N152"/>
      <c r="O152"/>
      <c r="P152"/>
      <c r="Q152"/>
      <c r="R152"/>
      <c r="S152"/>
      <c r="T152"/>
      <c r="U152"/>
      <c r="V152"/>
      <c r="W152" s="207"/>
      <c r="X152" s="207"/>
      <c r="Y152" s="207"/>
      <c r="AF152"/>
    </row>
    <row r="154" spans="1:32" s="208" customFormat="1" x14ac:dyDescent="0.25">
      <c r="A154"/>
      <c r="B154" s="28"/>
      <c r="C154" s="24"/>
      <c r="D154" s="24"/>
      <c r="E154" s="28"/>
      <c r="F154" s="28"/>
      <c r="G154" s="24"/>
      <c r="H154" s="1"/>
      <c r="I154" s="1"/>
      <c r="J154" s="1"/>
      <c r="K154"/>
      <c r="L154"/>
      <c r="M154"/>
      <c r="N154"/>
      <c r="O154"/>
      <c r="P154"/>
      <c r="Q154"/>
      <c r="R154"/>
      <c r="S154"/>
      <c r="T154"/>
      <c r="U154"/>
      <c r="V154"/>
      <c r="AF154"/>
    </row>
  </sheetData>
  <mergeCells count="1">
    <mergeCell ref="F1:G1"/>
  </mergeCells>
  <printOptions horizontalCentered="1"/>
  <pageMargins left="0.31496062992125984" right="0.31496062992125984" top="0.35433070866141736" bottom="0.35433070866141736" header="0.31496062992125984" footer="0.15748031496062992"/>
  <pageSetup scale="52" fitToHeight="2" orientation="landscape" r:id="rId1"/>
  <headerFooter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6"/>
  <sheetViews>
    <sheetView workbookViewId="0">
      <selection activeCell="A2" sqref="A2:Q137"/>
    </sheetView>
  </sheetViews>
  <sheetFormatPr defaultRowHeight="13.2" x14ac:dyDescent="0.25"/>
  <cols>
    <col min="1" max="1" width="10.6640625" customWidth="1"/>
    <col min="2" max="2" width="18" style="28" customWidth="1"/>
    <col min="3" max="3" width="11.6640625" style="24" customWidth="1"/>
    <col min="4" max="4" width="13.44140625" style="24" customWidth="1"/>
    <col min="5" max="6" width="12.44140625" style="24" customWidth="1"/>
    <col min="7" max="7" width="10.109375" style="24" customWidth="1"/>
    <col min="8" max="8" width="15.44140625" style="1" bestFit="1" customWidth="1"/>
    <col min="9" max="9" width="11.5546875" style="1" customWidth="1"/>
    <col min="10" max="10" width="11.44140625" style="1" customWidth="1"/>
    <col min="11" max="11" width="25.88671875" bestFit="1" customWidth="1"/>
    <col min="12" max="14" width="18" customWidth="1"/>
    <col min="15" max="15" width="17.109375" customWidth="1"/>
    <col min="16" max="17" width="15.6640625" customWidth="1"/>
    <col min="18" max="18" width="15" customWidth="1"/>
    <col min="19" max="20" width="14.109375" bestFit="1" customWidth="1"/>
    <col min="21" max="21" width="11.6640625" bestFit="1" customWidth="1"/>
    <col min="22" max="22" width="11.88671875" bestFit="1" customWidth="1"/>
    <col min="23" max="23" width="12.5546875" style="208" customWidth="1"/>
    <col min="24" max="24" width="11.33203125" style="208" customWidth="1"/>
    <col min="25" max="25" width="11.5546875" style="208" customWidth="1"/>
    <col min="26" max="26" width="9.33203125" style="208" customWidth="1"/>
    <col min="27" max="27" width="9.109375" style="208"/>
    <col min="28" max="28" width="11.6640625" style="208" bestFit="1" customWidth="1"/>
    <col min="29" max="29" width="10.6640625" style="208" bestFit="1" customWidth="1"/>
    <col min="30" max="31" width="9.109375" style="208"/>
    <col min="256" max="256" width="11.88671875" customWidth="1"/>
    <col min="257" max="257" width="18" customWidth="1"/>
    <col min="258" max="258" width="11.6640625" customWidth="1"/>
    <col min="259" max="259" width="13.44140625" customWidth="1"/>
    <col min="260" max="260" width="12.44140625" customWidth="1"/>
    <col min="261" max="261" width="10.109375" customWidth="1"/>
    <col min="262" max="263" width="12.44140625" customWidth="1"/>
    <col min="264" max="264" width="15.44140625" bestFit="1" customWidth="1"/>
    <col min="265" max="265" width="17" customWidth="1"/>
    <col min="266" max="266" width="12.44140625" customWidth="1"/>
    <col min="267" max="267" width="25.88671875" bestFit="1" customWidth="1"/>
    <col min="268" max="270" width="18" customWidth="1"/>
    <col min="271" max="271" width="17.109375" customWidth="1"/>
    <col min="272" max="273" width="15.6640625" customWidth="1"/>
    <col min="274" max="274" width="15" customWidth="1"/>
    <col min="275" max="276" width="14.109375" bestFit="1" customWidth="1"/>
    <col min="277" max="277" width="11.6640625" bestFit="1" customWidth="1"/>
    <col min="278" max="278" width="11.88671875" bestFit="1" customWidth="1"/>
    <col min="279" max="279" width="12.5546875" customWidth="1"/>
    <col min="280" max="280" width="11.33203125" customWidth="1"/>
    <col min="281" max="281" width="11.5546875" customWidth="1"/>
    <col min="282" max="282" width="9.33203125" customWidth="1"/>
    <col min="284" max="284" width="11.6640625" bestFit="1" customWidth="1"/>
    <col min="285" max="285" width="10.6640625" bestFit="1" customWidth="1"/>
    <col min="512" max="512" width="11.88671875" customWidth="1"/>
    <col min="513" max="513" width="18" customWidth="1"/>
    <col min="514" max="514" width="11.6640625" customWidth="1"/>
    <col min="515" max="515" width="13.44140625" customWidth="1"/>
    <col min="516" max="516" width="12.44140625" customWidth="1"/>
    <col min="517" max="517" width="10.109375" customWidth="1"/>
    <col min="518" max="519" width="12.44140625" customWidth="1"/>
    <col min="520" max="520" width="15.44140625" bestFit="1" customWidth="1"/>
    <col min="521" max="521" width="17" customWidth="1"/>
    <col min="522" max="522" width="12.44140625" customWidth="1"/>
    <col min="523" max="523" width="25.88671875" bestFit="1" customWidth="1"/>
    <col min="524" max="526" width="18" customWidth="1"/>
    <col min="527" max="527" width="17.109375" customWidth="1"/>
    <col min="528" max="529" width="15.6640625" customWidth="1"/>
    <col min="530" max="530" width="15" customWidth="1"/>
    <col min="531" max="532" width="14.109375" bestFit="1" customWidth="1"/>
    <col min="533" max="533" width="11.6640625" bestFit="1" customWidth="1"/>
    <col min="534" max="534" width="11.88671875" bestFit="1" customWidth="1"/>
    <col min="535" max="535" width="12.5546875" customWidth="1"/>
    <col min="536" max="536" width="11.33203125" customWidth="1"/>
    <col min="537" max="537" width="11.5546875" customWidth="1"/>
    <col min="538" max="538" width="9.33203125" customWidth="1"/>
    <col min="540" max="540" width="11.6640625" bestFit="1" customWidth="1"/>
    <col min="541" max="541" width="10.6640625" bestFit="1" customWidth="1"/>
    <col min="768" max="768" width="11.88671875" customWidth="1"/>
    <col min="769" max="769" width="18" customWidth="1"/>
    <col min="770" max="770" width="11.6640625" customWidth="1"/>
    <col min="771" max="771" width="13.44140625" customWidth="1"/>
    <col min="772" max="772" width="12.44140625" customWidth="1"/>
    <col min="773" max="773" width="10.109375" customWidth="1"/>
    <col min="774" max="775" width="12.44140625" customWidth="1"/>
    <col min="776" max="776" width="15.44140625" bestFit="1" customWidth="1"/>
    <col min="777" max="777" width="17" customWidth="1"/>
    <col min="778" max="778" width="12.44140625" customWidth="1"/>
    <col min="779" max="779" width="25.88671875" bestFit="1" customWidth="1"/>
    <col min="780" max="782" width="18" customWidth="1"/>
    <col min="783" max="783" width="17.109375" customWidth="1"/>
    <col min="784" max="785" width="15.6640625" customWidth="1"/>
    <col min="786" max="786" width="15" customWidth="1"/>
    <col min="787" max="788" width="14.109375" bestFit="1" customWidth="1"/>
    <col min="789" max="789" width="11.6640625" bestFit="1" customWidth="1"/>
    <col min="790" max="790" width="11.88671875" bestFit="1" customWidth="1"/>
    <col min="791" max="791" width="12.5546875" customWidth="1"/>
    <col min="792" max="792" width="11.33203125" customWidth="1"/>
    <col min="793" max="793" width="11.5546875" customWidth="1"/>
    <col min="794" max="794" width="9.33203125" customWidth="1"/>
    <col min="796" max="796" width="11.6640625" bestFit="1" customWidth="1"/>
    <col min="797" max="797" width="10.6640625" bestFit="1" customWidth="1"/>
    <col min="1024" max="1024" width="11.88671875" customWidth="1"/>
    <col min="1025" max="1025" width="18" customWidth="1"/>
    <col min="1026" max="1026" width="11.6640625" customWidth="1"/>
    <col min="1027" max="1027" width="13.44140625" customWidth="1"/>
    <col min="1028" max="1028" width="12.44140625" customWidth="1"/>
    <col min="1029" max="1029" width="10.109375" customWidth="1"/>
    <col min="1030" max="1031" width="12.44140625" customWidth="1"/>
    <col min="1032" max="1032" width="15.44140625" bestFit="1" customWidth="1"/>
    <col min="1033" max="1033" width="17" customWidth="1"/>
    <col min="1034" max="1034" width="12.44140625" customWidth="1"/>
    <col min="1035" max="1035" width="25.88671875" bestFit="1" customWidth="1"/>
    <col min="1036" max="1038" width="18" customWidth="1"/>
    <col min="1039" max="1039" width="17.109375" customWidth="1"/>
    <col min="1040" max="1041" width="15.6640625" customWidth="1"/>
    <col min="1042" max="1042" width="15" customWidth="1"/>
    <col min="1043" max="1044" width="14.109375" bestFit="1" customWidth="1"/>
    <col min="1045" max="1045" width="11.6640625" bestFit="1" customWidth="1"/>
    <col min="1046" max="1046" width="11.88671875" bestFit="1" customWidth="1"/>
    <col min="1047" max="1047" width="12.5546875" customWidth="1"/>
    <col min="1048" max="1048" width="11.33203125" customWidth="1"/>
    <col min="1049" max="1049" width="11.5546875" customWidth="1"/>
    <col min="1050" max="1050" width="9.33203125" customWidth="1"/>
    <col min="1052" max="1052" width="11.6640625" bestFit="1" customWidth="1"/>
    <col min="1053" max="1053" width="10.6640625" bestFit="1" customWidth="1"/>
    <col min="1280" max="1280" width="11.88671875" customWidth="1"/>
    <col min="1281" max="1281" width="18" customWidth="1"/>
    <col min="1282" max="1282" width="11.6640625" customWidth="1"/>
    <col min="1283" max="1283" width="13.44140625" customWidth="1"/>
    <col min="1284" max="1284" width="12.44140625" customWidth="1"/>
    <col min="1285" max="1285" width="10.109375" customWidth="1"/>
    <col min="1286" max="1287" width="12.44140625" customWidth="1"/>
    <col min="1288" max="1288" width="15.44140625" bestFit="1" customWidth="1"/>
    <col min="1289" max="1289" width="17" customWidth="1"/>
    <col min="1290" max="1290" width="12.44140625" customWidth="1"/>
    <col min="1291" max="1291" width="25.88671875" bestFit="1" customWidth="1"/>
    <col min="1292" max="1294" width="18" customWidth="1"/>
    <col min="1295" max="1295" width="17.109375" customWidth="1"/>
    <col min="1296" max="1297" width="15.6640625" customWidth="1"/>
    <col min="1298" max="1298" width="15" customWidth="1"/>
    <col min="1299" max="1300" width="14.109375" bestFit="1" customWidth="1"/>
    <col min="1301" max="1301" width="11.6640625" bestFit="1" customWidth="1"/>
    <col min="1302" max="1302" width="11.88671875" bestFit="1" customWidth="1"/>
    <col min="1303" max="1303" width="12.5546875" customWidth="1"/>
    <col min="1304" max="1304" width="11.33203125" customWidth="1"/>
    <col min="1305" max="1305" width="11.5546875" customWidth="1"/>
    <col min="1306" max="1306" width="9.33203125" customWidth="1"/>
    <col min="1308" max="1308" width="11.6640625" bestFit="1" customWidth="1"/>
    <col min="1309" max="1309" width="10.6640625" bestFit="1" customWidth="1"/>
    <col min="1536" max="1536" width="11.88671875" customWidth="1"/>
    <col min="1537" max="1537" width="18" customWidth="1"/>
    <col min="1538" max="1538" width="11.6640625" customWidth="1"/>
    <col min="1539" max="1539" width="13.44140625" customWidth="1"/>
    <col min="1540" max="1540" width="12.44140625" customWidth="1"/>
    <col min="1541" max="1541" width="10.109375" customWidth="1"/>
    <col min="1542" max="1543" width="12.44140625" customWidth="1"/>
    <col min="1544" max="1544" width="15.44140625" bestFit="1" customWidth="1"/>
    <col min="1545" max="1545" width="17" customWidth="1"/>
    <col min="1546" max="1546" width="12.44140625" customWidth="1"/>
    <col min="1547" max="1547" width="25.88671875" bestFit="1" customWidth="1"/>
    <col min="1548" max="1550" width="18" customWidth="1"/>
    <col min="1551" max="1551" width="17.109375" customWidth="1"/>
    <col min="1552" max="1553" width="15.6640625" customWidth="1"/>
    <col min="1554" max="1554" width="15" customWidth="1"/>
    <col min="1555" max="1556" width="14.109375" bestFit="1" customWidth="1"/>
    <col min="1557" max="1557" width="11.6640625" bestFit="1" customWidth="1"/>
    <col min="1558" max="1558" width="11.88671875" bestFit="1" customWidth="1"/>
    <col min="1559" max="1559" width="12.5546875" customWidth="1"/>
    <col min="1560" max="1560" width="11.33203125" customWidth="1"/>
    <col min="1561" max="1561" width="11.5546875" customWidth="1"/>
    <col min="1562" max="1562" width="9.33203125" customWidth="1"/>
    <col min="1564" max="1564" width="11.6640625" bestFit="1" customWidth="1"/>
    <col min="1565" max="1565" width="10.6640625" bestFit="1" customWidth="1"/>
    <col min="1792" max="1792" width="11.88671875" customWidth="1"/>
    <col min="1793" max="1793" width="18" customWidth="1"/>
    <col min="1794" max="1794" width="11.6640625" customWidth="1"/>
    <col min="1795" max="1795" width="13.44140625" customWidth="1"/>
    <col min="1796" max="1796" width="12.44140625" customWidth="1"/>
    <col min="1797" max="1797" width="10.109375" customWidth="1"/>
    <col min="1798" max="1799" width="12.44140625" customWidth="1"/>
    <col min="1800" max="1800" width="15.44140625" bestFit="1" customWidth="1"/>
    <col min="1801" max="1801" width="17" customWidth="1"/>
    <col min="1802" max="1802" width="12.44140625" customWidth="1"/>
    <col min="1803" max="1803" width="25.88671875" bestFit="1" customWidth="1"/>
    <col min="1804" max="1806" width="18" customWidth="1"/>
    <col min="1807" max="1807" width="17.109375" customWidth="1"/>
    <col min="1808" max="1809" width="15.6640625" customWidth="1"/>
    <col min="1810" max="1810" width="15" customWidth="1"/>
    <col min="1811" max="1812" width="14.109375" bestFit="1" customWidth="1"/>
    <col min="1813" max="1813" width="11.6640625" bestFit="1" customWidth="1"/>
    <col min="1814" max="1814" width="11.88671875" bestFit="1" customWidth="1"/>
    <col min="1815" max="1815" width="12.5546875" customWidth="1"/>
    <col min="1816" max="1816" width="11.33203125" customWidth="1"/>
    <col min="1817" max="1817" width="11.5546875" customWidth="1"/>
    <col min="1818" max="1818" width="9.33203125" customWidth="1"/>
    <col min="1820" max="1820" width="11.6640625" bestFit="1" customWidth="1"/>
    <col min="1821" max="1821" width="10.6640625" bestFit="1" customWidth="1"/>
    <col min="2048" max="2048" width="11.88671875" customWidth="1"/>
    <col min="2049" max="2049" width="18" customWidth="1"/>
    <col min="2050" max="2050" width="11.6640625" customWidth="1"/>
    <col min="2051" max="2051" width="13.44140625" customWidth="1"/>
    <col min="2052" max="2052" width="12.44140625" customWidth="1"/>
    <col min="2053" max="2053" width="10.109375" customWidth="1"/>
    <col min="2054" max="2055" width="12.44140625" customWidth="1"/>
    <col min="2056" max="2056" width="15.44140625" bestFit="1" customWidth="1"/>
    <col min="2057" max="2057" width="17" customWidth="1"/>
    <col min="2058" max="2058" width="12.44140625" customWidth="1"/>
    <col min="2059" max="2059" width="25.88671875" bestFit="1" customWidth="1"/>
    <col min="2060" max="2062" width="18" customWidth="1"/>
    <col min="2063" max="2063" width="17.109375" customWidth="1"/>
    <col min="2064" max="2065" width="15.6640625" customWidth="1"/>
    <col min="2066" max="2066" width="15" customWidth="1"/>
    <col min="2067" max="2068" width="14.109375" bestFit="1" customWidth="1"/>
    <col min="2069" max="2069" width="11.6640625" bestFit="1" customWidth="1"/>
    <col min="2070" max="2070" width="11.88671875" bestFit="1" customWidth="1"/>
    <col min="2071" max="2071" width="12.5546875" customWidth="1"/>
    <col min="2072" max="2072" width="11.33203125" customWidth="1"/>
    <col min="2073" max="2073" width="11.5546875" customWidth="1"/>
    <col min="2074" max="2074" width="9.33203125" customWidth="1"/>
    <col min="2076" max="2076" width="11.6640625" bestFit="1" customWidth="1"/>
    <col min="2077" max="2077" width="10.6640625" bestFit="1" customWidth="1"/>
    <col min="2304" max="2304" width="11.88671875" customWidth="1"/>
    <col min="2305" max="2305" width="18" customWidth="1"/>
    <col min="2306" max="2306" width="11.6640625" customWidth="1"/>
    <col min="2307" max="2307" width="13.44140625" customWidth="1"/>
    <col min="2308" max="2308" width="12.44140625" customWidth="1"/>
    <col min="2309" max="2309" width="10.109375" customWidth="1"/>
    <col min="2310" max="2311" width="12.44140625" customWidth="1"/>
    <col min="2312" max="2312" width="15.44140625" bestFit="1" customWidth="1"/>
    <col min="2313" max="2313" width="17" customWidth="1"/>
    <col min="2314" max="2314" width="12.44140625" customWidth="1"/>
    <col min="2315" max="2315" width="25.88671875" bestFit="1" customWidth="1"/>
    <col min="2316" max="2318" width="18" customWidth="1"/>
    <col min="2319" max="2319" width="17.109375" customWidth="1"/>
    <col min="2320" max="2321" width="15.6640625" customWidth="1"/>
    <col min="2322" max="2322" width="15" customWidth="1"/>
    <col min="2323" max="2324" width="14.109375" bestFit="1" customWidth="1"/>
    <col min="2325" max="2325" width="11.6640625" bestFit="1" customWidth="1"/>
    <col min="2326" max="2326" width="11.88671875" bestFit="1" customWidth="1"/>
    <col min="2327" max="2327" width="12.5546875" customWidth="1"/>
    <col min="2328" max="2328" width="11.33203125" customWidth="1"/>
    <col min="2329" max="2329" width="11.5546875" customWidth="1"/>
    <col min="2330" max="2330" width="9.33203125" customWidth="1"/>
    <col min="2332" max="2332" width="11.6640625" bestFit="1" customWidth="1"/>
    <col min="2333" max="2333" width="10.6640625" bestFit="1" customWidth="1"/>
    <col min="2560" max="2560" width="11.88671875" customWidth="1"/>
    <col min="2561" max="2561" width="18" customWidth="1"/>
    <col min="2562" max="2562" width="11.6640625" customWidth="1"/>
    <col min="2563" max="2563" width="13.44140625" customWidth="1"/>
    <col min="2564" max="2564" width="12.44140625" customWidth="1"/>
    <col min="2565" max="2565" width="10.109375" customWidth="1"/>
    <col min="2566" max="2567" width="12.44140625" customWidth="1"/>
    <col min="2568" max="2568" width="15.44140625" bestFit="1" customWidth="1"/>
    <col min="2569" max="2569" width="17" customWidth="1"/>
    <col min="2570" max="2570" width="12.44140625" customWidth="1"/>
    <col min="2571" max="2571" width="25.88671875" bestFit="1" customWidth="1"/>
    <col min="2572" max="2574" width="18" customWidth="1"/>
    <col min="2575" max="2575" width="17.109375" customWidth="1"/>
    <col min="2576" max="2577" width="15.6640625" customWidth="1"/>
    <col min="2578" max="2578" width="15" customWidth="1"/>
    <col min="2579" max="2580" width="14.109375" bestFit="1" customWidth="1"/>
    <col min="2581" max="2581" width="11.6640625" bestFit="1" customWidth="1"/>
    <col min="2582" max="2582" width="11.88671875" bestFit="1" customWidth="1"/>
    <col min="2583" max="2583" width="12.5546875" customWidth="1"/>
    <col min="2584" max="2584" width="11.33203125" customWidth="1"/>
    <col min="2585" max="2585" width="11.5546875" customWidth="1"/>
    <col min="2586" max="2586" width="9.33203125" customWidth="1"/>
    <col min="2588" max="2588" width="11.6640625" bestFit="1" customWidth="1"/>
    <col min="2589" max="2589" width="10.6640625" bestFit="1" customWidth="1"/>
    <col min="2816" max="2816" width="11.88671875" customWidth="1"/>
    <col min="2817" max="2817" width="18" customWidth="1"/>
    <col min="2818" max="2818" width="11.6640625" customWidth="1"/>
    <col min="2819" max="2819" width="13.44140625" customWidth="1"/>
    <col min="2820" max="2820" width="12.44140625" customWidth="1"/>
    <col min="2821" max="2821" width="10.109375" customWidth="1"/>
    <col min="2822" max="2823" width="12.44140625" customWidth="1"/>
    <col min="2824" max="2824" width="15.44140625" bestFit="1" customWidth="1"/>
    <col min="2825" max="2825" width="17" customWidth="1"/>
    <col min="2826" max="2826" width="12.44140625" customWidth="1"/>
    <col min="2827" max="2827" width="25.88671875" bestFit="1" customWidth="1"/>
    <col min="2828" max="2830" width="18" customWidth="1"/>
    <col min="2831" max="2831" width="17.109375" customWidth="1"/>
    <col min="2832" max="2833" width="15.6640625" customWidth="1"/>
    <col min="2834" max="2834" width="15" customWidth="1"/>
    <col min="2835" max="2836" width="14.109375" bestFit="1" customWidth="1"/>
    <col min="2837" max="2837" width="11.6640625" bestFit="1" customWidth="1"/>
    <col min="2838" max="2838" width="11.88671875" bestFit="1" customWidth="1"/>
    <col min="2839" max="2839" width="12.5546875" customWidth="1"/>
    <col min="2840" max="2840" width="11.33203125" customWidth="1"/>
    <col min="2841" max="2841" width="11.5546875" customWidth="1"/>
    <col min="2842" max="2842" width="9.33203125" customWidth="1"/>
    <col min="2844" max="2844" width="11.6640625" bestFit="1" customWidth="1"/>
    <col min="2845" max="2845" width="10.6640625" bestFit="1" customWidth="1"/>
    <col min="3072" max="3072" width="11.88671875" customWidth="1"/>
    <col min="3073" max="3073" width="18" customWidth="1"/>
    <col min="3074" max="3074" width="11.6640625" customWidth="1"/>
    <col min="3075" max="3075" width="13.44140625" customWidth="1"/>
    <col min="3076" max="3076" width="12.44140625" customWidth="1"/>
    <col min="3077" max="3077" width="10.109375" customWidth="1"/>
    <col min="3078" max="3079" width="12.44140625" customWidth="1"/>
    <col min="3080" max="3080" width="15.44140625" bestFit="1" customWidth="1"/>
    <col min="3081" max="3081" width="17" customWidth="1"/>
    <col min="3082" max="3082" width="12.44140625" customWidth="1"/>
    <col min="3083" max="3083" width="25.88671875" bestFit="1" customWidth="1"/>
    <col min="3084" max="3086" width="18" customWidth="1"/>
    <col min="3087" max="3087" width="17.109375" customWidth="1"/>
    <col min="3088" max="3089" width="15.6640625" customWidth="1"/>
    <col min="3090" max="3090" width="15" customWidth="1"/>
    <col min="3091" max="3092" width="14.109375" bestFit="1" customWidth="1"/>
    <col min="3093" max="3093" width="11.6640625" bestFit="1" customWidth="1"/>
    <col min="3094" max="3094" width="11.88671875" bestFit="1" customWidth="1"/>
    <col min="3095" max="3095" width="12.5546875" customWidth="1"/>
    <col min="3096" max="3096" width="11.33203125" customWidth="1"/>
    <col min="3097" max="3097" width="11.5546875" customWidth="1"/>
    <col min="3098" max="3098" width="9.33203125" customWidth="1"/>
    <col min="3100" max="3100" width="11.6640625" bestFit="1" customWidth="1"/>
    <col min="3101" max="3101" width="10.6640625" bestFit="1" customWidth="1"/>
    <col min="3328" max="3328" width="11.88671875" customWidth="1"/>
    <col min="3329" max="3329" width="18" customWidth="1"/>
    <col min="3330" max="3330" width="11.6640625" customWidth="1"/>
    <col min="3331" max="3331" width="13.44140625" customWidth="1"/>
    <col min="3332" max="3332" width="12.44140625" customWidth="1"/>
    <col min="3333" max="3333" width="10.109375" customWidth="1"/>
    <col min="3334" max="3335" width="12.44140625" customWidth="1"/>
    <col min="3336" max="3336" width="15.44140625" bestFit="1" customWidth="1"/>
    <col min="3337" max="3337" width="17" customWidth="1"/>
    <col min="3338" max="3338" width="12.44140625" customWidth="1"/>
    <col min="3339" max="3339" width="25.88671875" bestFit="1" customWidth="1"/>
    <col min="3340" max="3342" width="18" customWidth="1"/>
    <col min="3343" max="3343" width="17.109375" customWidth="1"/>
    <col min="3344" max="3345" width="15.6640625" customWidth="1"/>
    <col min="3346" max="3346" width="15" customWidth="1"/>
    <col min="3347" max="3348" width="14.109375" bestFit="1" customWidth="1"/>
    <col min="3349" max="3349" width="11.6640625" bestFit="1" customWidth="1"/>
    <col min="3350" max="3350" width="11.88671875" bestFit="1" customWidth="1"/>
    <col min="3351" max="3351" width="12.5546875" customWidth="1"/>
    <col min="3352" max="3352" width="11.33203125" customWidth="1"/>
    <col min="3353" max="3353" width="11.5546875" customWidth="1"/>
    <col min="3354" max="3354" width="9.33203125" customWidth="1"/>
    <col min="3356" max="3356" width="11.6640625" bestFit="1" customWidth="1"/>
    <col min="3357" max="3357" width="10.6640625" bestFit="1" customWidth="1"/>
    <col min="3584" max="3584" width="11.88671875" customWidth="1"/>
    <col min="3585" max="3585" width="18" customWidth="1"/>
    <col min="3586" max="3586" width="11.6640625" customWidth="1"/>
    <col min="3587" max="3587" width="13.44140625" customWidth="1"/>
    <col min="3588" max="3588" width="12.44140625" customWidth="1"/>
    <col min="3589" max="3589" width="10.109375" customWidth="1"/>
    <col min="3590" max="3591" width="12.44140625" customWidth="1"/>
    <col min="3592" max="3592" width="15.44140625" bestFit="1" customWidth="1"/>
    <col min="3593" max="3593" width="17" customWidth="1"/>
    <col min="3594" max="3594" width="12.44140625" customWidth="1"/>
    <col min="3595" max="3595" width="25.88671875" bestFit="1" customWidth="1"/>
    <col min="3596" max="3598" width="18" customWidth="1"/>
    <col min="3599" max="3599" width="17.109375" customWidth="1"/>
    <col min="3600" max="3601" width="15.6640625" customWidth="1"/>
    <col min="3602" max="3602" width="15" customWidth="1"/>
    <col min="3603" max="3604" width="14.109375" bestFit="1" customWidth="1"/>
    <col min="3605" max="3605" width="11.6640625" bestFit="1" customWidth="1"/>
    <col min="3606" max="3606" width="11.88671875" bestFit="1" customWidth="1"/>
    <col min="3607" max="3607" width="12.5546875" customWidth="1"/>
    <col min="3608" max="3608" width="11.33203125" customWidth="1"/>
    <col min="3609" max="3609" width="11.5546875" customWidth="1"/>
    <col min="3610" max="3610" width="9.33203125" customWidth="1"/>
    <col min="3612" max="3612" width="11.6640625" bestFit="1" customWidth="1"/>
    <col min="3613" max="3613" width="10.6640625" bestFit="1" customWidth="1"/>
    <col min="3840" max="3840" width="11.88671875" customWidth="1"/>
    <col min="3841" max="3841" width="18" customWidth="1"/>
    <col min="3842" max="3842" width="11.6640625" customWidth="1"/>
    <col min="3843" max="3843" width="13.44140625" customWidth="1"/>
    <col min="3844" max="3844" width="12.44140625" customWidth="1"/>
    <col min="3845" max="3845" width="10.109375" customWidth="1"/>
    <col min="3846" max="3847" width="12.44140625" customWidth="1"/>
    <col min="3848" max="3848" width="15.44140625" bestFit="1" customWidth="1"/>
    <col min="3849" max="3849" width="17" customWidth="1"/>
    <col min="3850" max="3850" width="12.44140625" customWidth="1"/>
    <col min="3851" max="3851" width="25.88671875" bestFit="1" customWidth="1"/>
    <col min="3852" max="3854" width="18" customWidth="1"/>
    <col min="3855" max="3855" width="17.109375" customWidth="1"/>
    <col min="3856" max="3857" width="15.6640625" customWidth="1"/>
    <col min="3858" max="3858" width="15" customWidth="1"/>
    <col min="3859" max="3860" width="14.109375" bestFit="1" customWidth="1"/>
    <col min="3861" max="3861" width="11.6640625" bestFit="1" customWidth="1"/>
    <col min="3862" max="3862" width="11.88671875" bestFit="1" customWidth="1"/>
    <col min="3863" max="3863" width="12.5546875" customWidth="1"/>
    <col min="3864" max="3864" width="11.33203125" customWidth="1"/>
    <col min="3865" max="3865" width="11.5546875" customWidth="1"/>
    <col min="3866" max="3866" width="9.33203125" customWidth="1"/>
    <col min="3868" max="3868" width="11.6640625" bestFit="1" customWidth="1"/>
    <col min="3869" max="3869" width="10.6640625" bestFit="1" customWidth="1"/>
    <col min="4096" max="4096" width="11.88671875" customWidth="1"/>
    <col min="4097" max="4097" width="18" customWidth="1"/>
    <col min="4098" max="4098" width="11.6640625" customWidth="1"/>
    <col min="4099" max="4099" width="13.44140625" customWidth="1"/>
    <col min="4100" max="4100" width="12.44140625" customWidth="1"/>
    <col min="4101" max="4101" width="10.109375" customWidth="1"/>
    <col min="4102" max="4103" width="12.44140625" customWidth="1"/>
    <col min="4104" max="4104" width="15.44140625" bestFit="1" customWidth="1"/>
    <col min="4105" max="4105" width="17" customWidth="1"/>
    <col min="4106" max="4106" width="12.44140625" customWidth="1"/>
    <col min="4107" max="4107" width="25.88671875" bestFit="1" customWidth="1"/>
    <col min="4108" max="4110" width="18" customWidth="1"/>
    <col min="4111" max="4111" width="17.109375" customWidth="1"/>
    <col min="4112" max="4113" width="15.6640625" customWidth="1"/>
    <col min="4114" max="4114" width="15" customWidth="1"/>
    <col min="4115" max="4116" width="14.109375" bestFit="1" customWidth="1"/>
    <col min="4117" max="4117" width="11.6640625" bestFit="1" customWidth="1"/>
    <col min="4118" max="4118" width="11.88671875" bestFit="1" customWidth="1"/>
    <col min="4119" max="4119" width="12.5546875" customWidth="1"/>
    <col min="4120" max="4120" width="11.33203125" customWidth="1"/>
    <col min="4121" max="4121" width="11.5546875" customWidth="1"/>
    <col min="4122" max="4122" width="9.33203125" customWidth="1"/>
    <col min="4124" max="4124" width="11.6640625" bestFit="1" customWidth="1"/>
    <col min="4125" max="4125" width="10.6640625" bestFit="1" customWidth="1"/>
    <col min="4352" max="4352" width="11.88671875" customWidth="1"/>
    <col min="4353" max="4353" width="18" customWidth="1"/>
    <col min="4354" max="4354" width="11.6640625" customWidth="1"/>
    <col min="4355" max="4355" width="13.44140625" customWidth="1"/>
    <col min="4356" max="4356" width="12.44140625" customWidth="1"/>
    <col min="4357" max="4357" width="10.109375" customWidth="1"/>
    <col min="4358" max="4359" width="12.44140625" customWidth="1"/>
    <col min="4360" max="4360" width="15.44140625" bestFit="1" customWidth="1"/>
    <col min="4361" max="4361" width="17" customWidth="1"/>
    <col min="4362" max="4362" width="12.44140625" customWidth="1"/>
    <col min="4363" max="4363" width="25.88671875" bestFit="1" customWidth="1"/>
    <col min="4364" max="4366" width="18" customWidth="1"/>
    <col min="4367" max="4367" width="17.109375" customWidth="1"/>
    <col min="4368" max="4369" width="15.6640625" customWidth="1"/>
    <col min="4370" max="4370" width="15" customWidth="1"/>
    <col min="4371" max="4372" width="14.109375" bestFit="1" customWidth="1"/>
    <col min="4373" max="4373" width="11.6640625" bestFit="1" customWidth="1"/>
    <col min="4374" max="4374" width="11.88671875" bestFit="1" customWidth="1"/>
    <col min="4375" max="4375" width="12.5546875" customWidth="1"/>
    <col min="4376" max="4376" width="11.33203125" customWidth="1"/>
    <col min="4377" max="4377" width="11.5546875" customWidth="1"/>
    <col min="4378" max="4378" width="9.33203125" customWidth="1"/>
    <col min="4380" max="4380" width="11.6640625" bestFit="1" customWidth="1"/>
    <col min="4381" max="4381" width="10.6640625" bestFit="1" customWidth="1"/>
    <col min="4608" max="4608" width="11.88671875" customWidth="1"/>
    <col min="4609" max="4609" width="18" customWidth="1"/>
    <col min="4610" max="4610" width="11.6640625" customWidth="1"/>
    <col min="4611" max="4611" width="13.44140625" customWidth="1"/>
    <col min="4612" max="4612" width="12.44140625" customWidth="1"/>
    <col min="4613" max="4613" width="10.109375" customWidth="1"/>
    <col min="4614" max="4615" width="12.44140625" customWidth="1"/>
    <col min="4616" max="4616" width="15.44140625" bestFit="1" customWidth="1"/>
    <col min="4617" max="4617" width="17" customWidth="1"/>
    <col min="4618" max="4618" width="12.44140625" customWidth="1"/>
    <col min="4619" max="4619" width="25.88671875" bestFit="1" customWidth="1"/>
    <col min="4620" max="4622" width="18" customWidth="1"/>
    <col min="4623" max="4623" width="17.109375" customWidth="1"/>
    <col min="4624" max="4625" width="15.6640625" customWidth="1"/>
    <col min="4626" max="4626" width="15" customWidth="1"/>
    <col min="4627" max="4628" width="14.109375" bestFit="1" customWidth="1"/>
    <col min="4629" max="4629" width="11.6640625" bestFit="1" customWidth="1"/>
    <col min="4630" max="4630" width="11.88671875" bestFit="1" customWidth="1"/>
    <col min="4631" max="4631" width="12.5546875" customWidth="1"/>
    <col min="4632" max="4632" width="11.33203125" customWidth="1"/>
    <col min="4633" max="4633" width="11.5546875" customWidth="1"/>
    <col min="4634" max="4634" width="9.33203125" customWidth="1"/>
    <col min="4636" max="4636" width="11.6640625" bestFit="1" customWidth="1"/>
    <col min="4637" max="4637" width="10.6640625" bestFit="1" customWidth="1"/>
    <col min="4864" max="4864" width="11.88671875" customWidth="1"/>
    <col min="4865" max="4865" width="18" customWidth="1"/>
    <col min="4866" max="4866" width="11.6640625" customWidth="1"/>
    <col min="4867" max="4867" width="13.44140625" customWidth="1"/>
    <col min="4868" max="4868" width="12.44140625" customWidth="1"/>
    <col min="4869" max="4869" width="10.109375" customWidth="1"/>
    <col min="4870" max="4871" width="12.44140625" customWidth="1"/>
    <col min="4872" max="4872" width="15.44140625" bestFit="1" customWidth="1"/>
    <col min="4873" max="4873" width="17" customWidth="1"/>
    <col min="4874" max="4874" width="12.44140625" customWidth="1"/>
    <col min="4875" max="4875" width="25.88671875" bestFit="1" customWidth="1"/>
    <col min="4876" max="4878" width="18" customWidth="1"/>
    <col min="4879" max="4879" width="17.109375" customWidth="1"/>
    <col min="4880" max="4881" width="15.6640625" customWidth="1"/>
    <col min="4882" max="4882" width="15" customWidth="1"/>
    <col min="4883" max="4884" width="14.109375" bestFit="1" customWidth="1"/>
    <col min="4885" max="4885" width="11.6640625" bestFit="1" customWidth="1"/>
    <col min="4886" max="4886" width="11.88671875" bestFit="1" customWidth="1"/>
    <col min="4887" max="4887" width="12.5546875" customWidth="1"/>
    <col min="4888" max="4888" width="11.33203125" customWidth="1"/>
    <col min="4889" max="4889" width="11.5546875" customWidth="1"/>
    <col min="4890" max="4890" width="9.33203125" customWidth="1"/>
    <col min="4892" max="4892" width="11.6640625" bestFit="1" customWidth="1"/>
    <col min="4893" max="4893" width="10.6640625" bestFit="1" customWidth="1"/>
    <col min="5120" max="5120" width="11.88671875" customWidth="1"/>
    <col min="5121" max="5121" width="18" customWidth="1"/>
    <col min="5122" max="5122" width="11.6640625" customWidth="1"/>
    <col min="5123" max="5123" width="13.44140625" customWidth="1"/>
    <col min="5124" max="5124" width="12.44140625" customWidth="1"/>
    <col min="5125" max="5125" width="10.109375" customWidth="1"/>
    <col min="5126" max="5127" width="12.44140625" customWidth="1"/>
    <col min="5128" max="5128" width="15.44140625" bestFit="1" customWidth="1"/>
    <col min="5129" max="5129" width="17" customWidth="1"/>
    <col min="5130" max="5130" width="12.44140625" customWidth="1"/>
    <col min="5131" max="5131" width="25.88671875" bestFit="1" customWidth="1"/>
    <col min="5132" max="5134" width="18" customWidth="1"/>
    <col min="5135" max="5135" width="17.109375" customWidth="1"/>
    <col min="5136" max="5137" width="15.6640625" customWidth="1"/>
    <col min="5138" max="5138" width="15" customWidth="1"/>
    <col min="5139" max="5140" width="14.109375" bestFit="1" customWidth="1"/>
    <col min="5141" max="5141" width="11.6640625" bestFit="1" customWidth="1"/>
    <col min="5142" max="5142" width="11.88671875" bestFit="1" customWidth="1"/>
    <col min="5143" max="5143" width="12.5546875" customWidth="1"/>
    <col min="5144" max="5144" width="11.33203125" customWidth="1"/>
    <col min="5145" max="5145" width="11.5546875" customWidth="1"/>
    <col min="5146" max="5146" width="9.33203125" customWidth="1"/>
    <col min="5148" max="5148" width="11.6640625" bestFit="1" customWidth="1"/>
    <col min="5149" max="5149" width="10.6640625" bestFit="1" customWidth="1"/>
    <col min="5376" max="5376" width="11.88671875" customWidth="1"/>
    <col min="5377" max="5377" width="18" customWidth="1"/>
    <col min="5378" max="5378" width="11.6640625" customWidth="1"/>
    <col min="5379" max="5379" width="13.44140625" customWidth="1"/>
    <col min="5380" max="5380" width="12.44140625" customWidth="1"/>
    <col min="5381" max="5381" width="10.109375" customWidth="1"/>
    <col min="5382" max="5383" width="12.44140625" customWidth="1"/>
    <col min="5384" max="5384" width="15.44140625" bestFit="1" customWidth="1"/>
    <col min="5385" max="5385" width="17" customWidth="1"/>
    <col min="5386" max="5386" width="12.44140625" customWidth="1"/>
    <col min="5387" max="5387" width="25.88671875" bestFit="1" customWidth="1"/>
    <col min="5388" max="5390" width="18" customWidth="1"/>
    <col min="5391" max="5391" width="17.109375" customWidth="1"/>
    <col min="5392" max="5393" width="15.6640625" customWidth="1"/>
    <col min="5394" max="5394" width="15" customWidth="1"/>
    <col min="5395" max="5396" width="14.109375" bestFit="1" customWidth="1"/>
    <col min="5397" max="5397" width="11.6640625" bestFit="1" customWidth="1"/>
    <col min="5398" max="5398" width="11.88671875" bestFit="1" customWidth="1"/>
    <col min="5399" max="5399" width="12.5546875" customWidth="1"/>
    <col min="5400" max="5400" width="11.33203125" customWidth="1"/>
    <col min="5401" max="5401" width="11.5546875" customWidth="1"/>
    <col min="5402" max="5402" width="9.33203125" customWidth="1"/>
    <col min="5404" max="5404" width="11.6640625" bestFit="1" customWidth="1"/>
    <col min="5405" max="5405" width="10.6640625" bestFit="1" customWidth="1"/>
    <col min="5632" max="5632" width="11.88671875" customWidth="1"/>
    <col min="5633" max="5633" width="18" customWidth="1"/>
    <col min="5634" max="5634" width="11.6640625" customWidth="1"/>
    <col min="5635" max="5635" width="13.44140625" customWidth="1"/>
    <col min="5636" max="5636" width="12.44140625" customWidth="1"/>
    <col min="5637" max="5637" width="10.109375" customWidth="1"/>
    <col min="5638" max="5639" width="12.44140625" customWidth="1"/>
    <col min="5640" max="5640" width="15.44140625" bestFit="1" customWidth="1"/>
    <col min="5641" max="5641" width="17" customWidth="1"/>
    <col min="5642" max="5642" width="12.44140625" customWidth="1"/>
    <col min="5643" max="5643" width="25.88671875" bestFit="1" customWidth="1"/>
    <col min="5644" max="5646" width="18" customWidth="1"/>
    <col min="5647" max="5647" width="17.109375" customWidth="1"/>
    <col min="5648" max="5649" width="15.6640625" customWidth="1"/>
    <col min="5650" max="5650" width="15" customWidth="1"/>
    <col min="5651" max="5652" width="14.109375" bestFit="1" customWidth="1"/>
    <col min="5653" max="5653" width="11.6640625" bestFit="1" customWidth="1"/>
    <col min="5654" max="5654" width="11.88671875" bestFit="1" customWidth="1"/>
    <col min="5655" max="5655" width="12.5546875" customWidth="1"/>
    <col min="5656" max="5656" width="11.33203125" customWidth="1"/>
    <col min="5657" max="5657" width="11.5546875" customWidth="1"/>
    <col min="5658" max="5658" width="9.33203125" customWidth="1"/>
    <col min="5660" max="5660" width="11.6640625" bestFit="1" customWidth="1"/>
    <col min="5661" max="5661" width="10.6640625" bestFit="1" customWidth="1"/>
    <col min="5888" max="5888" width="11.88671875" customWidth="1"/>
    <col min="5889" max="5889" width="18" customWidth="1"/>
    <col min="5890" max="5890" width="11.6640625" customWidth="1"/>
    <col min="5891" max="5891" width="13.44140625" customWidth="1"/>
    <col min="5892" max="5892" width="12.44140625" customWidth="1"/>
    <col min="5893" max="5893" width="10.109375" customWidth="1"/>
    <col min="5894" max="5895" width="12.44140625" customWidth="1"/>
    <col min="5896" max="5896" width="15.44140625" bestFit="1" customWidth="1"/>
    <col min="5897" max="5897" width="17" customWidth="1"/>
    <col min="5898" max="5898" width="12.44140625" customWidth="1"/>
    <col min="5899" max="5899" width="25.88671875" bestFit="1" customWidth="1"/>
    <col min="5900" max="5902" width="18" customWidth="1"/>
    <col min="5903" max="5903" width="17.109375" customWidth="1"/>
    <col min="5904" max="5905" width="15.6640625" customWidth="1"/>
    <col min="5906" max="5906" width="15" customWidth="1"/>
    <col min="5907" max="5908" width="14.109375" bestFit="1" customWidth="1"/>
    <col min="5909" max="5909" width="11.6640625" bestFit="1" customWidth="1"/>
    <col min="5910" max="5910" width="11.88671875" bestFit="1" customWidth="1"/>
    <col min="5911" max="5911" width="12.5546875" customWidth="1"/>
    <col min="5912" max="5912" width="11.33203125" customWidth="1"/>
    <col min="5913" max="5913" width="11.5546875" customWidth="1"/>
    <col min="5914" max="5914" width="9.33203125" customWidth="1"/>
    <col min="5916" max="5916" width="11.6640625" bestFit="1" customWidth="1"/>
    <col min="5917" max="5917" width="10.6640625" bestFit="1" customWidth="1"/>
    <col min="6144" max="6144" width="11.88671875" customWidth="1"/>
    <col min="6145" max="6145" width="18" customWidth="1"/>
    <col min="6146" max="6146" width="11.6640625" customWidth="1"/>
    <col min="6147" max="6147" width="13.44140625" customWidth="1"/>
    <col min="6148" max="6148" width="12.44140625" customWidth="1"/>
    <col min="6149" max="6149" width="10.109375" customWidth="1"/>
    <col min="6150" max="6151" width="12.44140625" customWidth="1"/>
    <col min="6152" max="6152" width="15.44140625" bestFit="1" customWidth="1"/>
    <col min="6153" max="6153" width="17" customWidth="1"/>
    <col min="6154" max="6154" width="12.44140625" customWidth="1"/>
    <col min="6155" max="6155" width="25.88671875" bestFit="1" customWidth="1"/>
    <col min="6156" max="6158" width="18" customWidth="1"/>
    <col min="6159" max="6159" width="17.109375" customWidth="1"/>
    <col min="6160" max="6161" width="15.6640625" customWidth="1"/>
    <col min="6162" max="6162" width="15" customWidth="1"/>
    <col min="6163" max="6164" width="14.109375" bestFit="1" customWidth="1"/>
    <col min="6165" max="6165" width="11.6640625" bestFit="1" customWidth="1"/>
    <col min="6166" max="6166" width="11.88671875" bestFit="1" customWidth="1"/>
    <col min="6167" max="6167" width="12.5546875" customWidth="1"/>
    <col min="6168" max="6168" width="11.33203125" customWidth="1"/>
    <col min="6169" max="6169" width="11.5546875" customWidth="1"/>
    <col min="6170" max="6170" width="9.33203125" customWidth="1"/>
    <col min="6172" max="6172" width="11.6640625" bestFit="1" customWidth="1"/>
    <col min="6173" max="6173" width="10.6640625" bestFit="1" customWidth="1"/>
    <col min="6400" max="6400" width="11.88671875" customWidth="1"/>
    <col min="6401" max="6401" width="18" customWidth="1"/>
    <col min="6402" max="6402" width="11.6640625" customWidth="1"/>
    <col min="6403" max="6403" width="13.44140625" customWidth="1"/>
    <col min="6404" max="6404" width="12.44140625" customWidth="1"/>
    <col min="6405" max="6405" width="10.109375" customWidth="1"/>
    <col min="6406" max="6407" width="12.44140625" customWidth="1"/>
    <col min="6408" max="6408" width="15.44140625" bestFit="1" customWidth="1"/>
    <col min="6409" max="6409" width="17" customWidth="1"/>
    <col min="6410" max="6410" width="12.44140625" customWidth="1"/>
    <col min="6411" max="6411" width="25.88671875" bestFit="1" customWidth="1"/>
    <col min="6412" max="6414" width="18" customWidth="1"/>
    <col min="6415" max="6415" width="17.109375" customWidth="1"/>
    <col min="6416" max="6417" width="15.6640625" customWidth="1"/>
    <col min="6418" max="6418" width="15" customWidth="1"/>
    <col min="6419" max="6420" width="14.109375" bestFit="1" customWidth="1"/>
    <col min="6421" max="6421" width="11.6640625" bestFit="1" customWidth="1"/>
    <col min="6422" max="6422" width="11.88671875" bestFit="1" customWidth="1"/>
    <col min="6423" max="6423" width="12.5546875" customWidth="1"/>
    <col min="6424" max="6424" width="11.33203125" customWidth="1"/>
    <col min="6425" max="6425" width="11.5546875" customWidth="1"/>
    <col min="6426" max="6426" width="9.33203125" customWidth="1"/>
    <col min="6428" max="6428" width="11.6640625" bestFit="1" customWidth="1"/>
    <col min="6429" max="6429" width="10.6640625" bestFit="1" customWidth="1"/>
    <col min="6656" max="6656" width="11.88671875" customWidth="1"/>
    <col min="6657" max="6657" width="18" customWidth="1"/>
    <col min="6658" max="6658" width="11.6640625" customWidth="1"/>
    <col min="6659" max="6659" width="13.44140625" customWidth="1"/>
    <col min="6660" max="6660" width="12.44140625" customWidth="1"/>
    <col min="6661" max="6661" width="10.109375" customWidth="1"/>
    <col min="6662" max="6663" width="12.44140625" customWidth="1"/>
    <col min="6664" max="6664" width="15.44140625" bestFit="1" customWidth="1"/>
    <col min="6665" max="6665" width="17" customWidth="1"/>
    <col min="6666" max="6666" width="12.44140625" customWidth="1"/>
    <col min="6667" max="6667" width="25.88671875" bestFit="1" customWidth="1"/>
    <col min="6668" max="6670" width="18" customWidth="1"/>
    <col min="6671" max="6671" width="17.109375" customWidth="1"/>
    <col min="6672" max="6673" width="15.6640625" customWidth="1"/>
    <col min="6674" max="6674" width="15" customWidth="1"/>
    <col min="6675" max="6676" width="14.109375" bestFit="1" customWidth="1"/>
    <col min="6677" max="6677" width="11.6640625" bestFit="1" customWidth="1"/>
    <col min="6678" max="6678" width="11.88671875" bestFit="1" customWidth="1"/>
    <col min="6679" max="6679" width="12.5546875" customWidth="1"/>
    <col min="6680" max="6680" width="11.33203125" customWidth="1"/>
    <col min="6681" max="6681" width="11.5546875" customWidth="1"/>
    <col min="6682" max="6682" width="9.33203125" customWidth="1"/>
    <col min="6684" max="6684" width="11.6640625" bestFit="1" customWidth="1"/>
    <col min="6685" max="6685" width="10.6640625" bestFit="1" customWidth="1"/>
    <col min="6912" max="6912" width="11.88671875" customWidth="1"/>
    <col min="6913" max="6913" width="18" customWidth="1"/>
    <col min="6914" max="6914" width="11.6640625" customWidth="1"/>
    <col min="6915" max="6915" width="13.44140625" customWidth="1"/>
    <col min="6916" max="6916" width="12.44140625" customWidth="1"/>
    <col min="6917" max="6917" width="10.109375" customWidth="1"/>
    <col min="6918" max="6919" width="12.44140625" customWidth="1"/>
    <col min="6920" max="6920" width="15.44140625" bestFit="1" customWidth="1"/>
    <col min="6921" max="6921" width="17" customWidth="1"/>
    <col min="6922" max="6922" width="12.44140625" customWidth="1"/>
    <col min="6923" max="6923" width="25.88671875" bestFit="1" customWidth="1"/>
    <col min="6924" max="6926" width="18" customWidth="1"/>
    <col min="6927" max="6927" width="17.109375" customWidth="1"/>
    <col min="6928" max="6929" width="15.6640625" customWidth="1"/>
    <col min="6930" max="6930" width="15" customWidth="1"/>
    <col min="6931" max="6932" width="14.109375" bestFit="1" customWidth="1"/>
    <col min="6933" max="6933" width="11.6640625" bestFit="1" customWidth="1"/>
    <col min="6934" max="6934" width="11.88671875" bestFit="1" customWidth="1"/>
    <col min="6935" max="6935" width="12.5546875" customWidth="1"/>
    <col min="6936" max="6936" width="11.33203125" customWidth="1"/>
    <col min="6937" max="6937" width="11.5546875" customWidth="1"/>
    <col min="6938" max="6938" width="9.33203125" customWidth="1"/>
    <col min="6940" max="6940" width="11.6640625" bestFit="1" customWidth="1"/>
    <col min="6941" max="6941" width="10.6640625" bestFit="1" customWidth="1"/>
    <col min="7168" max="7168" width="11.88671875" customWidth="1"/>
    <col min="7169" max="7169" width="18" customWidth="1"/>
    <col min="7170" max="7170" width="11.6640625" customWidth="1"/>
    <col min="7171" max="7171" width="13.44140625" customWidth="1"/>
    <col min="7172" max="7172" width="12.44140625" customWidth="1"/>
    <col min="7173" max="7173" width="10.109375" customWidth="1"/>
    <col min="7174" max="7175" width="12.44140625" customWidth="1"/>
    <col min="7176" max="7176" width="15.44140625" bestFit="1" customWidth="1"/>
    <col min="7177" max="7177" width="17" customWidth="1"/>
    <col min="7178" max="7178" width="12.44140625" customWidth="1"/>
    <col min="7179" max="7179" width="25.88671875" bestFit="1" customWidth="1"/>
    <col min="7180" max="7182" width="18" customWidth="1"/>
    <col min="7183" max="7183" width="17.109375" customWidth="1"/>
    <col min="7184" max="7185" width="15.6640625" customWidth="1"/>
    <col min="7186" max="7186" width="15" customWidth="1"/>
    <col min="7187" max="7188" width="14.109375" bestFit="1" customWidth="1"/>
    <col min="7189" max="7189" width="11.6640625" bestFit="1" customWidth="1"/>
    <col min="7190" max="7190" width="11.88671875" bestFit="1" customWidth="1"/>
    <col min="7191" max="7191" width="12.5546875" customWidth="1"/>
    <col min="7192" max="7192" width="11.33203125" customWidth="1"/>
    <col min="7193" max="7193" width="11.5546875" customWidth="1"/>
    <col min="7194" max="7194" width="9.33203125" customWidth="1"/>
    <col min="7196" max="7196" width="11.6640625" bestFit="1" customWidth="1"/>
    <col min="7197" max="7197" width="10.6640625" bestFit="1" customWidth="1"/>
    <col min="7424" max="7424" width="11.88671875" customWidth="1"/>
    <col min="7425" max="7425" width="18" customWidth="1"/>
    <col min="7426" max="7426" width="11.6640625" customWidth="1"/>
    <col min="7427" max="7427" width="13.44140625" customWidth="1"/>
    <col min="7428" max="7428" width="12.44140625" customWidth="1"/>
    <col min="7429" max="7429" width="10.109375" customWidth="1"/>
    <col min="7430" max="7431" width="12.44140625" customWidth="1"/>
    <col min="7432" max="7432" width="15.44140625" bestFit="1" customWidth="1"/>
    <col min="7433" max="7433" width="17" customWidth="1"/>
    <col min="7434" max="7434" width="12.44140625" customWidth="1"/>
    <col min="7435" max="7435" width="25.88671875" bestFit="1" customWidth="1"/>
    <col min="7436" max="7438" width="18" customWidth="1"/>
    <col min="7439" max="7439" width="17.109375" customWidth="1"/>
    <col min="7440" max="7441" width="15.6640625" customWidth="1"/>
    <col min="7442" max="7442" width="15" customWidth="1"/>
    <col min="7443" max="7444" width="14.109375" bestFit="1" customWidth="1"/>
    <col min="7445" max="7445" width="11.6640625" bestFit="1" customWidth="1"/>
    <col min="7446" max="7446" width="11.88671875" bestFit="1" customWidth="1"/>
    <col min="7447" max="7447" width="12.5546875" customWidth="1"/>
    <col min="7448" max="7448" width="11.33203125" customWidth="1"/>
    <col min="7449" max="7449" width="11.5546875" customWidth="1"/>
    <col min="7450" max="7450" width="9.33203125" customWidth="1"/>
    <col min="7452" max="7452" width="11.6640625" bestFit="1" customWidth="1"/>
    <col min="7453" max="7453" width="10.6640625" bestFit="1" customWidth="1"/>
    <col min="7680" max="7680" width="11.88671875" customWidth="1"/>
    <col min="7681" max="7681" width="18" customWidth="1"/>
    <col min="7682" max="7682" width="11.6640625" customWidth="1"/>
    <col min="7683" max="7683" width="13.44140625" customWidth="1"/>
    <col min="7684" max="7684" width="12.44140625" customWidth="1"/>
    <col min="7685" max="7685" width="10.109375" customWidth="1"/>
    <col min="7686" max="7687" width="12.44140625" customWidth="1"/>
    <col min="7688" max="7688" width="15.44140625" bestFit="1" customWidth="1"/>
    <col min="7689" max="7689" width="17" customWidth="1"/>
    <col min="7690" max="7690" width="12.44140625" customWidth="1"/>
    <col min="7691" max="7691" width="25.88671875" bestFit="1" customWidth="1"/>
    <col min="7692" max="7694" width="18" customWidth="1"/>
    <col min="7695" max="7695" width="17.109375" customWidth="1"/>
    <col min="7696" max="7697" width="15.6640625" customWidth="1"/>
    <col min="7698" max="7698" width="15" customWidth="1"/>
    <col min="7699" max="7700" width="14.109375" bestFit="1" customWidth="1"/>
    <col min="7701" max="7701" width="11.6640625" bestFit="1" customWidth="1"/>
    <col min="7702" max="7702" width="11.88671875" bestFit="1" customWidth="1"/>
    <col min="7703" max="7703" width="12.5546875" customWidth="1"/>
    <col min="7704" max="7704" width="11.33203125" customWidth="1"/>
    <col min="7705" max="7705" width="11.5546875" customWidth="1"/>
    <col min="7706" max="7706" width="9.33203125" customWidth="1"/>
    <col min="7708" max="7708" width="11.6640625" bestFit="1" customWidth="1"/>
    <col min="7709" max="7709" width="10.6640625" bestFit="1" customWidth="1"/>
    <col min="7936" max="7936" width="11.88671875" customWidth="1"/>
    <col min="7937" max="7937" width="18" customWidth="1"/>
    <col min="7938" max="7938" width="11.6640625" customWidth="1"/>
    <col min="7939" max="7939" width="13.44140625" customWidth="1"/>
    <col min="7940" max="7940" width="12.44140625" customWidth="1"/>
    <col min="7941" max="7941" width="10.109375" customWidth="1"/>
    <col min="7942" max="7943" width="12.44140625" customWidth="1"/>
    <col min="7944" max="7944" width="15.44140625" bestFit="1" customWidth="1"/>
    <col min="7945" max="7945" width="17" customWidth="1"/>
    <col min="7946" max="7946" width="12.44140625" customWidth="1"/>
    <col min="7947" max="7947" width="25.88671875" bestFit="1" customWidth="1"/>
    <col min="7948" max="7950" width="18" customWidth="1"/>
    <col min="7951" max="7951" width="17.109375" customWidth="1"/>
    <col min="7952" max="7953" width="15.6640625" customWidth="1"/>
    <col min="7954" max="7954" width="15" customWidth="1"/>
    <col min="7955" max="7956" width="14.109375" bestFit="1" customWidth="1"/>
    <col min="7957" max="7957" width="11.6640625" bestFit="1" customWidth="1"/>
    <col min="7958" max="7958" width="11.88671875" bestFit="1" customWidth="1"/>
    <col min="7959" max="7959" width="12.5546875" customWidth="1"/>
    <col min="7960" max="7960" width="11.33203125" customWidth="1"/>
    <col min="7961" max="7961" width="11.5546875" customWidth="1"/>
    <col min="7962" max="7962" width="9.33203125" customWidth="1"/>
    <col min="7964" max="7964" width="11.6640625" bestFit="1" customWidth="1"/>
    <col min="7965" max="7965" width="10.6640625" bestFit="1" customWidth="1"/>
    <col min="8192" max="8192" width="11.88671875" customWidth="1"/>
    <col min="8193" max="8193" width="18" customWidth="1"/>
    <col min="8194" max="8194" width="11.6640625" customWidth="1"/>
    <col min="8195" max="8195" width="13.44140625" customWidth="1"/>
    <col min="8196" max="8196" width="12.44140625" customWidth="1"/>
    <col min="8197" max="8197" width="10.109375" customWidth="1"/>
    <col min="8198" max="8199" width="12.44140625" customWidth="1"/>
    <col min="8200" max="8200" width="15.44140625" bestFit="1" customWidth="1"/>
    <col min="8201" max="8201" width="17" customWidth="1"/>
    <col min="8202" max="8202" width="12.44140625" customWidth="1"/>
    <col min="8203" max="8203" width="25.88671875" bestFit="1" customWidth="1"/>
    <col min="8204" max="8206" width="18" customWidth="1"/>
    <col min="8207" max="8207" width="17.109375" customWidth="1"/>
    <col min="8208" max="8209" width="15.6640625" customWidth="1"/>
    <col min="8210" max="8210" width="15" customWidth="1"/>
    <col min="8211" max="8212" width="14.109375" bestFit="1" customWidth="1"/>
    <col min="8213" max="8213" width="11.6640625" bestFit="1" customWidth="1"/>
    <col min="8214" max="8214" width="11.88671875" bestFit="1" customWidth="1"/>
    <col min="8215" max="8215" width="12.5546875" customWidth="1"/>
    <col min="8216" max="8216" width="11.33203125" customWidth="1"/>
    <col min="8217" max="8217" width="11.5546875" customWidth="1"/>
    <col min="8218" max="8218" width="9.33203125" customWidth="1"/>
    <col min="8220" max="8220" width="11.6640625" bestFit="1" customWidth="1"/>
    <col min="8221" max="8221" width="10.6640625" bestFit="1" customWidth="1"/>
    <col min="8448" max="8448" width="11.88671875" customWidth="1"/>
    <col min="8449" max="8449" width="18" customWidth="1"/>
    <col min="8450" max="8450" width="11.6640625" customWidth="1"/>
    <col min="8451" max="8451" width="13.44140625" customWidth="1"/>
    <col min="8452" max="8452" width="12.44140625" customWidth="1"/>
    <col min="8453" max="8453" width="10.109375" customWidth="1"/>
    <col min="8454" max="8455" width="12.44140625" customWidth="1"/>
    <col min="8456" max="8456" width="15.44140625" bestFit="1" customWidth="1"/>
    <col min="8457" max="8457" width="17" customWidth="1"/>
    <col min="8458" max="8458" width="12.44140625" customWidth="1"/>
    <col min="8459" max="8459" width="25.88671875" bestFit="1" customWidth="1"/>
    <col min="8460" max="8462" width="18" customWidth="1"/>
    <col min="8463" max="8463" width="17.109375" customWidth="1"/>
    <col min="8464" max="8465" width="15.6640625" customWidth="1"/>
    <col min="8466" max="8466" width="15" customWidth="1"/>
    <col min="8467" max="8468" width="14.109375" bestFit="1" customWidth="1"/>
    <col min="8469" max="8469" width="11.6640625" bestFit="1" customWidth="1"/>
    <col min="8470" max="8470" width="11.88671875" bestFit="1" customWidth="1"/>
    <col min="8471" max="8471" width="12.5546875" customWidth="1"/>
    <col min="8472" max="8472" width="11.33203125" customWidth="1"/>
    <col min="8473" max="8473" width="11.5546875" customWidth="1"/>
    <col min="8474" max="8474" width="9.33203125" customWidth="1"/>
    <col min="8476" max="8476" width="11.6640625" bestFit="1" customWidth="1"/>
    <col min="8477" max="8477" width="10.6640625" bestFit="1" customWidth="1"/>
    <col min="8704" max="8704" width="11.88671875" customWidth="1"/>
    <col min="8705" max="8705" width="18" customWidth="1"/>
    <col min="8706" max="8706" width="11.6640625" customWidth="1"/>
    <col min="8707" max="8707" width="13.44140625" customWidth="1"/>
    <col min="8708" max="8708" width="12.44140625" customWidth="1"/>
    <col min="8709" max="8709" width="10.109375" customWidth="1"/>
    <col min="8710" max="8711" width="12.44140625" customWidth="1"/>
    <col min="8712" max="8712" width="15.44140625" bestFit="1" customWidth="1"/>
    <col min="8713" max="8713" width="17" customWidth="1"/>
    <col min="8714" max="8714" width="12.44140625" customWidth="1"/>
    <col min="8715" max="8715" width="25.88671875" bestFit="1" customWidth="1"/>
    <col min="8716" max="8718" width="18" customWidth="1"/>
    <col min="8719" max="8719" width="17.109375" customWidth="1"/>
    <col min="8720" max="8721" width="15.6640625" customWidth="1"/>
    <col min="8722" max="8722" width="15" customWidth="1"/>
    <col min="8723" max="8724" width="14.109375" bestFit="1" customWidth="1"/>
    <col min="8725" max="8725" width="11.6640625" bestFit="1" customWidth="1"/>
    <col min="8726" max="8726" width="11.88671875" bestFit="1" customWidth="1"/>
    <col min="8727" max="8727" width="12.5546875" customWidth="1"/>
    <col min="8728" max="8728" width="11.33203125" customWidth="1"/>
    <col min="8729" max="8729" width="11.5546875" customWidth="1"/>
    <col min="8730" max="8730" width="9.33203125" customWidth="1"/>
    <col min="8732" max="8732" width="11.6640625" bestFit="1" customWidth="1"/>
    <col min="8733" max="8733" width="10.6640625" bestFit="1" customWidth="1"/>
    <col min="8960" max="8960" width="11.88671875" customWidth="1"/>
    <col min="8961" max="8961" width="18" customWidth="1"/>
    <col min="8962" max="8962" width="11.6640625" customWidth="1"/>
    <col min="8963" max="8963" width="13.44140625" customWidth="1"/>
    <col min="8964" max="8964" width="12.44140625" customWidth="1"/>
    <col min="8965" max="8965" width="10.109375" customWidth="1"/>
    <col min="8966" max="8967" width="12.44140625" customWidth="1"/>
    <col min="8968" max="8968" width="15.44140625" bestFit="1" customWidth="1"/>
    <col min="8969" max="8969" width="17" customWidth="1"/>
    <col min="8970" max="8970" width="12.44140625" customWidth="1"/>
    <col min="8971" max="8971" width="25.88671875" bestFit="1" customWidth="1"/>
    <col min="8972" max="8974" width="18" customWidth="1"/>
    <col min="8975" max="8975" width="17.109375" customWidth="1"/>
    <col min="8976" max="8977" width="15.6640625" customWidth="1"/>
    <col min="8978" max="8978" width="15" customWidth="1"/>
    <col min="8979" max="8980" width="14.109375" bestFit="1" customWidth="1"/>
    <col min="8981" max="8981" width="11.6640625" bestFit="1" customWidth="1"/>
    <col min="8982" max="8982" width="11.88671875" bestFit="1" customWidth="1"/>
    <col min="8983" max="8983" width="12.5546875" customWidth="1"/>
    <col min="8984" max="8984" width="11.33203125" customWidth="1"/>
    <col min="8985" max="8985" width="11.5546875" customWidth="1"/>
    <col min="8986" max="8986" width="9.33203125" customWidth="1"/>
    <col min="8988" max="8988" width="11.6640625" bestFit="1" customWidth="1"/>
    <col min="8989" max="8989" width="10.6640625" bestFit="1" customWidth="1"/>
    <col min="9216" max="9216" width="11.88671875" customWidth="1"/>
    <col min="9217" max="9217" width="18" customWidth="1"/>
    <col min="9218" max="9218" width="11.6640625" customWidth="1"/>
    <col min="9219" max="9219" width="13.44140625" customWidth="1"/>
    <col min="9220" max="9220" width="12.44140625" customWidth="1"/>
    <col min="9221" max="9221" width="10.109375" customWidth="1"/>
    <col min="9222" max="9223" width="12.44140625" customWidth="1"/>
    <col min="9224" max="9224" width="15.44140625" bestFit="1" customWidth="1"/>
    <col min="9225" max="9225" width="17" customWidth="1"/>
    <col min="9226" max="9226" width="12.44140625" customWidth="1"/>
    <col min="9227" max="9227" width="25.88671875" bestFit="1" customWidth="1"/>
    <col min="9228" max="9230" width="18" customWidth="1"/>
    <col min="9231" max="9231" width="17.109375" customWidth="1"/>
    <col min="9232" max="9233" width="15.6640625" customWidth="1"/>
    <col min="9234" max="9234" width="15" customWidth="1"/>
    <col min="9235" max="9236" width="14.109375" bestFit="1" customWidth="1"/>
    <col min="9237" max="9237" width="11.6640625" bestFit="1" customWidth="1"/>
    <col min="9238" max="9238" width="11.88671875" bestFit="1" customWidth="1"/>
    <col min="9239" max="9239" width="12.5546875" customWidth="1"/>
    <col min="9240" max="9240" width="11.33203125" customWidth="1"/>
    <col min="9241" max="9241" width="11.5546875" customWidth="1"/>
    <col min="9242" max="9242" width="9.33203125" customWidth="1"/>
    <col min="9244" max="9244" width="11.6640625" bestFit="1" customWidth="1"/>
    <col min="9245" max="9245" width="10.6640625" bestFit="1" customWidth="1"/>
    <col min="9472" max="9472" width="11.88671875" customWidth="1"/>
    <col min="9473" max="9473" width="18" customWidth="1"/>
    <col min="9474" max="9474" width="11.6640625" customWidth="1"/>
    <col min="9475" max="9475" width="13.44140625" customWidth="1"/>
    <col min="9476" max="9476" width="12.44140625" customWidth="1"/>
    <col min="9477" max="9477" width="10.109375" customWidth="1"/>
    <col min="9478" max="9479" width="12.44140625" customWidth="1"/>
    <col min="9480" max="9480" width="15.44140625" bestFit="1" customWidth="1"/>
    <col min="9481" max="9481" width="17" customWidth="1"/>
    <col min="9482" max="9482" width="12.44140625" customWidth="1"/>
    <col min="9483" max="9483" width="25.88671875" bestFit="1" customWidth="1"/>
    <col min="9484" max="9486" width="18" customWidth="1"/>
    <col min="9487" max="9487" width="17.109375" customWidth="1"/>
    <col min="9488" max="9489" width="15.6640625" customWidth="1"/>
    <col min="9490" max="9490" width="15" customWidth="1"/>
    <col min="9491" max="9492" width="14.109375" bestFit="1" customWidth="1"/>
    <col min="9493" max="9493" width="11.6640625" bestFit="1" customWidth="1"/>
    <col min="9494" max="9494" width="11.88671875" bestFit="1" customWidth="1"/>
    <col min="9495" max="9495" width="12.5546875" customWidth="1"/>
    <col min="9496" max="9496" width="11.33203125" customWidth="1"/>
    <col min="9497" max="9497" width="11.5546875" customWidth="1"/>
    <col min="9498" max="9498" width="9.33203125" customWidth="1"/>
    <col min="9500" max="9500" width="11.6640625" bestFit="1" customWidth="1"/>
    <col min="9501" max="9501" width="10.6640625" bestFit="1" customWidth="1"/>
    <col min="9728" max="9728" width="11.88671875" customWidth="1"/>
    <col min="9729" max="9729" width="18" customWidth="1"/>
    <col min="9730" max="9730" width="11.6640625" customWidth="1"/>
    <col min="9731" max="9731" width="13.44140625" customWidth="1"/>
    <col min="9732" max="9732" width="12.44140625" customWidth="1"/>
    <col min="9733" max="9733" width="10.109375" customWidth="1"/>
    <col min="9734" max="9735" width="12.44140625" customWidth="1"/>
    <col min="9736" max="9736" width="15.44140625" bestFit="1" customWidth="1"/>
    <col min="9737" max="9737" width="17" customWidth="1"/>
    <col min="9738" max="9738" width="12.44140625" customWidth="1"/>
    <col min="9739" max="9739" width="25.88671875" bestFit="1" customWidth="1"/>
    <col min="9740" max="9742" width="18" customWidth="1"/>
    <col min="9743" max="9743" width="17.109375" customWidth="1"/>
    <col min="9744" max="9745" width="15.6640625" customWidth="1"/>
    <col min="9746" max="9746" width="15" customWidth="1"/>
    <col min="9747" max="9748" width="14.109375" bestFit="1" customWidth="1"/>
    <col min="9749" max="9749" width="11.6640625" bestFit="1" customWidth="1"/>
    <col min="9750" max="9750" width="11.88671875" bestFit="1" customWidth="1"/>
    <col min="9751" max="9751" width="12.5546875" customWidth="1"/>
    <col min="9752" max="9752" width="11.33203125" customWidth="1"/>
    <col min="9753" max="9753" width="11.5546875" customWidth="1"/>
    <col min="9754" max="9754" width="9.33203125" customWidth="1"/>
    <col min="9756" max="9756" width="11.6640625" bestFit="1" customWidth="1"/>
    <col min="9757" max="9757" width="10.6640625" bestFit="1" customWidth="1"/>
    <col min="9984" max="9984" width="11.88671875" customWidth="1"/>
    <col min="9985" max="9985" width="18" customWidth="1"/>
    <col min="9986" max="9986" width="11.6640625" customWidth="1"/>
    <col min="9987" max="9987" width="13.44140625" customWidth="1"/>
    <col min="9988" max="9988" width="12.44140625" customWidth="1"/>
    <col min="9989" max="9989" width="10.109375" customWidth="1"/>
    <col min="9990" max="9991" width="12.44140625" customWidth="1"/>
    <col min="9992" max="9992" width="15.44140625" bestFit="1" customWidth="1"/>
    <col min="9993" max="9993" width="17" customWidth="1"/>
    <col min="9994" max="9994" width="12.44140625" customWidth="1"/>
    <col min="9995" max="9995" width="25.88671875" bestFit="1" customWidth="1"/>
    <col min="9996" max="9998" width="18" customWidth="1"/>
    <col min="9999" max="9999" width="17.109375" customWidth="1"/>
    <col min="10000" max="10001" width="15.6640625" customWidth="1"/>
    <col min="10002" max="10002" width="15" customWidth="1"/>
    <col min="10003" max="10004" width="14.109375" bestFit="1" customWidth="1"/>
    <col min="10005" max="10005" width="11.6640625" bestFit="1" customWidth="1"/>
    <col min="10006" max="10006" width="11.88671875" bestFit="1" customWidth="1"/>
    <col min="10007" max="10007" width="12.5546875" customWidth="1"/>
    <col min="10008" max="10008" width="11.33203125" customWidth="1"/>
    <col min="10009" max="10009" width="11.5546875" customWidth="1"/>
    <col min="10010" max="10010" width="9.33203125" customWidth="1"/>
    <col min="10012" max="10012" width="11.6640625" bestFit="1" customWidth="1"/>
    <col min="10013" max="10013" width="10.6640625" bestFit="1" customWidth="1"/>
    <col min="10240" max="10240" width="11.88671875" customWidth="1"/>
    <col min="10241" max="10241" width="18" customWidth="1"/>
    <col min="10242" max="10242" width="11.6640625" customWidth="1"/>
    <col min="10243" max="10243" width="13.44140625" customWidth="1"/>
    <col min="10244" max="10244" width="12.44140625" customWidth="1"/>
    <col min="10245" max="10245" width="10.109375" customWidth="1"/>
    <col min="10246" max="10247" width="12.44140625" customWidth="1"/>
    <col min="10248" max="10248" width="15.44140625" bestFit="1" customWidth="1"/>
    <col min="10249" max="10249" width="17" customWidth="1"/>
    <col min="10250" max="10250" width="12.44140625" customWidth="1"/>
    <col min="10251" max="10251" width="25.88671875" bestFit="1" customWidth="1"/>
    <col min="10252" max="10254" width="18" customWidth="1"/>
    <col min="10255" max="10255" width="17.109375" customWidth="1"/>
    <col min="10256" max="10257" width="15.6640625" customWidth="1"/>
    <col min="10258" max="10258" width="15" customWidth="1"/>
    <col min="10259" max="10260" width="14.109375" bestFit="1" customWidth="1"/>
    <col min="10261" max="10261" width="11.6640625" bestFit="1" customWidth="1"/>
    <col min="10262" max="10262" width="11.88671875" bestFit="1" customWidth="1"/>
    <col min="10263" max="10263" width="12.5546875" customWidth="1"/>
    <col min="10264" max="10264" width="11.33203125" customWidth="1"/>
    <col min="10265" max="10265" width="11.5546875" customWidth="1"/>
    <col min="10266" max="10266" width="9.33203125" customWidth="1"/>
    <col min="10268" max="10268" width="11.6640625" bestFit="1" customWidth="1"/>
    <col min="10269" max="10269" width="10.6640625" bestFit="1" customWidth="1"/>
    <col min="10496" max="10496" width="11.88671875" customWidth="1"/>
    <col min="10497" max="10497" width="18" customWidth="1"/>
    <col min="10498" max="10498" width="11.6640625" customWidth="1"/>
    <col min="10499" max="10499" width="13.44140625" customWidth="1"/>
    <col min="10500" max="10500" width="12.44140625" customWidth="1"/>
    <col min="10501" max="10501" width="10.109375" customWidth="1"/>
    <col min="10502" max="10503" width="12.44140625" customWidth="1"/>
    <col min="10504" max="10504" width="15.44140625" bestFit="1" customWidth="1"/>
    <col min="10505" max="10505" width="17" customWidth="1"/>
    <col min="10506" max="10506" width="12.44140625" customWidth="1"/>
    <col min="10507" max="10507" width="25.88671875" bestFit="1" customWidth="1"/>
    <col min="10508" max="10510" width="18" customWidth="1"/>
    <col min="10511" max="10511" width="17.109375" customWidth="1"/>
    <col min="10512" max="10513" width="15.6640625" customWidth="1"/>
    <col min="10514" max="10514" width="15" customWidth="1"/>
    <col min="10515" max="10516" width="14.109375" bestFit="1" customWidth="1"/>
    <col min="10517" max="10517" width="11.6640625" bestFit="1" customWidth="1"/>
    <col min="10518" max="10518" width="11.88671875" bestFit="1" customWidth="1"/>
    <col min="10519" max="10519" width="12.5546875" customWidth="1"/>
    <col min="10520" max="10520" width="11.33203125" customWidth="1"/>
    <col min="10521" max="10521" width="11.5546875" customWidth="1"/>
    <col min="10522" max="10522" width="9.33203125" customWidth="1"/>
    <col min="10524" max="10524" width="11.6640625" bestFit="1" customWidth="1"/>
    <col min="10525" max="10525" width="10.6640625" bestFit="1" customWidth="1"/>
    <col min="10752" max="10752" width="11.88671875" customWidth="1"/>
    <col min="10753" max="10753" width="18" customWidth="1"/>
    <col min="10754" max="10754" width="11.6640625" customWidth="1"/>
    <col min="10755" max="10755" width="13.44140625" customWidth="1"/>
    <col min="10756" max="10756" width="12.44140625" customWidth="1"/>
    <col min="10757" max="10757" width="10.109375" customWidth="1"/>
    <col min="10758" max="10759" width="12.44140625" customWidth="1"/>
    <col min="10760" max="10760" width="15.44140625" bestFit="1" customWidth="1"/>
    <col min="10761" max="10761" width="17" customWidth="1"/>
    <col min="10762" max="10762" width="12.44140625" customWidth="1"/>
    <col min="10763" max="10763" width="25.88671875" bestFit="1" customWidth="1"/>
    <col min="10764" max="10766" width="18" customWidth="1"/>
    <col min="10767" max="10767" width="17.109375" customWidth="1"/>
    <col min="10768" max="10769" width="15.6640625" customWidth="1"/>
    <col min="10770" max="10770" width="15" customWidth="1"/>
    <col min="10771" max="10772" width="14.109375" bestFit="1" customWidth="1"/>
    <col min="10773" max="10773" width="11.6640625" bestFit="1" customWidth="1"/>
    <col min="10774" max="10774" width="11.88671875" bestFit="1" customWidth="1"/>
    <col min="10775" max="10775" width="12.5546875" customWidth="1"/>
    <col min="10776" max="10776" width="11.33203125" customWidth="1"/>
    <col min="10777" max="10777" width="11.5546875" customWidth="1"/>
    <col min="10778" max="10778" width="9.33203125" customWidth="1"/>
    <col min="10780" max="10780" width="11.6640625" bestFit="1" customWidth="1"/>
    <col min="10781" max="10781" width="10.6640625" bestFit="1" customWidth="1"/>
    <col min="11008" max="11008" width="11.88671875" customWidth="1"/>
    <col min="11009" max="11009" width="18" customWidth="1"/>
    <col min="11010" max="11010" width="11.6640625" customWidth="1"/>
    <col min="11011" max="11011" width="13.44140625" customWidth="1"/>
    <col min="11012" max="11012" width="12.44140625" customWidth="1"/>
    <col min="11013" max="11013" width="10.109375" customWidth="1"/>
    <col min="11014" max="11015" width="12.44140625" customWidth="1"/>
    <col min="11016" max="11016" width="15.44140625" bestFit="1" customWidth="1"/>
    <col min="11017" max="11017" width="17" customWidth="1"/>
    <col min="11018" max="11018" width="12.44140625" customWidth="1"/>
    <col min="11019" max="11019" width="25.88671875" bestFit="1" customWidth="1"/>
    <col min="11020" max="11022" width="18" customWidth="1"/>
    <col min="11023" max="11023" width="17.109375" customWidth="1"/>
    <col min="11024" max="11025" width="15.6640625" customWidth="1"/>
    <col min="11026" max="11026" width="15" customWidth="1"/>
    <col min="11027" max="11028" width="14.109375" bestFit="1" customWidth="1"/>
    <col min="11029" max="11029" width="11.6640625" bestFit="1" customWidth="1"/>
    <col min="11030" max="11030" width="11.88671875" bestFit="1" customWidth="1"/>
    <col min="11031" max="11031" width="12.5546875" customWidth="1"/>
    <col min="11032" max="11032" width="11.33203125" customWidth="1"/>
    <col min="11033" max="11033" width="11.5546875" customWidth="1"/>
    <col min="11034" max="11034" width="9.33203125" customWidth="1"/>
    <col min="11036" max="11036" width="11.6640625" bestFit="1" customWidth="1"/>
    <col min="11037" max="11037" width="10.6640625" bestFit="1" customWidth="1"/>
    <col min="11264" max="11264" width="11.88671875" customWidth="1"/>
    <col min="11265" max="11265" width="18" customWidth="1"/>
    <col min="11266" max="11266" width="11.6640625" customWidth="1"/>
    <col min="11267" max="11267" width="13.44140625" customWidth="1"/>
    <col min="11268" max="11268" width="12.44140625" customWidth="1"/>
    <col min="11269" max="11269" width="10.109375" customWidth="1"/>
    <col min="11270" max="11271" width="12.44140625" customWidth="1"/>
    <col min="11272" max="11272" width="15.44140625" bestFit="1" customWidth="1"/>
    <col min="11273" max="11273" width="17" customWidth="1"/>
    <col min="11274" max="11274" width="12.44140625" customWidth="1"/>
    <col min="11275" max="11275" width="25.88671875" bestFit="1" customWidth="1"/>
    <col min="11276" max="11278" width="18" customWidth="1"/>
    <col min="11279" max="11279" width="17.109375" customWidth="1"/>
    <col min="11280" max="11281" width="15.6640625" customWidth="1"/>
    <col min="11282" max="11282" width="15" customWidth="1"/>
    <col min="11283" max="11284" width="14.109375" bestFit="1" customWidth="1"/>
    <col min="11285" max="11285" width="11.6640625" bestFit="1" customWidth="1"/>
    <col min="11286" max="11286" width="11.88671875" bestFit="1" customWidth="1"/>
    <col min="11287" max="11287" width="12.5546875" customWidth="1"/>
    <col min="11288" max="11288" width="11.33203125" customWidth="1"/>
    <col min="11289" max="11289" width="11.5546875" customWidth="1"/>
    <col min="11290" max="11290" width="9.33203125" customWidth="1"/>
    <col min="11292" max="11292" width="11.6640625" bestFit="1" customWidth="1"/>
    <col min="11293" max="11293" width="10.6640625" bestFit="1" customWidth="1"/>
    <col min="11520" max="11520" width="11.88671875" customWidth="1"/>
    <col min="11521" max="11521" width="18" customWidth="1"/>
    <col min="11522" max="11522" width="11.6640625" customWidth="1"/>
    <col min="11523" max="11523" width="13.44140625" customWidth="1"/>
    <col min="11524" max="11524" width="12.44140625" customWidth="1"/>
    <col min="11525" max="11525" width="10.109375" customWidth="1"/>
    <col min="11526" max="11527" width="12.44140625" customWidth="1"/>
    <col min="11528" max="11528" width="15.44140625" bestFit="1" customWidth="1"/>
    <col min="11529" max="11529" width="17" customWidth="1"/>
    <col min="11530" max="11530" width="12.44140625" customWidth="1"/>
    <col min="11531" max="11531" width="25.88671875" bestFit="1" customWidth="1"/>
    <col min="11532" max="11534" width="18" customWidth="1"/>
    <col min="11535" max="11535" width="17.109375" customWidth="1"/>
    <col min="11536" max="11537" width="15.6640625" customWidth="1"/>
    <col min="11538" max="11538" width="15" customWidth="1"/>
    <col min="11539" max="11540" width="14.109375" bestFit="1" customWidth="1"/>
    <col min="11541" max="11541" width="11.6640625" bestFit="1" customWidth="1"/>
    <col min="11542" max="11542" width="11.88671875" bestFit="1" customWidth="1"/>
    <col min="11543" max="11543" width="12.5546875" customWidth="1"/>
    <col min="11544" max="11544" width="11.33203125" customWidth="1"/>
    <col min="11545" max="11545" width="11.5546875" customWidth="1"/>
    <col min="11546" max="11546" width="9.33203125" customWidth="1"/>
    <col min="11548" max="11548" width="11.6640625" bestFit="1" customWidth="1"/>
    <col min="11549" max="11549" width="10.6640625" bestFit="1" customWidth="1"/>
    <col min="11776" max="11776" width="11.88671875" customWidth="1"/>
    <col min="11777" max="11777" width="18" customWidth="1"/>
    <col min="11778" max="11778" width="11.6640625" customWidth="1"/>
    <col min="11779" max="11779" width="13.44140625" customWidth="1"/>
    <col min="11780" max="11780" width="12.44140625" customWidth="1"/>
    <col min="11781" max="11781" width="10.109375" customWidth="1"/>
    <col min="11782" max="11783" width="12.44140625" customWidth="1"/>
    <col min="11784" max="11784" width="15.44140625" bestFit="1" customWidth="1"/>
    <col min="11785" max="11785" width="17" customWidth="1"/>
    <col min="11786" max="11786" width="12.44140625" customWidth="1"/>
    <col min="11787" max="11787" width="25.88671875" bestFit="1" customWidth="1"/>
    <col min="11788" max="11790" width="18" customWidth="1"/>
    <col min="11791" max="11791" width="17.109375" customWidth="1"/>
    <col min="11792" max="11793" width="15.6640625" customWidth="1"/>
    <col min="11794" max="11794" width="15" customWidth="1"/>
    <col min="11795" max="11796" width="14.109375" bestFit="1" customWidth="1"/>
    <col min="11797" max="11797" width="11.6640625" bestFit="1" customWidth="1"/>
    <col min="11798" max="11798" width="11.88671875" bestFit="1" customWidth="1"/>
    <col min="11799" max="11799" width="12.5546875" customWidth="1"/>
    <col min="11800" max="11800" width="11.33203125" customWidth="1"/>
    <col min="11801" max="11801" width="11.5546875" customWidth="1"/>
    <col min="11802" max="11802" width="9.33203125" customWidth="1"/>
    <col min="11804" max="11804" width="11.6640625" bestFit="1" customWidth="1"/>
    <col min="11805" max="11805" width="10.6640625" bestFit="1" customWidth="1"/>
    <col min="12032" max="12032" width="11.88671875" customWidth="1"/>
    <col min="12033" max="12033" width="18" customWidth="1"/>
    <col min="12034" max="12034" width="11.6640625" customWidth="1"/>
    <col min="12035" max="12035" width="13.44140625" customWidth="1"/>
    <col min="12036" max="12036" width="12.44140625" customWidth="1"/>
    <col min="12037" max="12037" width="10.109375" customWidth="1"/>
    <col min="12038" max="12039" width="12.44140625" customWidth="1"/>
    <col min="12040" max="12040" width="15.44140625" bestFit="1" customWidth="1"/>
    <col min="12041" max="12041" width="17" customWidth="1"/>
    <col min="12042" max="12042" width="12.44140625" customWidth="1"/>
    <col min="12043" max="12043" width="25.88671875" bestFit="1" customWidth="1"/>
    <col min="12044" max="12046" width="18" customWidth="1"/>
    <col min="12047" max="12047" width="17.109375" customWidth="1"/>
    <col min="12048" max="12049" width="15.6640625" customWidth="1"/>
    <col min="12050" max="12050" width="15" customWidth="1"/>
    <col min="12051" max="12052" width="14.109375" bestFit="1" customWidth="1"/>
    <col min="12053" max="12053" width="11.6640625" bestFit="1" customWidth="1"/>
    <col min="12054" max="12054" width="11.88671875" bestFit="1" customWidth="1"/>
    <col min="12055" max="12055" width="12.5546875" customWidth="1"/>
    <col min="12056" max="12056" width="11.33203125" customWidth="1"/>
    <col min="12057" max="12057" width="11.5546875" customWidth="1"/>
    <col min="12058" max="12058" width="9.33203125" customWidth="1"/>
    <col min="12060" max="12060" width="11.6640625" bestFit="1" customWidth="1"/>
    <col min="12061" max="12061" width="10.6640625" bestFit="1" customWidth="1"/>
    <col min="12288" max="12288" width="11.88671875" customWidth="1"/>
    <col min="12289" max="12289" width="18" customWidth="1"/>
    <col min="12290" max="12290" width="11.6640625" customWidth="1"/>
    <col min="12291" max="12291" width="13.44140625" customWidth="1"/>
    <col min="12292" max="12292" width="12.44140625" customWidth="1"/>
    <col min="12293" max="12293" width="10.109375" customWidth="1"/>
    <col min="12294" max="12295" width="12.44140625" customWidth="1"/>
    <col min="12296" max="12296" width="15.44140625" bestFit="1" customWidth="1"/>
    <col min="12297" max="12297" width="17" customWidth="1"/>
    <col min="12298" max="12298" width="12.44140625" customWidth="1"/>
    <col min="12299" max="12299" width="25.88671875" bestFit="1" customWidth="1"/>
    <col min="12300" max="12302" width="18" customWidth="1"/>
    <col min="12303" max="12303" width="17.109375" customWidth="1"/>
    <col min="12304" max="12305" width="15.6640625" customWidth="1"/>
    <col min="12306" max="12306" width="15" customWidth="1"/>
    <col min="12307" max="12308" width="14.109375" bestFit="1" customWidth="1"/>
    <col min="12309" max="12309" width="11.6640625" bestFit="1" customWidth="1"/>
    <col min="12310" max="12310" width="11.88671875" bestFit="1" customWidth="1"/>
    <col min="12311" max="12311" width="12.5546875" customWidth="1"/>
    <col min="12312" max="12312" width="11.33203125" customWidth="1"/>
    <col min="12313" max="12313" width="11.5546875" customWidth="1"/>
    <col min="12314" max="12314" width="9.33203125" customWidth="1"/>
    <col min="12316" max="12316" width="11.6640625" bestFit="1" customWidth="1"/>
    <col min="12317" max="12317" width="10.6640625" bestFit="1" customWidth="1"/>
    <col min="12544" max="12544" width="11.88671875" customWidth="1"/>
    <col min="12545" max="12545" width="18" customWidth="1"/>
    <col min="12546" max="12546" width="11.6640625" customWidth="1"/>
    <col min="12547" max="12547" width="13.44140625" customWidth="1"/>
    <col min="12548" max="12548" width="12.44140625" customWidth="1"/>
    <col min="12549" max="12549" width="10.109375" customWidth="1"/>
    <col min="12550" max="12551" width="12.44140625" customWidth="1"/>
    <col min="12552" max="12552" width="15.44140625" bestFit="1" customWidth="1"/>
    <col min="12553" max="12553" width="17" customWidth="1"/>
    <col min="12554" max="12554" width="12.44140625" customWidth="1"/>
    <col min="12555" max="12555" width="25.88671875" bestFit="1" customWidth="1"/>
    <col min="12556" max="12558" width="18" customWidth="1"/>
    <col min="12559" max="12559" width="17.109375" customWidth="1"/>
    <col min="12560" max="12561" width="15.6640625" customWidth="1"/>
    <col min="12562" max="12562" width="15" customWidth="1"/>
    <col min="12563" max="12564" width="14.109375" bestFit="1" customWidth="1"/>
    <col min="12565" max="12565" width="11.6640625" bestFit="1" customWidth="1"/>
    <col min="12566" max="12566" width="11.88671875" bestFit="1" customWidth="1"/>
    <col min="12567" max="12567" width="12.5546875" customWidth="1"/>
    <col min="12568" max="12568" width="11.33203125" customWidth="1"/>
    <col min="12569" max="12569" width="11.5546875" customWidth="1"/>
    <col min="12570" max="12570" width="9.33203125" customWidth="1"/>
    <col min="12572" max="12572" width="11.6640625" bestFit="1" customWidth="1"/>
    <col min="12573" max="12573" width="10.6640625" bestFit="1" customWidth="1"/>
    <col min="12800" max="12800" width="11.88671875" customWidth="1"/>
    <col min="12801" max="12801" width="18" customWidth="1"/>
    <col min="12802" max="12802" width="11.6640625" customWidth="1"/>
    <col min="12803" max="12803" width="13.44140625" customWidth="1"/>
    <col min="12804" max="12804" width="12.44140625" customWidth="1"/>
    <col min="12805" max="12805" width="10.109375" customWidth="1"/>
    <col min="12806" max="12807" width="12.44140625" customWidth="1"/>
    <col min="12808" max="12808" width="15.44140625" bestFit="1" customWidth="1"/>
    <col min="12809" max="12809" width="17" customWidth="1"/>
    <col min="12810" max="12810" width="12.44140625" customWidth="1"/>
    <col min="12811" max="12811" width="25.88671875" bestFit="1" customWidth="1"/>
    <col min="12812" max="12814" width="18" customWidth="1"/>
    <col min="12815" max="12815" width="17.109375" customWidth="1"/>
    <col min="12816" max="12817" width="15.6640625" customWidth="1"/>
    <col min="12818" max="12818" width="15" customWidth="1"/>
    <col min="12819" max="12820" width="14.109375" bestFit="1" customWidth="1"/>
    <col min="12821" max="12821" width="11.6640625" bestFit="1" customWidth="1"/>
    <col min="12822" max="12822" width="11.88671875" bestFit="1" customWidth="1"/>
    <col min="12823" max="12823" width="12.5546875" customWidth="1"/>
    <col min="12824" max="12824" width="11.33203125" customWidth="1"/>
    <col min="12825" max="12825" width="11.5546875" customWidth="1"/>
    <col min="12826" max="12826" width="9.33203125" customWidth="1"/>
    <col min="12828" max="12828" width="11.6640625" bestFit="1" customWidth="1"/>
    <col min="12829" max="12829" width="10.6640625" bestFit="1" customWidth="1"/>
    <col min="13056" max="13056" width="11.88671875" customWidth="1"/>
    <col min="13057" max="13057" width="18" customWidth="1"/>
    <col min="13058" max="13058" width="11.6640625" customWidth="1"/>
    <col min="13059" max="13059" width="13.44140625" customWidth="1"/>
    <col min="13060" max="13060" width="12.44140625" customWidth="1"/>
    <col min="13061" max="13061" width="10.109375" customWidth="1"/>
    <col min="13062" max="13063" width="12.44140625" customWidth="1"/>
    <col min="13064" max="13064" width="15.44140625" bestFit="1" customWidth="1"/>
    <col min="13065" max="13065" width="17" customWidth="1"/>
    <col min="13066" max="13066" width="12.44140625" customWidth="1"/>
    <col min="13067" max="13067" width="25.88671875" bestFit="1" customWidth="1"/>
    <col min="13068" max="13070" width="18" customWidth="1"/>
    <col min="13071" max="13071" width="17.109375" customWidth="1"/>
    <col min="13072" max="13073" width="15.6640625" customWidth="1"/>
    <col min="13074" max="13074" width="15" customWidth="1"/>
    <col min="13075" max="13076" width="14.109375" bestFit="1" customWidth="1"/>
    <col min="13077" max="13077" width="11.6640625" bestFit="1" customWidth="1"/>
    <col min="13078" max="13078" width="11.88671875" bestFit="1" customWidth="1"/>
    <col min="13079" max="13079" width="12.5546875" customWidth="1"/>
    <col min="13080" max="13080" width="11.33203125" customWidth="1"/>
    <col min="13081" max="13081" width="11.5546875" customWidth="1"/>
    <col min="13082" max="13082" width="9.33203125" customWidth="1"/>
    <col min="13084" max="13084" width="11.6640625" bestFit="1" customWidth="1"/>
    <col min="13085" max="13085" width="10.6640625" bestFit="1" customWidth="1"/>
    <col min="13312" max="13312" width="11.88671875" customWidth="1"/>
    <col min="13313" max="13313" width="18" customWidth="1"/>
    <col min="13314" max="13314" width="11.6640625" customWidth="1"/>
    <col min="13315" max="13315" width="13.44140625" customWidth="1"/>
    <col min="13316" max="13316" width="12.44140625" customWidth="1"/>
    <col min="13317" max="13317" width="10.109375" customWidth="1"/>
    <col min="13318" max="13319" width="12.44140625" customWidth="1"/>
    <col min="13320" max="13320" width="15.44140625" bestFit="1" customWidth="1"/>
    <col min="13321" max="13321" width="17" customWidth="1"/>
    <col min="13322" max="13322" width="12.44140625" customWidth="1"/>
    <col min="13323" max="13323" width="25.88671875" bestFit="1" customWidth="1"/>
    <col min="13324" max="13326" width="18" customWidth="1"/>
    <col min="13327" max="13327" width="17.109375" customWidth="1"/>
    <col min="13328" max="13329" width="15.6640625" customWidth="1"/>
    <col min="13330" max="13330" width="15" customWidth="1"/>
    <col min="13331" max="13332" width="14.109375" bestFit="1" customWidth="1"/>
    <col min="13333" max="13333" width="11.6640625" bestFit="1" customWidth="1"/>
    <col min="13334" max="13334" width="11.88671875" bestFit="1" customWidth="1"/>
    <col min="13335" max="13335" width="12.5546875" customWidth="1"/>
    <col min="13336" max="13336" width="11.33203125" customWidth="1"/>
    <col min="13337" max="13337" width="11.5546875" customWidth="1"/>
    <col min="13338" max="13338" width="9.33203125" customWidth="1"/>
    <col min="13340" max="13340" width="11.6640625" bestFit="1" customWidth="1"/>
    <col min="13341" max="13341" width="10.6640625" bestFit="1" customWidth="1"/>
    <col min="13568" max="13568" width="11.88671875" customWidth="1"/>
    <col min="13569" max="13569" width="18" customWidth="1"/>
    <col min="13570" max="13570" width="11.6640625" customWidth="1"/>
    <col min="13571" max="13571" width="13.44140625" customWidth="1"/>
    <col min="13572" max="13572" width="12.44140625" customWidth="1"/>
    <col min="13573" max="13573" width="10.109375" customWidth="1"/>
    <col min="13574" max="13575" width="12.44140625" customWidth="1"/>
    <col min="13576" max="13576" width="15.44140625" bestFit="1" customWidth="1"/>
    <col min="13577" max="13577" width="17" customWidth="1"/>
    <col min="13578" max="13578" width="12.44140625" customWidth="1"/>
    <col min="13579" max="13579" width="25.88671875" bestFit="1" customWidth="1"/>
    <col min="13580" max="13582" width="18" customWidth="1"/>
    <col min="13583" max="13583" width="17.109375" customWidth="1"/>
    <col min="13584" max="13585" width="15.6640625" customWidth="1"/>
    <col min="13586" max="13586" width="15" customWidth="1"/>
    <col min="13587" max="13588" width="14.109375" bestFit="1" customWidth="1"/>
    <col min="13589" max="13589" width="11.6640625" bestFit="1" customWidth="1"/>
    <col min="13590" max="13590" width="11.88671875" bestFit="1" customWidth="1"/>
    <col min="13591" max="13591" width="12.5546875" customWidth="1"/>
    <col min="13592" max="13592" width="11.33203125" customWidth="1"/>
    <col min="13593" max="13593" width="11.5546875" customWidth="1"/>
    <col min="13594" max="13594" width="9.33203125" customWidth="1"/>
    <col min="13596" max="13596" width="11.6640625" bestFit="1" customWidth="1"/>
    <col min="13597" max="13597" width="10.6640625" bestFit="1" customWidth="1"/>
    <col min="13824" max="13824" width="11.88671875" customWidth="1"/>
    <col min="13825" max="13825" width="18" customWidth="1"/>
    <col min="13826" max="13826" width="11.6640625" customWidth="1"/>
    <col min="13827" max="13827" width="13.44140625" customWidth="1"/>
    <col min="13828" max="13828" width="12.44140625" customWidth="1"/>
    <col min="13829" max="13829" width="10.109375" customWidth="1"/>
    <col min="13830" max="13831" width="12.44140625" customWidth="1"/>
    <col min="13832" max="13832" width="15.44140625" bestFit="1" customWidth="1"/>
    <col min="13833" max="13833" width="17" customWidth="1"/>
    <col min="13834" max="13834" width="12.44140625" customWidth="1"/>
    <col min="13835" max="13835" width="25.88671875" bestFit="1" customWidth="1"/>
    <col min="13836" max="13838" width="18" customWidth="1"/>
    <col min="13839" max="13839" width="17.109375" customWidth="1"/>
    <col min="13840" max="13841" width="15.6640625" customWidth="1"/>
    <col min="13842" max="13842" width="15" customWidth="1"/>
    <col min="13843" max="13844" width="14.109375" bestFit="1" customWidth="1"/>
    <col min="13845" max="13845" width="11.6640625" bestFit="1" customWidth="1"/>
    <col min="13846" max="13846" width="11.88671875" bestFit="1" customWidth="1"/>
    <col min="13847" max="13847" width="12.5546875" customWidth="1"/>
    <col min="13848" max="13848" width="11.33203125" customWidth="1"/>
    <col min="13849" max="13849" width="11.5546875" customWidth="1"/>
    <col min="13850" max="13850" width="9.33203125" customWidth="1"/>
    <col min="13852" max="13852" width="11.6640625" bestFit="1" customWidth="1"/>
    <col min="13853" max="13853" width="10.6640625" bestFit="1" customWidth="1"/>
    <col min="14080" max="14080" width="11.88671875" customWidth="1"/>
    <col min="14081" max="14081" width="18" customWidth="1"/>
    <col min="14082" max="14082" width="11.6640625" customWidth="1"/>
    <col min="14083" max="14083" width="13.44140625" customWidth="1"/>
    <col min="14084" max="14084" width="12.44140625" customWidth="1"/>
    <col min="14085" max="14085" width="10.109375" customWidth="1"/>
    <col min="14086" max="14087" width="12.44140625" customWidth="1"/>
    <col min="14088" max="14088" width="15.44140625" bestFit="1" customWidth="1"/>
    <col min="14089" max="14089" width="17" customWidth="1"/>
    <col min="14090" max="14090" width="12.44140625" customWidth="1"/>
    <col min="14091" max="14091" width="25.88671875" bestFit="1" customWidth="1"/>
    <col min="14092" max="14094" width="18" customWidth="1"/>
    <col min="14095" max="14095" width="17.109375" customWidth="1"/>
    <col min="14096" max="14097" width="15.6640625" customWidth="1"/>
    <col min="14098" max="14098" width="15" customWidth="1"/>
    <col min="14099" max="14100" width="14.109375" bestFit="1" customWidth="1"/>
    <col min="14101" max="14101" width="11.6640625" bestFit="1" customWidth="1"/>
    <col min="14102" max="14102" width="11.88671875" bestFit="1" customWidth="1"/>
    <col min="14103" max="14103" width="12.5546875" customWidth="1"/>
    <col min="14104" max="14104" width="11.33203125" customWidth="1"/>
    <col min="14105" max="14105" width="11.5546875" customWidth="1"/>
    <col min="14106" max="14106" width="9.33203125" customWidth="1"/>
    <col min="14108" max="14108" width="11.6640625" bestFit="1" customWidth="1"/>
    <col min="14109" max="14109" width="10.6640625" bestFit="1" customWidth="1"/>
    <col min="14336" max="14336" width="11.88671875" customWidth="1"/>
    <col min="14337" max="14337" width="18" customWidth="1"/>
    <col min="14338" max="14338" width="11.6640625" customWidth="1"/>
    <col min="14339" max="14339" width="13.44140625" customWidth="1"/>
    <col min="14340" max="14340" width="12.44140625" customWidth="1"/>
    <col min="14341" max="14341" width="10.109375" customWidth="1"/>
    <col min="14342" max="14343" width="12.44140625" customWidth="1"/>
    <col min="14344" max="14344" width="15.44140625" bestFit="1" customWidth="1"/>
    <col min="14345" max="14345" width="17" customWidth="1"/>
    <col min="14346" max="14346" width="12.44140625" customWidth="1"/>
    <col min="14347" max="14347" width="25.88671875" bestFit="1" customWidth="1"/>
    <col min="14348" max="14350" width="18" customWidth="1"/>
    <col min="14351" max="14351" width="17.109375" customWidth="1"/>
    <col min="14352" max="14353" width="15.6640625" customWidth="1"/>
    <col min="14354" max="14354" width="15" customWidth="1"/>
    <col min="14355" max="14356" width="14.109375" bestFit="1" customWidth="1"/>
    <col min="14357" max="14357" width="11.6640625" bestFit="1" customWidth="1"/>
    <col min="14358" max="14358" width="11.88671875" bestFit="1" customWidth="1"/>
    <col min="14359" max="14359" width="12.5546875" customWidth="1"/>
    <col min="14360" max="14360" width="11.33203125" customWidth="1"/>
    <col min="14361" max="14361" width="11.5546875" customWidth="1"/>
    <col min="14362" max="14362" width="9.33203125" customWidth="1"/>
    <col min="14364" max="14364" width="11.6640625" bestFit="1" customWidth="1"/>
    <col min="14365" max="14365" width="10.6640625" bestFit="1" customWidth="1"/>
    <col min="14592" max="14592" width="11.88671875" customWidth="1"/>
    <col min="14593" max="14593" width="18" customWidth="1"/>
    <col min="14594" max="14594" width="11.6640625" customWidth="1"/>
    <col min="14595" max="14595" width="13.44140625" customWidth="1"/>
    <col min="14596" max="14596" width="12.44140625" customWidth="1"/>
    <col min="14597" max="14597" width="10.109375" customWidth="1"/>
    <col min="14598" max="14599" width="12.44140625" customWidth="1"/>
    <col min="14600" max="14600" width="15.44140625" bestFit="1" customWidth="1"/>
    <col min="14601" max="14601" width="17" customWidth="1"/>
    <col min="14602" max="14602" width="12.44140625" customWidth="1"/>
    <col min="14603" max="14603" width="25.88671875" bestFit="1" customWidth="1"/>
    <col min="14604" max="14606" width="18" customWidth="1"/>
    <col min="14607" max="14607" width="17.109375" customWidth="1"/>
    <col min="14608" max="14609" width="15.6640625" customWidth="1"/>
    <col min="14610" max="14610" width="15" customWidth="1"/>
    <col min="14611" max="14612" width="14.109375" bestFit="1" customWidth="1"/>
    <col min="14613" max="14613" width="11.6640625" bestFit="1" customWidth="1"/>
    <col min="14614" max="14614" width="11.88671875" bestFit="1" customWidth="1"/>
    <col min="14615" max="14615" width="12.5546875" customWidth="1"/>
    <col min="14616" max="14616" width="11.33203125" customWidth="1"/>
    <col min="14617" max="14617" width="11.5546875" customWidth="1"/>
    <col min="14618" max="14618" width="9.33203125" customWidth="1"/>
    <col min="14620" max="14620" width="11.6640625" bestFit="1" customWidth="1"/>
    <col min="14621" max="14621" width="10.6640625" bestFit="1" customWidth="1"/>
    <col min="14848" max="14848" width="11.88671875" customWidth="1"/>
    <col min="14849" max="14849" width="18" customWidth="1"/>
    <col min="14850" max="14850" width="11.6640625" customWidth="1"/>
    <col min="14851" max="14851" width="13.44140625" customWidth="1"/>
    <col min="14852" max="14852" width="12.44140625" customWidth="1"/>
    <col min="14853" max="14853" width="10.109375" customWidth="1"/>
    <col min="14854" max="14855" width="12.44140625" customWidth="1"/>
    <col min="14856" max="14856" width="15.44140625" bestFit="1" customWidth="1"/>
    <col min="14857" max="14857" width="17" customWidth="1"/>
    <col min="14858" max="14858" width="12.44140625" customWidth="1"/>
    <col min="14859" max="14859" width="25.88671875" bestFit="1" customWidth="1"/>
    <col min="14860" max="14862" width="18" customWidth="1"/>
    <col min="14863" max="14863" width="17.109375" customWidth="1"/>
    <col min="14864" max="14865" width="15.6640625" customWidth="1"/>
    <col min="14866" max="14866" width="15" customWidth="1"/>
    <col min="14867" max="14868" width="14.109375" bestFit="1" customWidth="1"/>
    <col min="14869" max="14869" width="11.6640625" bestFit="1" customWidth="1"/>
    <col min="14870" max="14870" width="11.88671875" bestFit="1" customWidth="1"/>
    <col min="14871" max="14871" width="12.5546875" customWidth="1"/>
    <col min="14872" max="14872" width="11.33203125" customWidth="1"/>
    <col min="14873" max="14873" width="11.5546875" customWidth="1"/>
    <col min="14874" max="14874" width="9.33203125" customWidth="1"/>
    <col min="14876" max="14876" width="11.6640625" bestFit="1" customWidth="1"/>
    <col min="14877" max="14877" width="10.6640625" bestFit="1" customWidth="1"/>
    <col min="15104" max="15104" width="11.88671875" customWidth="1"/>
    <col min="15105" max="15105" width="18" customWidth="1"/>
    <col min="15106" max="15106" width="11.6640625" customWidth="1"/>
    <col min="15107" max="15107" width="13.44140625" customWidth="1"/>
    <col min="15108" max="15108" width="12.44140625" customWidth="1"/>
    <col min="15109" max="15109" width="10.109375" customWidth="1"/>
    <col min="15110" max="15111" width="12.44140625" customWidth="1"/>
    <col min="15112" max="15112" width="15.44140625" bestFit="1" customWidth="1"/>
    <col min="15113" max="15113" width="17" customWidth="1"/>
    <col min="15114" max="15114" width="12.44140625" customWidth="1"/>
    <col min="15115" max="15115" width="25.88671875" bestFit="1" customWidth="1"/>
    <col min="15116" max="15118" width="18" customWidth="1"/>
    <col min="15119" max="15119" width="17.109375" customWidth="1"/>
    <col min="15120" max="15121" width="15.6640625" customWidth="1"/>
    <col min="15122" max="15122" width="15" customWidth="1"/>
    <col min="15123" max="15124" width="14.109375" bestFit="1" customWidth="1"/>
    <col min="15125" max="15125" width="11.6640625" bestFit="1" customWidth="1"/>
    <col min="15126" max="15126" width="11.88671875" bestFit="1" customWidth="1"/>
    <col min="15127" max="15127" width="12.5546875" customWidth="1"/>
    <col min="15128" max="15128" width="11.33203125" customWidth="1"/>
    <col min="15129" max="15129" width="11.5546875" customWidth="1"/>
    <col min="15130" max="15130" width="9.33203125" customWidth="1"/>
    <col min="15132" max="15132" width="11.6640625" bestFit="1" customWidth="1"/>
    <col min="15133" max="15133" width="10.6640625" bestFit="1" customWidth="1"/>
    <col min="15360" max="15360" width="11.88671875" customWidth="1"/>
    <col min="15361" max="15361" width="18" customWidth="1"/>
    <col min="15362" max="15362" width="11.6640625" customWidth="1"/>
    <col min="15363" max="15363" width="13.44140625" customWidth="1"/>
    <col min="15364" max="15364" width="12.44140625" customWidth="1"/>
    <col min="15365" max="15365" width="10.109375" customWidth="1"/>
    <col min="15366" max="15367" width="12.44140625" customWidth="1"/>
    <col min="15368" max="15368" width="15.44140625" bestFit="1" customWidth="1"/>
    <col min="15369" max="15369" width="17" customWidth="1"/>
    <col min="15370" max="15370" width="12.44140625" customWidth="1"/>
    <col min="15371" max="15371" width="25.88671875" bestFit="1" customWidth="1"/>
    <col min="15372" max="15374" width="18" customWidth="1"/>
    <col min="15375" max="15375" width="17.109375" customWidth="1"/>
    <col min="15376" max="15377" width="15.6640625" customWidth="1"/>
    <col min="15378" max="15378" width="15" customWidth="1"/>
    <col min="15379" max="15380" width="14.109375" bestFit="1" customWidth="1"/>
    <col min="15381" max="15381" width="11.6640625" bestFit="1" customWidth="1"/>
    <col min="15382" max="15382" width="11.88671875" bestFit="1" customWidth="1"/>
    <col min="15383" max="15383" width="12.5546875" customWidth="1"/>
    <col min="15384" max="15384" width="11.33203125" customWidth="1"/>
    <col min="15385" max="15385" width="11.5546875" customWidth="1"/>
    <col min="15386" max="15386" width="9.33203125" customWidth="1"/>
    <col min="15388" max="15388" width="11.6640625" bestFit="1" customWidth="1"/>
    <col min="15389" max="15389" width="10.6640625" bestFit="1" customWidth="1"/>
    <col min="15616" max="15616" width="11.88671875" customWidth="1"/>
    <col min="15617" max="15617" width="18" customWidth="1"/>
    <col min="15618" max="15618" width="11.6640625" customWidth="1"/>
    <col min="15619" max="15619" width="13.44140625" customWidth="1"/>
    <col min="15620" max="15620" width="12.44140625" customWidth="1"/>
    <col min="15621" max="15621" width="10.109375" customWidth="1"/>
    <col min="15622" max="15623" width="12.44140625" customWidth="1"/>
    <col min="15624" max="15624" width="15.44140625" bestFit="1" customWidth="1"/>
    <col min="15625" max="15625" width="17" customWidth="1"/>
    <col min="15626" max="15626" width="12.44140625" customWidth="1"/>
    <col min="15627" max="15627" width="25.88671875" bestFit="1" customWidth="1"/>
    <col min="15628" max="15630" width="18" customWidth="1"/>
    <col min="15631" max="15631" width="17.109375" customWidth="1"/>
    <col min="15632" max="15633" width="15.6640625" customWidth="1"/>
    <col min="15634" max="15634" width="15" customWidth="1"/>
    <col min="15635" max="15636" width="14.109375" bestFit="1" customWidth="1"/>
    <col min="15637" max="15637" width="11.6640625" bestFit="1" customWidth="1"/>
    <col min="15638" max="15638" width="11.88671875" bestFit="1" customWidth="1"/>
    <col min="15639" max="15639" width="12.5546875" customWidth="1"/>
    <col min="15640" max="15640" width="11.33203125" customWidth="1"/>
    <col min="15641" max="15641" width="11.5546875" customWidth="1"/>
    <col min="15642" max="15642" width="9.33203125" customWidth="1"/>
    <col min="15644" max="15644" width="11.6640625" bestFit="1" customWidth="1"/>
    <col min="15645" max="15645" width="10.6640625" bestFit="1" customWidth="1"/>
    <col min="15872" max="15872" width="11.88671875" customWidth="1"/>
    <col min="15873" max="15873" width="18" customWidth="1"/>
    <col min="15874" max="15874" width="11.6640625" customWidth="1"/>
    <col min="15875" max="15875" width="13.44140625" customWidth="1"/>
    <col min="15876" max="15876" width="12.44140625" customWidth="1"/>
    <col min="15877" max="15877" width="10.109375" customWidth="1"/>
    <col min="15878" max="15879" width="12.44140625" customWidth="1"/>
    <col min="15880" max="15880" width="15.44140625" bestFit="1" customWidth="1"/>
    <col min="15881" max="15881" width="17" customWidth="1"/>
    <col min="15882" max="15882" width="12.44140625" customWidth="1"/>
    <col min="15883" max="15883" width="25.88671875" bestFit="1" customWidth="1"/>
    <col min="15884" max="15886" width="18" customWidth="1"/>
    <col min="15887" max="15887" width="17.109375" customWidth="1"/>
    <col min="15888" max="15889" width="15.6640625" customWidth="1"/>
    <col min="15890" max="15890" width="15" customWidth="1"/>
    <col min="15891" max="15892" width="14.109375" bestFit="1" customWidth="1"/>
    <col min="15893" max="15893" width="11.6640625" bestFit="1" customWidth="1"/>
    <col min="15894" max="15894" width="11.88671875" bestFit="1" customWidth="1"/>
    <col min="15895" max="15895" width="12.5546875" customWidth="1"/>
    <col min="15896" max="15896" width="11.33203125" customWidth="1"/>
    <col min="15897" max="15897" width="11.5546875" customWidth="1"/>
    <col min="15898" max="15898" width="9.33203125" customWidth="1"/>
    <col min="15900" max="15900" width="11.6640625" bestFit="1" customWidth="1"/>
    <col min="15901" max="15901" width="10.6640625" bestFit="1" customWidth="1"/>
    <col min="16128" max="16128" width="11.88671875" customWidth="1"/>
    <col min="16129" max="16129" width="18" customWidth="1"/>
    <col min="16130" max="16130" width="11.6640625" customWidth="1"/>
    <col min="16131" max="16131" width="13.44140625" customWidth="1"/>
    <col min="16132" max="16132" width="12.44140625" customWidth="1"/>
    <col min="16133" max="16133" width="10.109375" customWidth="1"/>
    <col min="16134" max="16135" width="12.44140625" customWidth="1"/>
    <col min="16136" max="16136" width="15.44140625" bestFit="1" customWidth="1"/>
    <col min="16137" max="16137" width="17" customWidth="1"/>
    <col min="16138" max="16138" width="12.44140625" customWidth="1"/>
    <col min="16139" max="16139" width="25.88671875" bestFit="1" customWidth="1"/>
    <col min="16140" max="16142" width="18" customWidth="1"/>
    <col min="16143" max="16143" width="17.109375" customWidth="1"/>
    <col min="16144" max="16145" width="15.6640625" customWidth="1"/>
    <col min="16146" max="16146" width="15" customWidth="1"/>
    <col min="16147" max="16148" width="14.109375" bestFit="1" customWidth="1"/>
    <col min="16149" max="16149" width="11.6640625" bestFit="1" customWidth="1"/>
    <col min="16150" max="16150" width="11.88671875" bestFit="1" customWidth="1"/>
    <col min="16151" max="16151" width="12.5546875" customWidth="1"/>
    <col min="16152" max="16152" width="11.33203125" customWidth="1"/>
    <col min="16153" max="16153" width="11.5546875" customWidth="1"/>
    <col min="16154" max="16154" width="9.33203125" customWidth="1"/>
    <col min="16156" max="16156" width="11.6640625" bestFit="1" customWidth="1"/>
    <col min="16157" max="16157" width="10.6640625" bestFit="1" customWidth="1"/>
  </cols>
  <sheetData>
    <row r="1" spans="1:25" customFormat="1" x14ac:dyDescent="0.25">
      <c r="B1" s="28"/>
      <c r="C1" s="24"/>
      <c r="D1" s="24"/>
      <c r="E1" s="24"/>
      <c r="F1" s="418" t="s">
        <v>241</v>
      </c>
      <c r="G1" s="419"/>
      <c r="H1" s="1"/>
      <c r="I1" s="1"/>
      <c r="J1" s="1"/>
      <c r="W1" s="208"/>
      <c r="X1" s="208"/>
      <c r="Y1" s="208"/>
    </row>
    <row r="2" spans="1:25" customFormat="1" ht="42" customHeight="1" x14ac:dyDescent="0.25">
      <c r="B2" s="82" t="s">
        <v>242</v>
      </c>
      <c r="C2" s="83" t="s">
        <v>3</v>
      </c>
      <c r="D2" s="83" t="s">
        <v>4</v>
      </c>
      <c r="E2" s="83" t="s">
        <v>211</v>
      </c>
      <c r="F2" s="83" t="s">
        <v>17</v>
      </c>
      <c r="G2" s="83" t="s">
        <v>5</v>
      </c>
      <c r="H2" s="12" t="s">
        <v>243</v>
      </c>
      <c r="I2" s="12" t="s">
        <v>11</v>
      </c>
      <c r="J2" s="12" t="s">
        <v>12</v>
      </c>
      <c r="K2" t="s">
        <v>18</v>
      </c>
      <c r="W2" s="9"/>
      <c r="X2" s="9"/>
      <c r="Y2" s="9"/>
    </row>
    <row r="3" spans="1:25" customFormat="1" ht="13.8" thickBot="1" x14ac:dyDescent="0.3">
      <c r="A3" s="3">
        <v>38718</v>
      </c>
      <c r="B3" s="28">
        <f>'[7]Consumption Data '!H54</f>
        <v>2405185</v>
      </c>
      <c r="C3" s="24">
        <f>'[8]Purchased Power Model '!C3</f>
        <v>551.79999999999995</v>
      </c>
      <c r="D3" s="24">
        <f>'[8]Purchased Power Model '!D3</f>
        <v>0</v>
      </c>
      <c r="E3" s="162">
        <v>894</v>
      </c>
      <c r="F3" s="162">
        <v>0</v>
      </c>
      <c r="G3" s="162">
        <v>31</v>
      </c>
      <c r="H3" s="288">
        <f>$L$18+C3*$L$19+D3*$L$20+E3*$L$21</f>
        <v>2609172.1277406355</v>
      </c>
      <c r="I3" s="288"/>
      <c r="J3" s="289"/>
      <c r="W3" s="208"/>
      <c r="X3" s="208"/>
      <c r="Y3" s="208"/>
    </row>
    <row r="4" spans="1:25" customFormat="1" x14ac:dyDescent="0.25">
      <c r="A4" s="3">
        <v>38749</v>
      </c>
      <c r="B4" s="28">
        <f>'[7]Consumption Data '!H55</f>
        <v>2220986</v>
      </c>
      <c r="C4" s="24">
        <f>'[8]Purchased Power Model '!C4</f>
        <v>604.29999999999995</v>
      </c>
      <c r="D4" s="24">
        <f>'[8]Purchased Power Model '!D4</f>
        <v>0</v>
      </c>
      <c r="E4" s="162">
        <v>893</v>
      </c>
      <c r="F4" s="162">
        <v>0</v>
      </c>
      <c r="G4" s="162">
        <v>28</v>
      </c>
      <c r="H4" s="288">
        <f t="shared" ref="H4:H67" si="0">$L$18+C4*$L$19+D4*$L$20+E4*$L$21</f>
        <v>2652495.9881809503</v>
      </c>
      <c r="I4" s="288"/>
      <c r="J4" s="289"/>
      <c r="K4" s="55" t="s">
        <v>19</v>
      </c>
      <c r="L4" s="55"/>
      <c r="W4" s="208"/>
      <c r="X4" s="208"/>
      <c r="Y4" s="208"/>
    </row>
    <row r="5" spans="1:25" customFormat="1" x14ac:dyDescent="0.25">
      <c r="A5" s="3">
        <v>38777</v>
      </c>
      <c r="B5" s="28">
        <f>'[7]Consumption Data '!H56</f>
        <v>2311304</v>
      </c>
      <c r="C5" s="24">
        <f>'[8]Purchased Power Model '!C5</f>
        <v>516.6</v>
      </c>
      <c r="D5" s="24">
        <f>'[8]Purchased Power Model '!D5</f>
        <v>0</v>
      </c>
      <c r="E5" s="162">
        <v>894</v>
      </c>
      <c r="F5" s="162">
        <v>1</v>
      </c>
      <c r="G5" s="162">
        <v>31</v>
      </c>
      <c r="H5" s="288">
        <f t="shared" si="0"/>
        <v>2578636.3071162179</v>
      </c>
      <c r="I5" s="288"/>
      <c r="J5" s="289"/>
      <c r="K5" s="34" t="s">
        <v>20</v>
      </c>
      <c r="L5" s="67">
        <v>0.84943691259355614</v>
      </c>
      <c r="W5" s="208"/>
      <c r="X5" s="208"/>
      <c r="Y5" s="208"/>
    </row>
    <row r="6" spans="1:25" customFormat="1" x14ac:dyDescent="0.25">
      <c r="A6" s="3">
        <v>38808</v>
      </c>
      <c r="B6" s="28">
        <f>'[7]Consumption Data '!H57</f>
        <v>1970759</v>
      </c>
      <c r="C6" s="24">
        <f>'[8]Purchased Power Model '!C6</f>
        <v>293.3</v>
      </c>
      <c r="D6" s="24">
        <f>'[8]Purchased Power Model '!D6</f>
        <v>0</v>
      </c>
      <c r="E6" s="162">
        <v>897</v>
      </c>
      <c r="F6" s="162">
        <v>1</v>
      </c>
      <c r="G6" s="162">
        <v>30</v>
      </c>
      <c r="H6" s="288">
        <f t="shared" si="0"/>
        <v>2391583.5611053118</v>
      </c>
      <c r="I6" s="288"/>
      <c r="J6" s="289"/>
      <c r="K6" s="34" t="s">
        <v>21</v>
      </c>
      <c r="L6" s="67">
        <v>0.72154306847647276</v>
      </c>
      <c r="W6" s="208"/>
      <c r="X6" s="208"/>
      <c r="Y6" s="208"/>
    </row>
    <row r="7" spans="1:25" customFormat="1" x14ac:dyDescent="0.25">
      <c r="A7" s="3">
        <v>38838</v>
      </c>
      <c r="B7" s="28">
        <f>'[7]Consumption Data '!H58</f>
        <v>1991763</v>
      </c>
      <c r="C7" s="24">
        <f>'[8]Purchased Power Model '!C7</f>
        <v>136.9</v>
      </c>
      <c r="D7" s="24">
        <f>'[8]Purchased Power Model '!D7</f>
        <v>26</v>
      </c>
      <c r="E7" s="162">
        <v>891</v>
      </c>
      <c r="F7" s="162">
        <v>1</v>
      </c>
      <c r="G7" s="162">
        <v>31</v>
      </c>
      <c r="H7" s="288">
        <f t="shared" si="0"/>
        <v>2325993.4020624557</v>
      </c>
      <c r="I7" s="288"/>
      <c r="J7" s="289"/>
      <c r="K7" s="34" t="s">
        <v>22</v>
      </c>
      <c r="L7" s="67">
        <v>0.714341596109485</v>
      </c>
      <c r="W7" s="208"/>
      <c r="X7" s="208"/>
      <c r="Y7" s="208"/>
    </row>
    <row r="8" spans="1:25" customFormat="1" x14ac:dyDescent="0.25">
      <c r="A8" s="3">
        <v>38869</v>
      </c>
      <c r="B8" s="28">
        <f>'[7]Consumption Data '!H59</f>
        <v>2203302</v>
      </c>
      <c r="C8" s="24">
        <f>'[8]Purchased Power Model '!C8</f>
        <v>19.5</v>
      </c>
      <c r="D8" s="24">
        <f>'[8]Purchased Power Model '!D8</f>
        <v>73.599999999999994</v>
      </c>
      <c r="E8" s="162">
        <v>797</v>
      </c>
      <c r="F8" s="162">
        <v>0</v>
      </c>
      <c r="G8" s="162">
        <v>30</v>
      </c>
      <c r="H8" s="288">
        <f t="shared" si="0"/>
        <v>2168198.0969940904</v>
      </c>
      <c r="I8" s="288"/>
      <c r="J8" s="289"/>
      <c r="K8" s="34" t="s">
        <v>23</v>
      </c>
      <c r="L8" s="65">
        <v>135890.30883159986</v>
      </c>
      <c r="W8" s="208"/>
      <c r="X8" s="208"/>
      <c r="Y8" s="208"/>
    </row>
    <row r="9" spans="1:25" customFormat="1" ht="13.8" thickBot="1" x14ac:dyDescent="0.3">
      <c r="A9" s="3">
        <v>38899</v>
      </c>
      <c r="B9" s="28">
        <f>'[7]Consumption Data '!H60</f>
        <v>2484696</v>
      </c>
      <c r="C9" s="24">
        <f>'[8]Purchased Power Model '!C9</f>
        <v>0</v>
      </c>
      <c r="D9" s="24">
        <f>'[8]Purchased Power Model '!D9</f>
        <v>167.3</v>
      </c>
      <c r="E9" s="162">
        <v>811</v>
      </c>
      <c r="F9" s="162">
        <v>0</v>
      </c>
      <c r="G9" s="162">
        <v>31</v>
      </c>
      <c r="H9" s="288">
        <f t="shared" si="0"/>
        <v>2482931.0324629615</v>
      </c>
      <c r="I9" s="288"/>
      <c r="J9" s="289"/>
      <c r="K9" s="53" t="s">
        <v>24</v>
      </c>
      <c r="L9" s="53">
        <v>120</v>
      </c>
      <c r="W9" s="208"/>
      <c r="X9" s="208"/>
      <c r="Y9" s="208"/>
    </row>
    <row r="10" spans="1:25" customFormat="1" x14ac:dyDescent="0.25">
      <c r="A10" s="3">
        <v>38930</v>
      </c>
      <c r="B10" s="28">
        <f>'[7]Consumption Data '!H61</f>
        <v>2359413</v>
      </c>
      <c r="C10" s="24">
        <f>'[8]Purchased Power Model '!C10</f>
        <v>4.2</v>
      </c>
      <c r="D10" s="24">
        <f>'[8]Purchased Power Model '!D10</f>
        <v>101.6</v>
      </c>
      <c r="E10" s="162">
        <v>815</v>
      </c>
      <c r="F10" s="162">
        <v>0</v>
      </c>
      <c r="G10" s="162">
        <v>31</v>
      </c>
      <c r="H10" s="288">
        <f t="shared" si="0"/>
        <v>2284698.072607399</v>
      </c>
      <c r="I10" s="288"/>
      <c r="J10" s="289"/>
      <c r="W10" s="208"/>
      <c r="X10" s="208"/>
      <c r="Y10" s="208"/>
    </row>
    <row r="11" spans="1:25" customFormat="1" ht="13.8" thickBot="1" x14ac:dyDescent="0.3">
      <c r="A11" s="3">
        <v>38961</v>
      </c>
      <c r="B11" s="28">
        <f>'[7]Consumption Data '!H62</f>
        <v>2127231</v>
      </c>
      <c r="C11" s="24">
        <f>'[8]Purchased Power Model '!C11</f>
        <v>80.900000000000006</v>
      </c>
      <c r="D11" s="24">
        <f>'[8]Purchased Power Model '!D11</f>
        <v>12.9</v>
      </c>
      <c r="E11" s="162">
        <v>818</v>
      </c>
      <c r="F11" s="162">
        <v>1</v>
      </c>
      <c r="G11" s="162">
        <v>30</v>
      </c>
      <c r="H11" s="288">
        <f t="shared" si="0"/>
        <v>2073358.6077929027</v>
      </c>
      <c r="I11" s="288"/>
      <c r="J11" s="289"/>
      <c r="K11" t="s">
        <v>25</v>
      </c>
      <c r="W11" s="208"/>
      <c r="X11" s="208"/>
      <c r="Y11" s="208"/>
    </row>
    <row r="12" spans="1:25" customFormat="1" x14ac:dyDescent="0.25">
      <c r="A12" s="3">
        <v>38991</v>
      </c>
      <c r="B12" s="28">
        <f>'[7]Consumption Data '!H63</f>
        <v>2278439</v>
      </c>
      <c r="C12" s="24">
        <f>'[8]Purchased Power Model '!C12</f>
        <v>288.3</v>
      </c>
      <c r="D12" s="24">
        <f>'[8]Purchased Power Model '!D12</f>
        <v>1.1000000000000001</v>
      </c>
      <c r="E12" s="162">
        <v>821</v>
      </c>
      <c r="F12" s="162">
        <v>1</v>
      </c>
      <c r="G12" s="162">
        <v>31</v>
      </c>
      <c r="H12" s="288">
        <f t="shared" si="0"/>
        <v>2222083.4339756072</v>
      </c>
      <c r="I12" s="288"/>
      <c r="J12" s="289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  <c r="W12" s="208"/>
      <c r="X12" s="208"/>
      <c r="Y12" s="208"/>
    </row>
    <row r="13" spans="1:25" customFormat="1" x14ac:dyDescent="0.25">
      <c r="A13" s="3">
        <v>39022</v>
      </c>
      <c r="B13" s="28">
        <f>'[7]Consumption Data '!H64</f>
        <v>2340246</v>
      </c>
      <c r="C13" s="24">
        <f>'[8]Purchased Power Model '!C13</f>
        <v>382.2</v>
      </c>
      <c r="D13" s="24">
        <f>'[8]Purchased Power Model '!D13</f>
        <v>0</v>
      </c>
      <c r="E13" s="162">
        <v>811</v>
      </c>
      <c r="F13" s="162">
        <v>1</v>
      </c>
      <c r="G13" s="162">
        <v>30</v>
      </c>
      <c r="H13" s="288">
        <f t="shared" si="0"/>
        <v>2277816.3639231194</v>
      </c>
      <c r="I13" s="288"/>
      <c r="J13" s="289"/>
      <c r="K13" s="34" t="s">
        <v>26</v>
      </c>
      <c r="L13" s="34">
        <v>3</v>
      </c>
      <c r="M13" s="34">
        <v>5550590479217.4053</v>
      </c>
      <c r="N13" s="34">
        <v>1850196826405.8018</v>
      </c>
      <c r="O13" s="34">
        <v>100.19382588817446</v>
      </c>
      <c r="P13" s="34">
        <v>4.6075657381282552E-32</v>
      </c>
      <c r="W13" s="208"/>
      <c r="X13" s="208"/>
      <c r="Y13" s="208"/>
    </row>
    <row r="14" spans="1:25" customFormat="1" x14ac:dyDescent="0.25">
      <c r="A14" s="3">
        <v>39052</v>
      </c>
      <c r="B14" s="28">
        <f>'[7]Consumption Data '!H65</f>
        <v>2439858</v>
      </c>
      <c r="C14" s="24">
        <f>'[8]Purchased Power Model '!C14</f>
        <v>500.5</v>
      </c>
      <c r="D14" s="24">
        <f>'[8]Purchased Power Model '!D14</f>
        <v>0</v>
      </c>
      <c r="E14" s="162">
        <v>816</v>
      </c>
      <c r="F14" s="162">
        <v>0</v>
      </c>
      <c r="G14" s="162">
        <v>31</v>
      </c>
      <c r="H14" s="288">
        <f t="shared" si="0"/>
        <v>2391539.1212038798</v>
      </c>
      <c r="I14" s="288"/>
      <c r="J14" s="289"/>
      <c r="K14" s="34" t="s">
        <v>27</v>
      </c>
      <c r="L14" s="34">
        <v>116</v>
      </c>
      <c r="M14" s="34">
        <v>2142076419984.3196</v>
      </c>
      <c r="N14" s="34">
        <v>18466176034.347584</v>
      </c>
      <c r="O14" s="34"/>
      <c r="P14" s="34"/>
      <c r="W14" s="208"/>
      <c r="X14" s="208"/>
      <c r="Y14" s="208"/>
    </row>
    <row r="15" spans="1:25" customFormat="1" ht="13.8" thickBot="1" x14ac:dyDescent="0.3">
      <c r="A15" s="3">
        <v>39083</v>
      </c>
      <c r="B15" s="28">
        <f>'[7]Consumption Data '!H66</f>
        <v>2566158</v>
      </c>
      <c r="C15" s="24">
        <f>'[8]Purchased Power Model '!C15</f>
        <v>647.1</v>
      </c>
      <c r="D15" s="24">
        <f>'[8]Purchased Power Model '!D15</f>
        <v>0</v>
      </c>
      <c r="E15" s="162">
        <v>816</v>
      </c>
      <c r="F15" s="162">
        <v>0</v>
      </c>
      <c r="G15" s="162">
        <v>31</v>
      </c>
      <c r="H15" s="288">
        <f t="shared" si="0"/>
        <v>2518713.8741453458</v>
      </c>
      <c r="I15" s="288"/>
      <c r="J15" s="289"/>
      <c r="K15" s="53" t="s">
        <v>9</v>
      </c>
      <c r="L15" s="53">
        <v>119</v>
      </c>
      <c r="M15" s="53">
        <v>7692666899201.7246</v>
      </c>
      <c r="N15" s="53"/>
      <c r="O15" s="53"/>
      <c r="P15" s="53"/>
      <c r="W15" s="208"/>
      <c r="X15" s="208"/>
      <c r="Y15" s="208"/>
    </row>
    <row r="16" spans="1:25" customFormat="1" ht="13.8" thickBot="1" x14ac:dyDescent="0.3">
      <c r="A16" s="3">
        <v>39114</v>
      </c>
      <c r="B16" s="28">
        <f>'[7]Consumption Data '!H67</f>
        <v>2449930</v>
      </c>
      <c r="C16" s="24">
        <f>'[8]Purchased Power Model '!C16</f>
        <v>740.1</v>
      </c>
      <c r="D16" s="24">
        <f>'[8]Purchased Power Model '!D16</f>
        <v>0</v>
      </c>
      <c r="E16" s="162">
        <v>818</v>
      </c>
      <c r="F16" s="162">
        <v>0</v>
      </c>
      <c r="G16" s="162">
        <v>28</v>
      </c>
      <c r="H16" s="288">
        <f t="shared" si="0"/>
        <v>2603830.1442770641</v>
      </c>
      <c r="I16" s="288"/>
      <c r="J16" s="289"/>
      <c r="W16" s="208"/>
      <c r="X16" s="208"/>
      <c r="Y16" s="208"/>
    </row>
    <row r="17" spans="1:17" customFormat="1" x14ac:dyDescent="0.25">
      <c r="A17" s="3">
        <v>39142</v>
      </c>
      <c r="B17" s="28">
        <f>'[7]Consumption Data '!H68</f>
        <v>2503057</v>
      </c>
      <c r="C17" s="24">
        <f>'[8]Purchased Power Model '!C17</f>
        <v>546.70000000000005</v>
      </c>
      <c r="D17" s="24">
        <f>'[8]Purchased Power Model '!D17</f>
        <v>0</v>
      </c>
      <c r="E17" s="162">
        <v>820</v>
      </c>
      <c r="F17" s="162">
        <v>1</v>
      </c>
      <c r="G17" s="162">
        <v>31</v>
      </c>
      <c r="H17" s="288">
        <f t="shared" si="0"/>
        <v>2440495.8738737497</v>
      </c>
      <c r="I17" s="288"/>
      <c r="J17" s="289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customFormat="1" x14ac:dyDescent="0.25">
      <c r="A18" s="3">
        <v>39173</v>
      </c>
      <c r="B18" s="28">
        <f>'[7]Consumption Data '!H69</f>
        <v>2150206</v>
      </c>
      <c r="C18" s="24">
        <f>'[8]Purchased Power Model '!C18</f>
        <v>356.4</v>
      </c>
      <c r="D18" s="24">
        <f>'[8]Purchased Power Model '!D18</f>
        <v>0</v>
      </c>
      <c r="E18" s="162">
        <v>819</v>
      </c>
      <c r="F18" s="162">
        <v>1</v>
      </c>
      <c r="G18" s="162">
        <v>30</v>
      </c>
      <c r="H18" s="288">
        <f t="shared" si="0"/>
        <v>2273191.9715979127</v>
      </c>
      <c r="I18" s="288"/>
      <c r="J18" s="289"/>
      <c r="K18" s="34" t="s">
        <v>28</v>
      </c>
      <c r="L18" s="65">
        <v>146146.34923470393</v>
      </c>
      <c r="M18" s="290">
        <v>179909.54877150682</v>
      </c>
      <c r="N18" s="63">
        <v>0.81233236497255812</v>
      </c>
      <c r="O18" s="34">
        <v>0.41826489646009035</v>
      </c>
      <c r="P18" s="290">
        <v>-210187.18115282431</v>
      </c>
      <c r="Q18" s="290">
        <v>502479.87962223217</v>
      </c>
    </row>
    <row r="19" spans="1:17" customFormat="1" x14ac:dyDescent="0.25">
      <c r="A19" s="3">
        <v>39203</v>
      </c>
      <c r="B19" s="28">
        <f>'[7]Consumption Data '!H70</f>
        <v>2173559</v>
      </c>
      <c r="C19" s="24">
        <f>'[8]Purchased Power Model '!C19</f>
        <v>136.4</v>
      </c>
      <c r="D19" s="24">
        <f>'[8]Purchased Power Model '!D19</f>
        <v>22.4</v>
      </c>
      <c r="E19" s="162">
        <v>818</v>
      </c>
      <c r="F19" s="162">
        <v>1</v>
      </c>
      <c r="G19" s="162">
        <v>31</v>
      </c>
      <c r="H19" s="288">
        <f t="shared" si="0"/>
        <v>2151979.0316259274</v>
      </c>
      <c r="I19" s="288"/>
      <c r="J19" s="289"/>
      <c r="K19" s="34" t="s">
        <v>3</v>
      </c>
      <c r="L19" s="65">
        <v>867.49490410276815</v>
      </c>
      <c r="M19" s="290">
        <v>65.628859172955671</v>
      </c>
      <c r="N19" s="63">
        <v>13.218192652360553</v>
      </c>
      <c r="O19" s="34">
        <v>6.8217432466123228E-25</v>
      </c>
      <c r="P19" s="290">
        <v>737.50867911308637</v>
      </c>
      <c r="Q19" s="290">
        <v>997.48112909244992</v>
      </c>
    </row>
    <row r="20" spans="1:17" customFormat="1" x14ac:dyDescent="0.25">
      <c r="A20" s="3">
        <v>39234</v>
      </c>
      <c r="B20" s="28">
        <f>'[7]Consumption Data '!H71</f>
        <v>2286735</v>
      </c>
      <c r="C20" s="24">
        <f>'[8]Purchased Power Model '!C20</f>
        <v>16.5</v>
      </c>
      <c r="D20" s="24">
        <f>'[8]Purchased Power Model '!D20</f>
        <v>99.2</v>
      </c>
      <c r="E20" s="162">
        <v>819</v>
      </c>
      <c r="F20" s="162">
        <v>0</v>
      </c>
      <c r="G20" s="162">
        <v>30</v>
      </c>
      <c r="H20" s="288">
        <f t="shared" si="0"/>
        <v>2296547.9379257886</v>
      </c>
      <c r="I20" s="288"/>
      <c r="J20" s="289"/>
      <c r="K20" s="34" t="s">
        <v>4</v>
      </c>
      <c r="L20" s="65">
        <v>3207.8375426653924</v>
      </c>
      <c r="M20" s="290">
        <v>364.92893413770133</v>
      </c>
      <c r="N20" s="63">
        <v>8.7903074888957846</v>
      </c>
      <c r="O20" s="34">
        <v>1.5980116735587617E-14</v>
      </c>
      <c r="P20" s="290">
        <v>2485.0498066625805</v>
      </c>
      <c r="Q20" s="290">
        <v>3930.6252786682044</v>
      </c>
    </row>
    <row r="21" spans="1:17" customFormat="1" ht="13.8" thickBot="1" x14ac:dyDescent="0.3">
      <c r="A21" s="3">
        <v>39264</v>
      </c>
      <c r="B21" s="28">
        <f>'[7]Consumption Data '!H72</f>
        <v>2434031</v>
      </c>
      <c r="C21" s="24">
        <f>'[8]Purchased Power Model '!C21</f>
        <v>3.2</v>
      </c>
      <c r="D21" s="24">
        <f>'[8]Purchased Power Model '!D21</f>
        <v>106.1</v>
      </c>
      <c r="E21" s="162">
        <v>824</v>
      </c>
      <c r="F21" s="162">
        <v>0</v>
      </c>
      <c r="G21" s="162">
        <v>31</v>
      </c>
      <c r="H21" s="288">
        <f t="shared" si="0"/>
        <v>2318242.4448710158</v>
      </c>
      <c r="I21" s="288"/>
      <c r="J21" s="289"/>
      <c r="K21" s="53" t="s">
        <v>211</v>
      </c>
      <c r="L21" s="66">
        <v>2219.6220250805641</v>
      </c>
      <c r="M21" s="291">
        <v>196.72063279677857</v>
      </c>
      <c r="N21" s="64">
        <v>11.283117553680988</v>
      </c>
      <c r="O21" s="53">
        <v>2.2261200219643646E-20</v>
      </c>
      <c r="P21" s="291">
        <v>1829.9920245430581</v>
      </c>
      <c r="Q21" s="291">
        <v>2609.2520256180701</v>
      </c>
    </row>
    <row r="22" spans="1:17" customFormat="1" x14ac:dyDescent="0.25">
      <c r="A22" s="3">
        <v>39295</v>
      </c>
      <c r="B22" s="28">
        <f>'[7]Consumption Data '!H73</f>
        <v>2419591</v>
      </c>
      <c r="C22" s="24">
        <f>'[8]Purchased Power Model '!C22</f>
        <v>5.2</v>
      </c>
      <c r="D22" s="24">
        <f>'[8]Purchased Power Model '!D22</f>
        <v>141</v>
      </c>
      <c r="E22" s="162">
        <v>821</v>
      </c>
      <c r="F22" s="162">
        <v>0</v>
      </c>
      <c r="G22" s="162">
        <v>31</v>
      </c>
      <c r="H22" s="288">
        <f t="shared" si="0"/>
        <v>2425272.0988430018</v>
      </c>
      <c r="I22" s="288"/>
      <c r="J22" s="289"/>
      <c r="K22" s="34"/>
      <c r="L22" s="63"/>
      <c r="M22" s="34"/>
      <c r="N22" s="63"/>
      <c r="O22" s="34"/>
      <c r="P22" s="34"/>
      <c r="Q22" s="34"/>
    </row>
    <row r="23" spans="1:17" customFormat="1" x14ac:dyDescent="0.25">
      <c r="A23" s="3">
        <v>39326</v>
      </c>
      <c r="B23" s="28">
        <f>'[7]Consumption Data '!H74</f>
        <v>2195496</v>
      </c>
      <c r="C23" s="24">
        <f>'[8]Purchased Power Model '!C23</f>
        <v>36.9</v>
      </c>
      <c r="D23" s="24">
        <f>'[8]Purchased Power Model '!D23</f>
        <v>47.5</v>
      </c>
      <c r="E23" s="162">
        <v>824</v>
      </c>
      <c r="F23" s="162">
        <v>1</v>
      </c>
      <c r="G23" s="162">
        <v>30</v>
      </c>
      <c r="H23" s="288">
        <f t="shared" si="0"/>
        <v>2159497.7431390872</v>
      </c>
      <c r="I23" s="288"/>
      <c r="J23" s="289"/>
    </row>
    <row r="24" spans="1:17" customFormat="1" x14ac:dyDescent="0.25">
      <c r="A24" s="3">
        <v>39356</v>
      </c>
      <c r="B24" s="28">
        <f>'[7]Consumption Data '!H75</f>
        <v>2297711</v>
      </c>
      <c r="C24" s="24">
        <f>'[8]Purchased Power Model '!C24</f>
        <v>137.69999999999999</v>
      </c>
      <c r="D24" s="24">
        <f>'[8]Purchased Power Model '!D24</f>
        <v>19.8</v>
      </c>
      <c r="E24" s="162">
        <v>826</v>
      </c>
      <c r="F24" s="162">
        <v>1</v>
      </c>
      <c r="G24" s="162">
        <v>31</v>
      </c>
      <c r="H24" s="288">
        <f t="shared" si="0"/>
        <v>2162523.373590976</v>
      </c>
      <c r="I24" s="288"/>
      <c r="J24" s="289"/>
    </row>
    <row r="25" spans="1:17" customFormat="1" x14ac:dyDescent="0.25">
      <c r="A25" s="3">
        <v>39387</v>
      </c>
      <c r="B25" s="28">
        <f>'[7]Consumption Data '!H76</f>
        <v>2455130</v>
      </c>
      <c r="C25" s="24">
        <f>'[8]Purchased Power Model '!C25</f>
        <v>462.5</v>
      </c>
      <c r="D25" s="24">
        <f>'[8]Purchased Power Model '!D25</f>
        <v>0</v>
      </c>
      <c r="E25" s="162">
        <v>826</v>
      </c>
      <c r="F25" s="162">
        <v>1</v>
      </c>
      <c r="G25" s="162">
        <v>30</v>
      </c>
      <c r="H25" s="288">
        <f t="shared" si="0"/>
        <v>2380770.5350987799</v>
      </c>
      <c r="I25" s="288"/>
      <c r="J25" s="289"/>
    </row>
    <row r="26" spans="1:17" customFormat="1" x14ac:dyDescent="0.25">
      <c r="A26" s="3">
        <v>39417</v>
      </c>
      <c r="B26" s="28">
        <f>'[7]Consumption Data '!H77</f>
        <v>2654818</v>
      </c>
      <c r="C26" s="24">
        <f>'[8]Purchased Power Model '!C26</f>
        <v>630.70000000000005</v>
      </c>
      <c r="D26" s="24">
        <f>'[8]Purchased Power Model '!D26</f>
        <v>0</v>
      </c>
      <c r="E26" s="162">
        <v>831</v>
      </c>
      <c r="F26" s="162">
        <v>0</v>
      </c>
      <c r="G26" s="162">
        <v>31</v>
      </c>
      <c r="H26" s="288">
        <f t="shared" si="0"/>
        <v>2537781.2880942686</v>
      </c>
      <c r="I26" s="288"/>
      <c r="J26" s="289"/>
    </row>
    <row r="27" spans="1:17" customFormat="1" x14ac:dyDescent="0.25">
      <c r="A27" s="3">
        <v>39448</v>
      </c>
      <c r="B27" s="28">
        <f>'[7]Consumption Data '!H78</f>
        <v>2708152</v>
      </c>
      <c r="C27" s="24">
        <f>'[8]Purchased Power Model '!C27</f>
        <v>623.5</v>
      </c>
      <c r="D27" s="24">
        <f>'[8]Purchased Power Model '!D27</f>
        <v>0</v>
      </c>
      <c r="E27" s="162">
        <v>831</v>
      </c>
      <c r="F27" s="162">
        <v>0</v>
      </c>
      <c r="G27" s="162">
        <v>31</v>
      </c>
      <c r="H27" s="288">
        <f t="shared" si="0"/>
        <v>2531535.3247847287</v>
      </c>
      <c r="I27" s="1"/>
      <c r="J27" s="1"/>
    </row>
    <row r="28" spans="1:17" customFormat="1" x14ac:dyDescent="0.25">
      <c r="A28" s="3">
        <v>39479</v>
      </c>
      <c r="B28" s="28">
        <f>'[7]Consumption Data '!H79</f>
        <v>2543856</v>
      </c>
      <c r="C28" s="24">
        <f>'[8]Purchased Power Model '!C28</f>
        <v>674.7</v>
      </c>
      <c r="D28" s="24">
        <f>'[8]Purchased Power Model '!D28</f>
        <v>0</v>
      </c>
      <c r="E28" s="162">
        <v>832</v>
      </c>
      <c r="F28" s="162">
        <v>0</v>
      </c>
      <c r="G28" s="162">
        <v>29</v>
      </c>
      <c r="H28" s="288">
        <f t="shared" si="0"/>
        <v>2578170.6858998709</v>
      </c>
      <c r="I28" s="1"/>
      <c r="J28" s="1"/>
    </row>
    <row r="29" spans="1:17" customFormat="1" x14ac:dyDescent="0.25">
      <c r="A29" s="3">
        <v>39508</v>
      </c>
      <c r="B29" s="28">
        <f>'[7]Consumption Data '!H80</f>
        <v>2579260</v>
      </c>
      <c r="C29" s="24">
        <f>'[8]Purchased Power Model '!C29</f>
        <v>610.20000000000005</v>
      </c>
      <c r="D29" s="24">
        <f>'[8]Purchased Power Model '!D29</f>
        <v>0</v>
      </c>
      <c r="E29" s="162">
        <v>833</v>
      </c>
      <c r="F29" s="162">
        <v>1</v>
      </c>
      <c r="G29" s="162">
        <v>31</v>
      </c>
      <c r="H29" s="288">
        <f t="shared" si="0"/>
        <v>2524436.8866103231</v>
      </c>
      <c r="I29" s="1"/>
      <c r="J29" s="1"/>
    </row>
    <row r="30" spans="1:17" customFormat="1" x14ac:dyDescent="0.25">
      <c r="A30" s="3">
        <v>39539</v>
      </c>
      <c r="B30" s="28">
        <f>'[7]Consumption Data '!H81</f>
        <v>2176154</v>
      </c>
      <c r="C30" s="24">
        <f>'[8]Purchased Power Model '!C30</f>
        <v>253.9</v>
      </c>
      <c r="D30" s="24">
        <f>'[8]Purchased Power Model '!D30</f>
        <v>0</v>
      </c>
      <c r="E30" s="162">
        <v>834</v>
      </c>
      <c r="F30" s="162">
        <v>1</v>
      </c>
      <c r="G30" s="162">
        <v>30</v>
      </c>
      <c r="H30" s="288">
        <f t="shared" si="0"/>
        <v>2217568.074303587</v>
      </c>
      <c r="I30" s="1"/>
      <c r="J30" s="1"/>
    </row>
    <row r="31" spans="1:17" customFormat="1" x14ac:dyDescent="0.25">
      <c r="A31" s="3">
        <v>39569</v>
      </c>
      <c r="B31" s="28">
        <f>'[7]Consumption Data '!H82</f>
        <v>2168104</v>
      </c>
      <c r="C31" s="24">
        <f>'[8]Purchased Power Model '!C31</f>
        <v>193.5</v>
      </c>
      <c r="D31" s="24">
        <f>'[8]Purchased Power Model '!D31</f>
        <v>2.5</v>
      </c>
      <c r="E31" s="162">
        <v>838</v>
      </c>
      <c r="F31" s="162">
        <v>1</v>
      </c>
      <c r="G31" s="162">
        <v>31</v>
      </c>
      <c r="H31" s="288">
        <f t="shared" si="0"/>
        <v>2182069.4640527656</v>
      </c>
      <c r="I31" s="1"/>
      <c r="J31" s="1"/>
    </row>
    <row r="32" spans="1:17" customFormat="1" x14ac:dyDescent="0.25">
      <c r="A32" s="3">
        <v>39600</v>
      </c>
      <c r="B32" s="28">
        <f>'[7]Consumption Data '!H83</f>
        <v>2214082</v>
      </c>
      <c r="C32" s="24">
        <f>'[8]Purchased Power Model '!C32</f>
        <v>22.7</v>
      </c>
      <c r="D32" s="24">
        <f>'[8]Purchased Power Model '!D32</f>
        <v>71.5</v>
      </c>
      <c r="E32" s="162">
        <v>836</v>
      </c>
      <c r="F32" s="162">
        <v>0</v>
      </c>
      <c r="G32" s="162">
        <v>30</v>
      </c>
      <c r="H32" s="288">
        <f t="shared" si="0"/>
        <v>2250802.880825764</v>
      </c>
      <c r="I32" s="1"/>
      <c r="J32" s="1"/>
    </row>
    <row r="33" spans="1:31" x14ac:dyDescent="0.25">
      <c r="A33" s="3">
        <v>39630</v>
      </c>
      <c r="B33" s="28">
        <f>'[7]Consumption Data '!H84</f>
        <v>2343602</v>
      </c>
      <c r="C33" s="24">
        <f>'[8]Purchased Power Model '!C33</f>
        <v>1</v>
      </c>
      <c r="D33" s="24">
        <f>'[8]Purchased Power Model '!D33</f>
        <v>111</v>
      </c>
      <c r="E33" s="162">
        <v>836</v>
      </c>
      <c r="F33" s="162">
        <v>0</v>
      </c>
      <c r="G33" s="162">
        <v>31</v>
      </c>
      <c r="H33" s="288">
        <f t="shared" si="0"/>
        <v>2358687.8243420171</v>
      </c>
    </row>
    <row r="34" spans="1:31" x14ac:dyDescent="0.25">
      <c r="A34" s="3">
        <v>39661</v>
      </c>
      <c r="B34" s="28">
        <f>'[7]Consumption Data '!H85</f>
        <v>2300528</v>
      </c>
      <c r="C34" s="24">
        <f>'[8]Purchased Power Model '!C34</f>
        <v>12.7</v>
      </c>
      <c r="D34" s="24">
        <f>'[8]Purchased Power Model '!D34</f>
        <v>64</v>
      </c>
      <c r="E34" s="162">
        <v>837</v>
      </c>
      <c r="F34" s="162">
        <v>0</v>
      </c>
      <c r="G34" s="162">
        <v>31</v>
      </c>
      <c r="H34" s="288">
        <f t="shared" si="0"/>
        <v>2220288.7722398262</v>
      </c>
    </row>
    <row r="35" spans="1:31" x14ac:dyDescent="0.25">
      <c r="A35" s="3">
        <v>39692</v>
      </c>
      <c r="B35" s="28">
        <f>'[7]Consumption Data '!H86</f>
        <v>2111286</v>
      </c>
      <c r="C35" s="24">
        <f>'[8]Purchased Power Model '!C35</f>
        <v>59</v>
      </c>
      <c r="D35" s="24">
        <f>'[8]Purchased Power Model '!D35</f>
        <v>26.7</v>
      </c>
      <c r="E35" s="162">
        <v>839</v>
      </c>
      <c r="F35" s="162">
        <v>1</v>
      </c>
      <c r="G35" s="162">
        <v>30</v>
      </c>
      <c r="H35" s="288">
        <f t="shared" si="0"/>
        <v>2145240.6900085267</v>
      </c>
    </row>
    <row r="36" spans="1:31" x14ac:dyDescent="0.25">
      <c r="A36" s="3">
        <v>39722</v>
      </c>
      <c r="B36" s="28">
        <f>'[7]Consumption Data '!H87</f>
        <v>2222937</v>
      </c>
      <c r="C36" s="24">
        <f>'[8]Purchased Power Model '!C36</f>
        <v>278.60000000000002</v>
      </c>
      <c r="D36" s="24">
        <f>'[8]Purchased Power Model '!D36</f>
        <v>0</v>
      </c>
      <c r="E36" s="162">
        <v>840</v>
      </c>
      <c r="F36" s="162">
        <v>1</v>
      </c>
      <c r="G36" s="162">
        <v>31</v>
      </c>
      <c r="H36" s="288">
        <f t="shared" si="0"/>
        <v>2252312.930585409</v>
      </c>
    </row>
    <row r="37" spans="1:31" x14ac:dyDescent="0.25">
      <c r="A37" s="3">
        <v>39753</v>
      </c>
      <c r="B37" s="28">
        <f>'[7]Consumption Data '!H88</f>
        <v>2396744</v>
      </c>
      <c r="C37" s="24">
        <f>'[8]Purchased Power Model '!C37</f>
        <v>451.6</v>
      </c>
      <c r="D37" s="24">
        <f>'[8]Purchased Power Model '!D37</f>
        <v>0</v>
      </c>
      <c r="E37" s="162">
        <v>843</v>
      </c>
      <c r="F37" s="162">
        <v>1</v>
      </c>
      <c r="G37" s="162">
        <v>30</v>
      </c>
      <c r="H37" s="288">
        <f t="shared" si="0"/>
        <v>2409048.4150704294</v>
      </c>
    </row>
    <row r="38" spans="1:31" x14ac:dyDescent="0.25">
      <c r="A38" s="3">
        <v>39783</v>
      </c>
      <c r="B38" s="28">
        <f>'[7]Consumption Data '!H89</f>
        <v>2623822</v>
      </c>
      <c r="C38" s="24">
        <f>'[8]Purchased Power Model '!C38</f>
        <v>654.6</v>
      </c>
      <c r="D38" s="24">
        <f>'[8]Purchased Power Model '!D38</f>
        <v>0</v>
      </c>
      <c r="E38" s="162">
        <v>842</v>
      </c>
      <c r="F38" s="162">
        <v>0</v>
      </c>
      <c r="G38" s="162">
        <v>31</v>
      </c>
      <c r="H38" s="288">
        <f t="shared" si="0"/>
        <v>2582930.2585782111</v>
      </c>
    </row>
    <row r="39" spans="1:31" s="119" customFormat="1" x14ac:dyDescent="0.25">
      <c r="A39" s="3">
        <v>39814</v>
      </c>
      <c r="B39" s="28">
        <f>'[7]Consumption Data '!H90</f>
        <v>2722823</v>
      </c>
      <c r="C39" s="24">
        <f>'[8]Purchased Power Model '!C39</f>
        <v>830.2</v>
      </c>
      <c r="D39" s="24">
        <f>'[8]Purchased Power Model '!D39</f>
        <v>0</v>
      </c>
      <c r="E39" s="162">
        <v>846</v>
      </c>
      <c r="F39" s="162">
        <v>0</v>
      </c>
      <c r="G39" s="162">
        <v>31</v>
      </c>
      <c r="H39" s="288">
        <f t="shared" si="0"/>
        <v>2744140.8518389794</v>
      </c>
      <c r="I39" s="49"/>
      <c r="J39" s="1"/>
      <c r="K39"/>
      <c r="L39"/>
      <c r="M39"/>
      <c r="N39"/>
      <c r="O39"/>
      <c r="P39"/>
      <c r="Q39"/>
      <c r="R39"/>
      <c r="S39"/>
      <c r="T39"/>
      <c r="U39"/>
      <c r="V39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x14ac:dyDescent="0.25">
      <c r="A40" s="3">
        <v>39845</v>
      </c>
      <c r="B40" s="28">
        <f>'[7]Consumption Data '!H91</f>
        <v>2424700</v>
      </c>
      <c r="C40" s="24">
        <f>'[8]Purchased Power Model '!C40</f>
        <v>606.4</v>
      </c>
      <c r="D40" s="24">
        <f>'[8]Purchased Power Model '!D40</f>
        <v>0</v>
      </c>
      <c r="E40" s="162">
        <v>846</v>
      </c>
      <c r="F40" s="162">
        <v>0</v>
      </c>
      <c r="G40" s="162">
        <v>28</v>
      </c>
      <c r="H40" s="288">
        <f t="shared" si="0"/>
        <v>2549995.4923007796</v>
      </c>
      <c r="I40" s="49"/>
    </row>
    <row r="41" spans="1:31" x14ac:dyDescent="0.25">
      <c r="A41" s="3">
        <v>39873</v>
      </c>
      <c r="B41" s="28">
        <f>'[7]Consumption Data '!H92</f>
        <v>2427300</v>
      </c>
      <c r="C41" s="24">
        <f>'[8]Purchased Power Model '!C41</f>
        <v>533.79999999999995</v>
      </c>
      <c r="D41" s="24">
        <f>'[8]Purchased Power Model '!D41</f>
        <v>0</v>
      </c>
      <c r="E41" s="162">
        <v>846</v>
      </c>
      <c r="F41" s="162">
        <v>1</v>
      </c>
      <c r="G41" s="162">
        <v>31</v>
      </c>
      <c r="H41" s="288">
        <f t="shared" si="0"/>
        <v>2487015.3622629186</v>
      </c>
      <c r="I41" s="49"/>
    </row>
    <row r="42" spans="1:31" x14ac:dyDescent="0.25">
      <c r="A42" s="3">
        <v>39904</v>
      </c>
      <c r="B42" s="28">
        <f>'[7]Consumption Data '!H93</f>
        <v>2234311</v>
      </c>
      <c r="C42" s="24">
        <f>'[8]Purchased Power Model '!C42</f>
        <v>305.8</v>
      </c>
      <c r="D42" s="24">
        <f>'[8]Purchased Power Model '!D42</f>
        <v>1.2</v>
      </c>
      <c r="E42" s="162">
        <v>849</v>
      </c>
      <c r="F42" s="162">
        <v>1</v>
      </c>
      <c r="G42" s="162">
        <v>30</v>
      </c>
      <c r="H42" s="288">
        <f t="shared" si="0"/>
        <v>2299734.7952539278</v>
      </c>
      <c r="I42" s="49"/>
    </row>
    <row r="43" spans="1:31" x14ac:dyDescent="0.25">
      <c r="A43" s="3">
        <v>39934</v>
      </c>
      <c r="B43" s="28">
        <f>'[7]Consumption Data '!H94</f>
        <v>2126121</v>
      </c>
      <c r="C43" s="24">
        <f>'[8]Purchased Power Model '!C43</f>
        <v>158.80000000000001</v>
      </c>
      <c r="D43" s="24">
        <f>'[8]Purchased Power Model '!D43</f>
        <v>6.9</v>
      </c>
      <c r="E43" s="162">
        <v>850</v>
      </c>
      <c r="F43" s="162">
        <v>1</v>
      </c>
      <c r="G43" s="162">
        <v>31</v>
      </c>
      <c r="H43" s="288">
        <f t="shared" si="0"/>
        <v>2192717.3403690942</v>
      </c>
      <c r="I43" s="49"/>
    </row>
    <row r="44" spans="1:31" x14ac:dyDescent="0.25">
      <c r="A44" s="3">
        <v>39965</v>
      </c>
      <c r="B44" s="28">
        <f>'[7]Consumption Data '!H95</f>
        <v>2169041</v>
      </c>
      <c r="C44" s="24">
        <f>'[8]Purchased Power Model '!C44</f>
        <v>49.3</v>
      </c>
      <c r="D44" s="24">
        <f>'[8]Purchased Power Model '!D44</f>
        <v>34.200000000000003</v>
      </c>
      <c r="E44" s="162">
        <v>855</v>
      </c>
      <c r="F44" s="162">
        <v>0</v>
      </c>
      <c r="G44" s="162">
        <v>30</v>
      </c>
      <c r="H44" s="288">
        <f t="shared" si="0"/>
        <v>2196398.7234100094</v>
      </c>
      <c r="I44" s="49"/>
    </row>
    <row r="45" spans="1:31" x14ac:dyDescent="0.25">
      <c r="A45" s="3">
        <v>39995</v>
      </c>
      <c r="B45" s="28">
        <f>'[7]Consumption Data '!H96</f>
        <v>2310652</v>
      </c>
      <c r="C45" s="24">
        <f>'[8]Purchased Power Model '!C45</f>
        <v>6.2</v>
      </c>
      <c r="D45" s="24">
        <f>'[8]Purchased Power Model '!D45</f>
        <v>43.7</v>
      </c>
      <c r="E45" s="162">
        <v>857</v>
      </c>
      <c r="F45" s="162">
        <v>0</v>
      </c>
      <c r="G45" s="162">
        <v>31</v>
      </c>
      <c r="H45" s="288">
        <f t="shared" si="0"/>
        <v>2193923.393748662</v>
      </c>
      <c r="I45" s="49"/>
    </row>
    <row r="46" spans="1:31" x14ac:dyDescent="0.25">
      <c r="A46" s="3">
        <v>40026</v>
      </c>
      <c r="B46" s="28">
        <f>'[7]Consumption Data '!H97</f>
        <v>2378057</v>
      </c>
      <c r="C46" s="24">
        <f>'[8]Purchased Power Model '!C46</f>
        <v>9.8000000000000007</v>
      </c>
      <c r="D46" s="24">
        <f>'[8]Purchased Power Model '!D46</f>
        <v>91</v>
      </c>
      <c r="E46" s="162">
        <v>857</v>
      </c>
      <c r="F46" s="162">
        <v>0</v>
      </c>
      <c r="G46" s="162">
        <v>31</v>
      </c>
      <c r="H46" s="288">
        <f t="shared" si="0"/>
        <v>2348777.0911715049</v>
      </c>
      <c r="I46" s="49"/>
    </row>
    <row r="47" spans="1:31" x14ac:dyDescent="0.25">
      <c r="A47" s="3">
        <v>40057</v>
      </c>
      <c r="B47" s="28">
        <f>'[7]Consumption Data '!H98</f>
        <v>2164587</v>
      </c>
      <c r="C47" s="24">
        <f>'[8]Purchased Power Model '!C47</f>
        <v>55.2</v>
      </c>
      <c r="D47" s="24">
        <f>'[8]Purchased Power Model '!D47</f>
        <v>20.9</v>
      </c>
      <c r="E47" s="162">
        <v>856</v>
      </c>
      <c r="F47" s="162">
        <v>1</v>
      </c>
      <c r="G47" s="162">
        <v>30</v>
      </c>
      <c r="H47" s="288">
        <f t="shared" si="0"/>
        <v>2161072.3260518461</v>
      </c>
      <c r="I47" s="49"/>
    </row>
    <row r="48" spans="1:31" x14ac:dyDescent="0.25">
      <c r="A48" s="3">
        <v>40087</v>
      </c>
      <c r="B48" s="28">
        <f>'[7]Consumption Data '!H99</f>
        <v>2341208</v>
      </c>
      <c r="C48" s="24">
        <f>'[8]Purchased Power Model '!C48</f>
        <v>287.8</v>
      </c>
      <c r="D48" s="24">
        <f>'[8]Purchased Power Model '!D48</f>
        <v>0</v>
      </c>
      <c r="E48" s="162">
        <v>861</v>
      </c>
      <c r="F48" s="162">
        <v>1</v>
      </c>
      <c r="G48" s="162">
        <v>31</v>
      </c>
      <c r="H48" s="288">
        <f t="shared" si="0"/>
        <v>2306905.9462298462</v>
      </c>
      <c r="I48" s="49"/>
    </row>
    <row r="49" spans="1:31" x14ac:dyDescent="0.25">
      <c r="A49" s="3">
        <v>40118</v>
      </c>
      <c r="B49" s="28">
        <f>'[7]Consumption Data '!H100</f>
        <v>2351792</v>
      </c>
      <c r="C49" s="24">
        <f>'[8]Purchased Power Model '!C49</f>
        <v>361.2</v>
      </c>
      <c r="D49" s="24">
        <f>'[8]Purchased Power Model '!D49</f>
        <v>0</v>
      </c>
      <c r="E49" s="162">
        <v>856</v>
      </c>
      <c r="F49" s="162">
        <v>1</v>
      </c>
      <c r="G49" s="162">
        <v>30</v>
      </c>
      <c r="H49" s="288">
        <f t="shared" si="0"/>
        <v>2359481.9620655868</v>
      </c>
      <c r="I49" s="49"/>
    </row>
    <row r="50" spans="1:31" s="33" customFormat="1" x14ac:dyDescent="0.25">
      <c r="A50" s="3">
        <v>40148</v>
      </c>
      <c r="B50" s="28">
        <f>'[7]Consumption Data '!H101</f>
        <v>2667735</v>
      </c>
      <c r="C50" s="24">
        <f>'[8]Purchased Power Model '!C50</f>
        <v>631.29999999999995</v>
      </c>
      <c r="D50" s="24">
        <f>'[8]Purchased Power Model '!D50</f>
        <v>0</v>
      </c>
      <c r="E50" s="162">
        <v>855</v>
      </c>
      <c r="F50" s="162">
        <v>0</v>
      </c>
      <c r="G50" s="162">
        <v>31</v>
      </c>
      <c r="H50" s="288">
        <f t="shared" si="0"/>
        <v>2591572.7136386638</v>
      </c>
      <c r="I50" s="49"/>
      <c r="J50" s="1"/>
      <c r="K50"/>
      <c r="L50"/>
      <c r="M50"/>
      <c r="N50"/>
      <c r="O50"/>
      <c r="P50"/>
      <c r="Q50"/>
      <c r="R50"/>
      <c r="S50"/>
      <c r="T50"/>
      <c r="U50"/>
      <c r="V50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x14ac:dyDescent="0.25">
      <c r="A51" s="3">
        <v>40179</v>
      </c>
      <c r="B51" s="28">
        <f>'[7]Consumption Data '!H102</f>
        <v>2750890</v>
      </c>
      <c r="C51" s="24">
        <f>'[8]Purchased Power Model '!C51</f>
        <v>720</v>
      </c>
      <c r="D51" s="24">
        <f>'[8]Purchased Power Model '!D51</f>
        <v>0</v>
      </c>
      <c r="E51" s="162">
        <v>854</v>
      </c>
      <c r="F51" s="162">
        <v>0</v>
      </c>
      <c r="G51" s="162">
        <v>31</v>
      </c>
      <c r="H51" s="288">
        <f t="shared" si="0"/>
        <v>2666299.8896074989</v>
      </c>
      <c r="I51" s="49"/>
      <c r="W51" s="207"/>
      <c r="X51" s="207"/>
      <c r="Y51" s="207"/>
    </row>
    <row r="52" spans="1:31" x14ac:dyDescent="0.25">
      <c r="A52" s="3">
        <v>40210</v>
      </c>
      <c r="B52" s="28">
        <f>'[7]Consumption Data '!H103</f>
        <v>2436943</v>
      </c>
      <c r="C52" s="24">
        <f>'[8]Purchased Power Model '!C52</f>
        <v>598.29999999999995</v>
      </c>
      <c r="D52" s="24">
        <f>'[8]Purchased Power Model '!D52</f>
        <v>0</v>
      </c>
      <c r="E52" s="162">
        <v>852</v>
      </c>
      <c r="F52" s="162">
        <v>0</v>
      </c>
      <c r="G52" s="162">
        <v>28</v>
      </c>
      <c r="H52" s="288">
        <f t="shared" si="0"/>
        <v>2556286.5157280308</v>
      </c>
      <c r="I52" s="49"/>
    </row>
    <row r="53" spans="1:31" x14ac:dyDescent="0.25">
      <c r="A53" s="3">
        <v>40238</v>
      </c>
      <c r="B53" s="28">
        <f>'[7]Consumption Data '!H104</f>
        <v>2344061</v>
      </c>
      <c r="C53" s="24">
        <f>'[8]Purchased Power Model '!C53</f>
        <v>422.8</v>
      </c>
      <c r="D53" s="24">
        <f>'[8]Purchased Power Model '!D53</f>
        <v>0</v>
      </c>
      <c r="E53" s="162">
        <v>852</v>
      </c>
      <c r="F53" s="162">
        <v>1</v>
      </c>
      <c r="G53" s="162">
        <v>31</v>
      </c>
      <c r="H53" s="288">
        <f t="shared" si="0"/>
        <v>2404041.160057995</v>
      </c>
      <c r="I53" s="49"/>
    </row>
    <row r="54" spans="1:31" x14ac:dyDescent="0.25">
      <c r="A54" s="3">
        <v>40269</v>
      </c>
      <c r="B54" s="28">
        <f>'[7]Consumption Data '!H105</f>
        <v>2116368</v>
      </c>
      <c r="C54" s="24">
        <f>'[8]Purchased Power Model '!C54</f>
        <v>225.1</v>
      </c>
      <c r="D54" s="24">
        <f>'[8]Purchased Power Model '!D54</f>
        <v>0</v>
      </c>
      <c r="E54" s="162">
        <v>852</v>
      </c>
      <c r="F54" s="162">
        <v>1</v>
      </c>
      <c r="G54" s="162">
        <v>30</v>
      </c>
      <c r="H54" s="288">
        <f t="shared" si="0"/>
        <v>2232537.4175168779</v>
      </c>
      <c r="I54" s="49"/>
    </row>
    <row r="55" spans="1:31" x14ac:dyDescent="0.25">
      <c r="A55" s="3">
        <v>40299</v>
      </c>
      <c r="B55" s="28">
        <f>'[7]Consumption Data '!H106</f>
        <v>2317663</v>
      </c>
      <c r="C55" s="24">
        <f>'[8]Purchased Power Model '!C55</f>
        <v>107.9</v>
      </c>
      <c r="D55" s="24">
        <f>'[8]Purchased Power Model '!D55</f>
        <v>45.7</v>
      </c>
      <c r="E55" s="162">
        <v>862</v>
      </c>
      <c r="F55" s="162">
        <v>1</v>
      </c>
      <c r="G55" s="162">
        <v>31</v>
      </c>
      <c r="H55" s="288">
        <f t="shared" si="0"/>
        <v>2299661.4107066472</v>
      </c>
      <c r="I55" s="49"/>
    </row>
    <row r="56" spans="1:31" x14ac:dyDescent="0.25">
      <c r="A56" s="3">
        <v>40330</v>
      </c>
      <c r="B56" s="28">
        <f>'[7]Consumption Data '!H107</f>
        <v>2346316</v>
      </c>
      <c r="C56" s="24">
        <f>'[8]Purchased Power Model '!C56</f>
        <v>21.7</v>
      </c>
      <c r="D56" s="24">
        <f>'[8]Purchased Power Model '!D56</f>
        <v>58.7</v>
      </c>
      <c r="E56" s="162">
        <v>865</v>
      </c>
      <c r="F56" s="162">
        <v>0</v>
      </c>
      <c r="G56" s="162">
        <v>30</v>
      </c>
      <c r="H56" s="288">
        <f t="shared" si="0"/>
        <v>2273244.1041028807</v>
      </c>
      <c r="I56" s="49"/>
    </row>
    <row r="57" spans="1:31" x14ac:dyDescent="0.25">
      <c r="A57" s="3">
        <v>40360</v>
      </c>
      <c r="B57" s="28">
        <f>'[7]Consumption Data '!H108</f>
        <v>2633804</v>
      </c>
      <c r="C57" s="24">
        <f>'[8]Purchased Power Model '!C57</f>
        <v>1.8</v>
      </c>
      <c r="D57" s="24">
        <f>'[8]Purchased Power Model '!D57</f>
        <v>164.9</v>
      </c>
      <c r="E57" s="162">
        <v>870</v>
      </c>
      <c r="F57" s="162">
        <v>0</v>
      </c>
      <c r="G57" s="162">
        <v>31</v>
      </c>
      <c r="H57" s="288">
        <f t="shared" si="0"/>
        <v>2607751.4126677029</v>
      </c>
      <c r="I57" s="49"/>
    </row>
    <row r="58" spans="1:31" x14ac:dyDescent="0.25">
      <c r="A58" s="3">
        <v>40391</v>
      </c>
      <c r="B58" s="28">
        <f>'[7]Consumption Data '!H109</f>
        <v>2573532</v>
      </c>
      <c r="C58" s="24">
        <f>'[8]Purchased Power Model '!C58</f>
        <v>2.1</v>
      </c>
      <c r="D58" s="24">
        <f>'[8]Purchased Power Model '!D58</f>
        <v>138.80000000000001</v>
      </c>
      <c r="E58" s="162">
        <v>877</v>
      </c>
      <c r="F58" s="162">
        <v>0</v>
      </c>
      <c r="G58" s="162">
        <v>31</v>
      </c>
      <c r="H58" s="288">
        <f t="shared" si="0"/>
        <v>2539824.4554509311</v>
      </c>
      <c r="I58" s="49"/>
    </row>
    <row r="59" spans="1:31" x14ac:dyDescent="0.25">
      <c r="A59" s="3">
        <v>40422</v>
      </c>
      <c r="B59" s="28">
        <f>'[7]Consumption Data '!H110</f>
        <v>2297240</v>
      </c>
      <c r="C59" s="24">
        <f>'[8]Purchased Power Model '!C59</f>
        <v>78.099999999999994</v>
      </c>
      <c r="D59" s="24">
        <f>'[8]Purchased Power Model '!D59</f>
        <v>31.5</v>
      </c>
      <c r="E59" s="162">
        <v>878</v>
      </c>
      <c r="F59" s="162">
        <v>1</v>
      </c>
      <c r="G59" s="162">
        <v>30</v>
      </c>
      <c r="H59" s="288">
        <f t="shared" si="0"/>
        <v>2263772.7218598253</v>
      </c>
      <c r="I59" s="49"/>
    </row>
    <row r="60" spans="1:31" x14ac:dyDescent="0.25">
      <c r="A60" s="3">
        <v>40452</v>
      </c>
      <c r="B60" s="28">
        <f>'[7]Consumption Data '!H111</f>
        <v>2376983</v>
      </c>
      <c r="C60" s="24">
        <f>'[8]Purchased Power Model '!C60</f>
        <v>241.6</v>
      </c>
      <c r="D60" s="24">
        <f>'[8]Purchased Power Model '!D60</f>
        <v>0</v>
      </c>
      <c r="E60" s="162">
        <v>883</v>
      </c>
      <c r="F60" s="162">
        <v>1</v>
      </c>
      <c r="G60" s="162">
        <v>31</v>
      </c>
      <c r="H60" s="288">
        <f t="shared" si="0"/>
        <v>2315659.3662120709</v>
      </c>
      <c r="I60" s="49"/>
    </row>
    <row r="61" spans="1:31" x14ac:dyDescent="0.25">
      <c r="A61" s="3">
        <v>40483</v>
      </c>
      <c r="B61" s="28">
        <f>'[7]Consumption Data '!H112</f>
        <v>2420856</v>
      </c>
      <c r="C61" s="24">
        <f>'[8]Purchased Power Model '!C61</f>
        <v>405.3</v>
      </c>
      <c r="D61" s="24">
        <f>'[8]Purchased Power Model '!D61</f>
        <v>0</v>
      </c>
      <c r="E61" s="162">
        <v>890</v>
      </c>
      <c r="F61" s="162">
        <v>1</v>
      </c>
      <c r="G61" s="162">
        <v>30</v>
      </c>
      <c r="H61" s="288">
        <f t="shared" si="0"/>
        <v>2473205.6361892577</v>
      </c>
      <c r="I61" s="49"/>
    </row>
    <row r="62" spans="1:31" x14ac:dyDescent="0.25">
      <c r="A62" s="3">
        <v>40513</v>
      </c>
      <c r="B62" s="28">
        <f>'[7]Consumption Data '!H113</f>
        <v>2808483</v>
      </c>
      <c r="C62" s="24">
        <f>'[8]Purchased Power Model '!C62</f>
        <v>676.2</v>
      </c>
      <c r="D62" s="24">
        <f>'[8]Purchased Power Model '!D62</f>
        <v>0</v>
      </c>
      <c r="E62" s="162">
        <v>892</v>
      </c>
      <c r="F62" s="162">
        <v>0</v>
      </c>
      <c r="G62" s="162">
        <v>31</v>
      </c>
      <c r="H62" s="288">
        <f t="shared" si="0"/>
        <v>2712649.2497608587</v>
      </c>
      <c r="I62" s="49"/>
    </row>
    <row r="63" spans="1:31" x14ac:dyDescent="0.25">
      <c r="A63" s="3">
        <v>40544</v>
      </c>
      <c r="B63" s="28">
        <f>'[7]Consumption Data '!H114</f>
        <v>2916087</v>
      </c>
      <c r="C63" s="24">
        <f>'[8]Purchased Power Model '!C63</f>
        <v>775.3</v>
      </c>
      <c r="D63" s="24">
        <f>'[8]Purchased Power Model '!D63</f>
        <v>0</v>
      </c>
      <c r="E63" s="162">
        <v>893</v>
      </c>
      <c r="F63" s="162">
        <v>0</v>
      </c>
      <c r="G63" s="292">
        <v>31</v>
      </c>
      <c r="H63" s="288">
        <f t="shared" si="0"/>
        <v>2800837.6167825237</v>
      </c>
      <c r="I63" s="49"/>
    </row>
    <row r="64" spans="1:31" x14ac:dyDescent="0.25">
      <c r="A64" s="3">
        <v>40575</v>
      </c>
      <c r="B64" s="28">
        <f>'[7]Consumption Data '!H115</f>
        <v>2595862</v>
      </c>
      <c r="C64" s="24">
        <f>'[8]Purchased Power Model '!C64</f>
        <v>654.20000000000005</v>
      </c>
      <c r="D64" s="24">
        <f>'[8]Purchased Power Model '!D64</f>
        <v>0</v>
      </c>
      <c r="E64" s="162">
        <v>891</v>
      </c>
      <c r="F64" s="162">
        <v>0</v>
      </c>
      <c r="G64" s="292">
        <v>28</v>
      </c>
      <c r="H64" s="288">
        <f t="shared" si="0"/>
        <v>2691344.7398455176</v>
      </c>
      <c r="I64" s="49"/>
    </row>
    <row r="65" spans="1:9" customFormat="1" x14ac:dyDescent="0.25">
      <c r="A65" s="3">
        <v>40603</v>
      </c>
      <c r="B65" s="28">
        <f>'[7]Consumption Data '!H116</f>
        <v>2660869</v>
      </c>
      <c r="C65" s="24">
        <f>'[8]Purchased Power Model '!C65</f>
        <v>572.79999999999995</v>
      </c>
      <c r="D65" s="24">
        <f>'[8]Purchased Power Model '!D65</f>
        <v>0</v>
      </c>
      <c r="E65" s="162">
        <v>894</v>
      </c>
      <c r="F65" s="162">
        <v>1</v>
      </c>
      <c r="G65" s="292">
        <v>31</v>
      </c>
      <c r="H65" s="288">
        <f t="shared" si="0"/>
        <v>2627389.5207267934</v>
      </c>
      <c r="I65" s="49"/>
    </row>
    <row r="66" spans="1:9" customFormat="1" x14ac:dyDescent="0.25">
      <c r="A66" s="3">
        <v>40634</v>
      </c>
      <c r="B66" s="28">
        <f>'[7]Consumption Data '!H117</f>
        <v>2340953</v>
      </c>
      <c r="C66" s="24">
        <f>'[8]Purchased Power Model '!C66</f>
        <v>332.3</v>
      </c>
      <c r="D66" s="24">
        <f>'[8]Purchased Power Model '!D66</f>
        <v>0</v>
      </c>
      <c r="E66" s="162">
        <v>894</v>
      </c>
      <c r="F66" s="162">
        <v>1</v>
      </c>
      <c r="G66" s="292">
        <v>30</v>
      </c>
      <c r="H66" s="288">
        <f t="shared" si="0"/>
        <v>2418756.9962900779</v>
      </c>
      <c r="I66" s="49"/>
    </row>
    <row r="67" spans="1:9" customFormat="1" x14ac:dyDescent="0.25">
      <c r="A67" s="3">
        <v>40664</v>
      </c>
      <c r="B67" s="28">
        <f>'[7]Consumption Data '!H118</f>
        <v>2315445</v>
      </c>
      <c r="C67" s="24">
        <f>'[8]Purchased Power Model '!C67</f>
        <v>134.1</v>
      </c>
      <c r="D67" s="24">
        <f>'[8]Purchased Power Model '!D67</f>
        <v>13</v>
      </c>
      <c r="E67" s="162">
        <v>894</v>
      </c>
      <c r="F67" s="162">
        <v>1</v>
      </c>
      <c r="G67" s="292">
        <v>31</v>
      </c>
      <c r="H67" s="288">
        <f t="shared" si="0"/>
        <v>2288521.3943515597</v>
      </c>
      <c r="I67" s="49"/>
    </row>
    <row r="68" spans="1:9" customFormat="1" x14ac:dyDescent="0.25">
      <c r="A68" s="3">
        <v>40695</v>
      </c>
      <c r="B68" s="28">
        <f>'[7]Consumption Data '!H119</f>
        <v>2399956</v>
      </c>
      <c r="C68" s="24">
        <f>'[8]Purchased Power Model '!C68</f>
        <v>19</v>
      </c>
      <c r="D68" s="24">
        <f>'[8]Purchased Power Model '!D68</f>
        <v>52.2</v>
      </c>
      <c r="E68" s="162">
        <v>896</v>
      </c>
      <c r="F68" s="162">
        <v>0</v>
      </c>
      <c r="G68" s="292">
        <v>30</v>
      </c>
      <c r="H68" s="288">
        <f t="shared" ref="H68:H122" si="1">$L$18+C68*$L$19+D68*$L$20+E68*$L$21</f>
        <v>2318859.2066119756</v>
      </c>
      <c r="I68" s="49"/>
    </row>
    <row r="69" spans="1:9" customFormat="1" x14ac:dyDescent="0.25">
      <c r="A69" s="3">
        <v>40725</v>
      </c>
      <c r="B69" s="28">
        <f>'[7]Consumption Data '!H120</f>
        <v>2786776</v>
      </c>
      <c r="C69" s="24">
        <f>'[8]Purchased Power Model '!C69</f>
        <v>0</v>
      </c>
      <c r="D69" s="24">
        <f>'[8]Purchased Power Model '!D69</f>
        <v>198.5</v>
      </c>
      <c r="E69" s="162">
        <v>899</v>
      </c>
      <c r="F69" s="162">
        <v>0</v>
      </c>
      <c r="G69" s="292">
        <v>31</v>
      </c>
      <c r="H69" s="288">
        <f t="shared" si="1"/>
        <v>2778342.3020012113</v>
      </c>
      <c r="I69" s="49"/>
    </row>
    <row r="70" spans="1:9" customFormat="1" x14ac:dyDescent="0.25">
      <c r="A70" s="3">
        <v>40756</v>
      </c>
      <c r="B70" s="28">
        <f>'[7]Consumption Data '!H121</f>
        <v>2615109</v>
      </c>
      <c r="C70" s="24">
        <f>'[8]Purchased Power Model '!C70</f>
        <v>0</v>
      </c>
      <c r="D70" s="24">
        <f>'[8]Purchased Power Model '!D70</f>
        <v>122.2</v>
      </c>
      <c r="E70" s="162">
        <v>900</v>
      </c>
      <c r="F70" s="162">
        <v>0</v>
      </c>
      <c r="G70" s="292">
        <v>31</v>
      </c>
      <c r="H70" s="288">
        <f t="shared" si="1"/>
        <v>2535803.9195209225</v>
      </c>
      <c r="I70" s="49"/>
    </row>
    <row r="71" spans="1:9" customFormat="1" x14ac:dyDescent="0.25">
      <c r="A71" s="3">
        <v>40787</v>
      </c>
      <c r="B71" s="28">
        <f>'[7]Consumption Data '!H122</f>
        <v>2322637</v>
      </c>
      <c r="C71" s="24">
        <f>'[8]Purchased Power Model '!C71</f>
        <v>48.2</v>
      </c>
      <c r="D71" s="24">
        <f>'[8]Purchased Power Model '!D71</f>
        <v>39.700000000000003</v>
      </c>
      <c r="E71" s="162">
        <v>905</v>
      </c>
      <c r="F71" s="162">
        <v>1</v>
      </c>
      <c r="G71" s="292">
        <v>30</v>
      </c>
      <c r="H71" s="288">
        <f t="shared" si="1"/>
        <v>2324068.6867541838</v>
      </c>
      <c r="I71" s="49"/>
    </row>
    <row r="72" spans="1:9" customFormat="1" x14ac:dyDescent="0.25">
      <c r="A72" s="3">
        <v>40817</v>
      </c>
      <c r="B72" s="28">
        <f>'[7]Consumption Data '!H123</f>
        <v>2383183</v>
      </c>
      <c r="C72" s="24">
        <f>'[8]Purchased Power Model '!C72</f>
        <v>235.5</v>
      </c>
      <c r="D72" s="24">
        <f>'[8]Purchased Power Model '!D72</f>
        <v>2.4</v>
      </c>
      <c r="E72" s="162">
        <v>907</v>
      </c>
      <c r="F72" s="162">
        <v>1</v>
      </c>
      <c r="G72" s="292">
        <v>31</v>
      </c>
      <c r="H72" s="288">
        <f t="shared" si="1"/>
        <v>2371337.3860013746</v>
      </c>
      <c r="I72" s="49"/>
    </row>
    <row r="73" spans="1:9" customFormat="1" x14ac:dyDescent="0.25">
      <c r="A73" s="3">
        <v>40848</v>
      </c>
      <c r="B73" s="28">
        <f>'[7]Consumption Data '!H124</f>
        <v>2441092</v>
      </c>
      <c r="C73" s="24">
        <f>'[8]Purchased Power Model '!C73</f>
        <v>342.1</v>
      </c>
      <c r="D73" s="24">
        <f>'[8]Purchased Power Model '!D73</f>
        <v>0</v>
      </c>
      <c r="E73" s="162">
        <v>902</v>
      </c>
      <c r="F73" s="162">
        <v>1</v>
      </c>
      <c r="G73" s="292">
        <v>30</v>
      </c>
      <c r="H73" s="288">
        <f t="shared" si="1"/>
        <v>2445015.4225509297</v>
      </c>
      <c r="I73" s="49"/>
    </row>
    <row r="74" spans="1:9" customFormat="1" x14ac:dyDescent="0.25">
      <c r="A74" s="3">
        <v>40878</v>
      </c>
      <c r="B74" s="28">
        <f>'[7]Consumption Data '!H125</f>
        <v>2685737</v>
      </c>
      <c r="C74" s="24">
        <f>'[8]Purchased Power Model '!C74</f>
        <v>534</v>
      </c>
      <c r="D74" s="24">
        <f>'[8]Purchased Power Model '!D74</f>
        <v>0</v>
      </c>
      <c r="E74" s="162">
        <v>904</v>
      </c>
      <c r="F74" s="162">
        <v>0</v>
      </c>
      <c r="G74" s="292">
        <v>31</v>
      </c>
      <c r="H74" s="288">
        <f t="shared" si="1"/>
        <v>2615926.9386984119</v>
      </c>
      <c r="I74" s="49"/>
    </row>
    <row r="75" spans="1:9" customFormat="1" x14ac:dyDescent="0.25">
      <c r="A75" s="3">
        <v>40909</v>
      </c>
      <c r="B75" s="28">
        <v>2729350</v>
      </c>
      <c r="C75" s="24">
        <f>'[8]Purchased Power Model '!C75</f>
        <v>611.1</v>
      </c>
      <c r="D75" s="24">
        <f>'[8]Purchased Power Model '!D75</f>
        <v>0</v>
      </c>
      <c r="E75" s="162">
        <f>'[6]Customer Numbers'!C6</f>
        <v>904</v>
      </c>
      <c r="F75" s="162">
        <v>0</v>
      </c>
      <c r="G75" s="162">
        <v>31</v>
      </c>
      <c r="H75" s="288">
        <f t="shared" si="1"/>
        <v>2682810.7958047353</v>
      </c>
      <c r="I75" s="49"/>
    </row>
    <row r="76" spans="1:9" customFormat="1" x14ac:dyDescent="0.25">
      <c r="A76" s="3">
        <v>40940</v>
      </c>
      <c r="B76" s="28">
        <v>2753257</v>
      </c>
      <c r="C76" s="24">
        <f>'[8]Purchased Power Model '!C76</f>
        <v>531.70000000000005</v>
      </c>
      <c r="D76" s="24">
        <f>'[8]Purchased Power Model '!D76</f>
        <v>0</v>
      </c>
      <c r="E76" s="162">
        <f>'[6]Customer Numbers'!C7</f>
        <v>904</v>
      </c>
      <c r="F76" s="162">
        <v>0</v>
      </c>
      <c r="G76" s="162">
        <v>29</v>
      </c>
      <c r="H76" s="288">
        <f t="shared" si="1"/>
        <v>2613931.7004189757</v>
      </c>
      <c r="I76" s="49"/>
    </row>
    <row r="77" spans="1:9" customFormat="1" x14ac:dyDescent="0.25">
      <c r="A77" s="3">
        <v>40969</v>
      </c>
      <c r="B77" s="28">
        <v>2566239</v>
      </c>
      <c r="C77" s="24">
        <f>'[8]Purchased Power Model '!C77</f>
        <v>349.40000000000009</v>
      </c>
      <c r="D77" s="24">
        <f>'[8]Purchased Power Model '!D77</f>
        <v>0.2</v>
      </c>
      <c r="E77" s="162">
        <f>'[6]Customer Numbers'!C8</f>
        <v>904</v>
      </c>
      <c r="F77" s="162">
        <v>1</v>
      </c>
      <c r="G77" s="162">
        <v>31</v>
      </c>
      <c r="H77" s="288">
        <f t="shared" si="1"/>
        <v>2456428.9469095743</v>
      </c>
      <c r="I77" s="49"/>
    </row>
    <row r="78" spans="1:9" customFormat="1" x14ac:dyDescent="0.25">
      <c r="A78" s="3">
        <v>41000</v>
      </c>
      <c r="B78" s="28">
        <v>2561628</v>
      </c>
      <c r="C78" s="24">
        <f>'[8]Purchased Power Model '!C78</f>
        <v>321.70000000000005</v>
      </c>
      <c r="D78" s="24">
        <f>'[8]Purchased Power Model '!D78</f>
        <v>0</v>
      </c>
      <c r="E78" s="162">
        <f>'[6]Customer Numbers'!C9</f>
        <v>905</v>
      </c>
      <c r="F78" s="162">
        <v>1</v>
      </c>
      <c r="G78" s="162">
        <v>30</v>
      </c>
      <c r="H78" s="288">
        <f t="shared" si="1"/>
        <v>2433977.3925824752</v>
      </c>
      <c r="I78" s="49"/>
    </row>
    <row r="79" spans="1:9" customFormat="1" x14ac:dyDescent="0.25">
      <c r="A79" s="3">
        <v>41030</v>
      </c>
      <c r="B79" s="28">
        <v>2292791</v>
      </c>
      <c r="C79" s="24">
        <f>'[8]Purchased Power Model '!C79</f>
        <v>80.7</v>
      </c>
      <c r="D79" s="24">
        <f>'[8]Purchased Power Model '!D79</f>
        <v>36.700000000000003</v>
      </c>
      <c r="E79" s="162">
        <f>'[6]Customer Numbers'!C10</f>
        <v>910</v>
      </c>
      <c r="F79" s="162">
        <v>1</v>
      </c>
      <c r="G79" s="162">
        <v>31</v>
      </c>
      <c r="H79" s="288">
        <f t="shared" si="1"/>
        <v>2353736.8686349303</v>
      </c>
      <c r="I79" s="49"/>
    </row>
    <row r="80" spans="1:9" customFormat="1" x14ac:dyDescent="0.25">
      <c r="A80" s="3">
        <v>41061</v>
      </c>
      <c r="B80" s="28">
        <v>2451988</v>
      </c>
      <c r="C80" s="24">
        <f>'[8]Purchased Power Model '!C80</f>
        <v>23.2</v>
      </c>
      <c r="D80" s="24">
        <f>'[8]Purchased Power Model '!D80</f>
        <v>101.60000000000001</v>
      </c>
      <c r="E80" s="162">
        <f>'[6]Customer Numbers'!C11</f>
        <v>910</v>
      </c>
      <c r="F80" s="162">
        <v>0</v>
      </c>
      <c r="G80" s="162">
        <v>30</v>
      </c>
      <c r="H80" s="288">
        <f t="shared" si="1"/>
        <v>2512044.5681680054</v>
      </c>
      <c r="I80" s="49"/>
    </row>
    <row r="81" spans="1:9" customFormat="1" x14ac:dyDescent="0.25">
      <c r="A81" s="3">
        <v>41091</v>
      </c>
      <c r="B81" s="28">
        <v>2572287</v>
      </c>
      <c r="C81" s="24">
        <f>'[8]Purchased Power Model '!C81</f>
        <v>0</v>
      </c>
      <c r="D81" s="24">
        <f>'[8]Purchased Power Model '!D81</f>
        <v>195.39999999999998</v>
      </c>
      <c r="E81" s="162">
        <f>'[6]Customer Numbers'!C12</f>
        <v>909</v>
      </c>
      <c r="F81" s="162">
        <v>0</v>
      </c>
      <c r="G81" s="162">
        <v>31</v>
      </c>
      <c r="H81" s="288">
        <f t="shared" si="1"/>
        <v>2790594.2258697543</v>
      </c>
      <c r="I81" s="49"/>
    </row>
    <row r="82" spans="1:9" customFormat="1" x14ac:dyDescent="0.25">
      <c r="A82" s="3">
        <v>41122</v>
      </c>
      <c r="B82" s="28">
        <v>2763653</v>
      </c>
      <c r="C82" s="24">
        <f>'[8]Purchased Power Model '!C82</f>
        <v>2</v>
      </c>
      <c r="D82" s="24">
        <f>'[8]Purchased Power Model '!D82</f>
        <v>112.10000000000001</v>
      </c>
      <c r="E82" s="162">
        <f>'[6]Customer Numbers'!C13</f>
        <v>911</v>
      </c>
      <c r="F82" s="162">
        <v>0</v>
      </c>
      <c r="G82" s="162">
        <v>31</v>
      </c>
      <c r="H82" s="288">
        <f t="shared" si="1"/>
        <v>2529555.5924240937</v>
      </c>
      <c r="I82" s="49"/>
    </row>
    <row r="83" spans="1:9" customFormat="1" x14ac:dyDescent="0.25">
      <c r="A83" s="3">
        <v>41153</v>
      </c>
      <c r="B83" s="28">
        <v>2699405</v>
      </c>
      <c r="C83" s="24">
        <f>'[8]Purchased Power Model '!C83</f>
        <v>85</v>
      </c>
      <c r="D83" s="24">
        <f>'[8]Purchased Power Model '!D83</f>
        <v>35.6</v>
      </c>
      <c r="E83" s="162">
        <f>'[6]Customer Numbers'!C14</f>
        <v>920</v>
      </c>
      <c r="F83" s="162">
        <v>1</v>
      </c>
      <c r="G83" s="162">
        <v>30</v>
      </c>
      <c r="H83" s="288">
        <f t="shared" si="1"/>
        <v>2376134.695676446</v>
      </c>
      <c r="I83" s="49"/>
    </row>
    <row r="84" spans="1:9" customFormat="1" x14ac:dyDescent="0.25">
      <c r="A84" s="3">
        <v>41183</v>
      </c>
      <c r="B84" s="28">
        <v>2275245</v>
      </c>
      <c r="C84" s="24">
        <f>'[8]Purchased Power Model '!C84</f>
        <v>242.50000000000003</v>
      </c>
      <c r="D84" s="24">
        <f>'[8]Purchased Power Model '!D84</f>
        <v>1.1000000000000001</v>
      </c>
      <c r="E84" s="162">
        <f>'[6]Customer Numbers'!C15</f>
        <v>926</v>
      </c>
      <c r="F84" s="162">
        <v>1</v>
      </c>
      <c r="G84" s="162">
        <v>31</v>
      </c>
      <c r="H84" s="288">
        <f t="shared" si="1"/>
        <v>2415412.4800011595</v>
      </c>
      <c r="I84" s="49"/>
    </row>
    <row r="85" spans="1:9" customFormat="1" x14ac:dyDescent="0.25">
      <c r="A85" s="3">
        <v>41214</v>
      </c>
      <c r="B85" s="28">
        <v>2473946</v>
      </c>
      <c r="C85" s="24">
        <f>'[8]Purchased Power Model '!C85</f>
        <v>433.99999999999994</v>
      </c>
      <c r="D85" s="24">
        <f>'[8]Purchased Power Model '!D85</f>
        <v>0</v>
      </c>
      <c r="E85" s="162">
        <f>'[6]Customer Numbers'!C16</f>
        <v>930</v>
      </c>
      <c r="F85" s="162">
        <v>1</v>
      </c>
      <c r="G85" s="162">
        <v>30</v>
      </c>
      <c r="H85" s="288">
        <f t="shared" si="1"/>
        <v>2586887.6209402299</v>
      </c>
      <c r="I85" s="49"/>
    </row>
    <row r="86" spans="1:9" customFormat="1" x14ac:dyDescent="0.25">
      <c r="A86" s="3">
        <v>41244</v>
      </c>
      <c r="B86" s="28">
        <v>2583609</v>
      </c>
      <c r="C86" s="24">
        <f>'[8]Purchased Power Model '!C86</f>
        <v>533.50000000000011</v>
      </c>
      <c r="D86" s="24">
        <f>'[8]Purchased Power Model '!D86</f>
        <v>0</v>
      </c>
      <c r="E86" s="162">
        <f>'[6]Customer Numbers'!C17</f>
        <v>932</v>
      </c>
      <c r="F86" s="162">
        <v>0</v>
      </c>
      <c r="G86" s="162">
        <v>31</v>
      </c>
      <c r="H86" s="288">
        <f t="shared" si="1"/>
        <v>2677642.6079486166</v>
      </c>
      <c r="I86" s="49"/>
    </row>
    <row r="87" spans="1:9" customFormat="1" x14ac:dyDescent="0.25">
      <c r="A87" s="3">
        <v>41275</v>
      </c>
      <c r="B87" s="28">
        <v>2679143</v>
      </c>
      <c r="C87" s="24">
        <f>'[8]Purchased Power Model '!C87</f>
        <v>624.40000000000009</v>
      </c>
      <c r="D87" s="24">
        <f>'[8]Purchased Power Model '!D87</f>
        <v>0</v>
      </c>
      <c r="E87" s="162">
        <f>'[6]Customer Numbers'!C23</f>
        <v>933</v>
      </c>
      <c r="F87" s="162">
        <v>0</v>
      </c>
      <c r="G87" s="162">
        <v>31</v>
      </c>
      <c r="H87" s="288">
        <f t="shared" si="1"/>
        <v>2758717.5167566389</v>
      </c>
      <c r="I87" s="49"/>
    </row>
    <row r="88" spans="1:9" customFormat="1" x14ac:dyDescent="0.25">
      <c r="A88" s="3">
        <v>41306</v>
      </c>
      <c r="B88" s="28">
        <v>2864870</v>
      </c>
      <c r="C88" s="24">
        <f>'[8]Purchased Power Model '!C88</f>
        <v>631.49999999999989</v>
      </c>
      <c r="D88" s="24">
        <f>'[8]Purchased Power Model '!D88</f>
        <v>0</v>
      </c>
      <c r="E88" s="162">
        <f>'[6]Customer Numbers'!C24</f>
        <v>935</v>
      </c>
      <c r="F88" s="162">
        <v>0</v>
      </c>
      <c r="G88" s="162">
        <v>28</v>
      </c>
      <c r="H88" s="288">
        <f t="shared" si="1"/>
        <v>2769315.9746259293</v>
      </c>
      <c r="I88" s="49"/>
    </row>
    <row r="89" spans="1:9" customFormat="1" x14ac:dyDescent="0.25">
      <c r="A89" s="3">
        <v>41334</v>
      </c>
      <c r="B89" s="28">
        <v>2609208</v>
      </c>
      <c r="C89" s="24">
        <f>'[8]Purchased Power Model '!C89</f>
        <v>554.79999999999995</v>
      </c>
      <c r="D89" s="24">
        <f>'[8]Purchased Power Model '!D89</f>
        <v>0</v>
      </c>
      <c r="E89" s="162">
        <f>'[6]Customer Numbers'!C25</f>
        <v>935</v>
      </c>
      <c r="F89" s="162">
        <v>1</v>
      </c>
      <c r="G89" s="162">
        <v>31</v>
      </c>
      <c r="H89" s="288">
        <f t="shared" si="1"/>
        <v>2702779.1154812472</v>
      </c>
      <c r="I89" s="49"/>
    </row>
    <row r="90" spans="1:9" customFormat="1" x14ac:dyDescent="0.25">
      <c r="A90" s="3">
        <v>41365</v>
      </c>
      <c r="B90" s="28">
        <v>2632742</v>
      </c>
      <c r="C90" s="24">
        <f>'[8]Purchased Power Model '!C90</f>
        <v>358.6</v>
      </c>
      <c r="D90" s="24">
        <f>'[8]Purchased Power Model '!D90</f>
        <v>0</v>
      </c>
      <c r="E90" s="162">
        <f>'[6]Customer Numbers'!C26</f>
        <v>934</v>
      </c>
      <c r="F90" s="162">
        <v>1</v>
      </c>
      <c r="G90" s="162">
        <v>30</v>
      </c>
      <c r="H90" s="288">
        <f t="shared" si="1"/>
        <v>2530356.9932712037</v>
      </c>
      <c r="I90" s="49"/>
    </row>
    <row r="91" spans="1:9" customFormat="1" x14ac:dyDescent="0.25">
      <c r="A91" s="3">
        <v>41395</v>
      </c>
      <c r="B91" s="28">
        <v>2375993</v>
      </c>
      <c r="C91" s="24">
        <f>'[8]Purchased Power Model '!C91</f>
        <v>109.10000000000001</v>
      </c>
      <c r="D91" s="24">
        <f>'[8]Purchased Power Model '!D91</f>
        <v>23.1</v>
      </c>
      <c r="E91" s="162">
        <f>'[6]Customer Numbers'!C27</f>
        <v>936</v>
      </c>
      <c r="F91" s="162">
        <v>1</v>
      </c>
      <c r="G91" s="162">
        <v>31</v>
      </c>
      <c r="H91" s="288">
        <f t="shared" si="1"/>
        <v>2392457.3059832943</v>
      </c>
      <c r="I91" s="49"/>
    </row>
    <row r="92" spans="1:9" customFormat="1" x14ac:dyDescent="0.25">
      <c r="A92" s="3">
        <v>41426</v>
      </c>
      <c r="B92" s="28">
        <v>2375528</v>
      </c>
      <c r="C92" s="24">
        <f>'[8]Purchased Power Model '!C92</f>
        <v>32.999999999999993</v>
      </c>
      <c r="D92" s="24">
        <f>'[8]Purchased Power Model '!D92</f>
        <v>59.6</v>
      </c>
      <c r="E92" s="162">
        <f>'[6]Customer Numbers'!C28</f>
        <v>946</v>
      </c>
      <c r="F92" s="162">
        <v>0</v>
      </c>
      <c r="G92" s="162">
        <v>30</v>
      </c>
      <c r="H92" s="288">
        <f t="shared" si="1"/>
        <v>2465723.2343391664</v>
      </c>
      <c r="I92" s="49"/>
    </row>
    <row r="93" spans="1:9" customFormat="1" x14ac:dyDescent="0.25">
      <c r="A93" s="3">
        <v>41456</v>
      </c>
      <c r="B93" s="28">
        <v>2403641</v>
      </c>
      <c r="C93" s="24">
        <f>'[8]Purchased Power Model '!C93</f>
        <v>1.2999999999999998</v>
      </c>
      <c r="D93" s="24">
        <f>'[8]Purchased Power Model '!D93</f>
        <v>120.80000000000003</v>
      </c>
      <c r="E93" s="162">
        <f>'[6]Customer Numbers'!C29</f>
        <v>958</v>
      </c>
      <c r="F93" s="162">
        <v>0</v>
      </c>
      <c r="G93" s="162">
        <v>31</v>
      </c>
      <c r="H93" s="288">
        <f t="shared" si="1"/>
        <v>2661178.7677911976</v>
      </c>
      <c r="I93" s="49"/>
    </row>
    <row r="94" spans="1:9" customFormat="1" x14ac:dyDescent="0.25">
      <c r="A94" s="3">
        <v>41487</v>
      </c>
      <c r="B94" s="28">
        <v>2699207</v>
      </c>
      <c r="C94" s="24">
        <f>'[8]Purchased Power Model '!C94</f>
        <v>4.4000000000000004</v>
      </c>
      <c r="D94" s="24">
        <f>'[8]Purchased Power Model '!D94</f>
        <v>93.799999999999983</v>
      </c>
      <c r="E94" s="162">
        <f>'[6]Customer Numbers'!C30</f>
        <v>957</v>
      </c>
      <c r="F94" s="162">
        <v>0</v>
      </c>
      <c r="G94" s="162">
        <v>31</v>
      </c>
      <c r="H94" s="288">
        <f t="shared" si="1"/>
        <v>2575036.7663168693</v>
      </c>
      <c r="I94" s="49"/>
    </row>
    <row r="95" spans="1:9" customFormat="1" x14ac:dyDescent="0.25">
      <c r="A95" s="3">
        <v>41518</v>
      </c>
      <c r="B95" s="28">
        <v>2574379</v>
      </c>
      <c r="C95" s="24">
        <f>'[8]Purchased Power Model '!C95</f>
        <v>82.999999999999986</v>
      </c>
      <c r="D95" s="24">
        <f>'[8]Purchased Power Model '!D95</f>
        <v>28.099999999999998</v>
      </c>
      <c r="E95" s="162">
        <f>'[6]Customer Numbers'!C31</f>
        <v>959</v>
      </c>
      <c r="F95" s="162">
        <v>1</v>
      </c>
      <c r="G95" s="162">
        <v>30</v>
      </c>
      <c r="H95" s="288">
        <f t="shared" si="1"/>
        <v>2436906.1832763921</v>
      </c>
      <c r="I95" s="49"/>
    </row>
    <row r="96" spans="1:9" customFormat="1" x14ac:dyDescent="0.25">
      <c r="A96" s="3">
        <v>41548</v>
      </c>
      <c r="B96" s="28">
        <v>2365919</v>
      </c>
      <c r="C96" s="24">
        <f>'[8]Purchased Power Model '!C96</f>
        <v>208.5</v>
      </c>
      <c r="D96" s="24">
        <f>'[8]Purchased Power Model '!D96</f>
        <v>0.4</v>
      </c>
      <c r="E96" s="162">
        <f>'[6]Customer Numbers'!C32</f>
        <v>962</v>
      </c>
      <c r="F96" s="162">
        <v>1</v>
      </c>
      <c r="G96" s="162">
        <v>31</v>
      </c>
      <c r="H96" s="288">
        <f t="shared" si="1"/>
        <v>2463578.5598847</v>
      </c>
      <c r="I96" s="49"/>
    </row>
    <row r="97" spans="1:22" customFormat="1" x14ac:dyDescent="0.25">
      <c r="A97" s="3">
        <v>41579</v>
      </c>
      <c r="B97" s="28">
        <v>2579534</v>
      </c>
      <c r="C97" s="24">
        <f>'[8]Purchased Power Model '!C97</f>
        <v>478.20000000000005</v>
      </c>
      <c r="D97" s="24">
        <f>'[8]Purchased Power Model '!D97</f>
        <v>0</v>
      </c>
      <c r="E97" s="162">
        <f>'[6]Customer Numbers'!C33</f>
        <v>966</v>
      </c>
      <c r="F97" s="162">
        <v>1</v>
      </c>
      <c r="G97" s="162">
        <v>30</v>
      </c>
      <c r="H97" s="288">
        <f t="shared" si="1"/>
        <v>2705137.2886044728</v>
      </c>
      <c r="I97" s="49"/>
      <c r="J97" s="1"/>
    </row>
    <row r="98" spans="1:22" s="208" customFormat="1" x14ac:dyDescent="0.25">
      <c r="A98" s="3">
        <v>41609</v>
      </c>
      <c r="B98" s="28">
        <v>2682831</v>
      </c>
      <c r="C98" s="24">
        <f>'[8]Purchased Power Model '!C98</f>
        <v>687.9</v>
      </c>
      <c r="D98" s="24">
        <f>'[8]Purchased Power Model '!D98</f>
        <v>0</v>
      </c>
      <c r="E98" s="162">
        <f>'[6]Customer Numbers'!C34</f>
        <v>970</v>
      </c>
      <c r="F98" s="162">
        <v>0</v>
      </c>
      <c r="G98" s="162">
        <v>31</v>
      </c>
      <c r="H98" s="288">
        <f t="shared" si="1"/>
        <v>2895929.4580951454</v>
      </c>
      <c r="I98" s="49"/>
      <c r="J98" s="1"/>
      <c r="K98"/>
      <c r="L98"/>
      <c r="M98"/>
      <c r="N98"/>
      <c r="O98"/>
      <c r="P98"/>
      <c r="Q98"/>
      <c r="R98"/>
      <c r="S98"/>
      <c r="T98"/>
      <c r="U98"/>
      <c r="V98"/>
    </row>
    <row r="99" spans="1:22" s="208" customFormat="1" x14ac:dyDescent="0.25">
      <c r="A99" s="3">
        <v>41640</v>
      </c>
      <c r="B99" s="28">
        <v>2952055</v>
      </c>
      <c r="C99" s="24">
        <f>'[8]Purchased Power Model '!C99</f>
        <v>825.90000000000009</v>
      </c>
      <c r="D99" s="24">
        <f>'[8]Purchased Power Model '!D99</f>
        <v>0</v>
      </c>
      <c r="E99" s="162">
        <f>'[6]Customer Numbers'!C41</f>
        <v>968</v>
      </c>
      <c r="F99" s="162">
        <v>0</v>
      </c>
      <c r="G99" s="162">
        <v>31</v>
      </c>
      <c r="H99" s="288">
        <f t="shared" si="1"/>
        <v>3011204.5108111659</v>
      </c>
      <c r="I99" s="49"/>
      <c r="J99" s="1"/>
      <c r="K99"/>
      <c r="L99"/>
      <c r="M99"/>
      <c r="N99"/>
      <c r="O99"/>
      <c r="P99"/>
      <c r="Q99"/>
      <c r="R99"/>
      <c r="S99"/>
      <c r="T99"/>
      <c r="U99"/>
      <c r="V99"/>
    </row>
    <row r="100" spans="1:22" s="208" customFormat="1" x14ac:dyDescent="0.25">
      <c r="A100" s="3">
        <v>41671</v>
      </c>
      <c r="B100" s="28">
        <v>3157353</v>
      </c>
      <c r="C100" s="24">
        <f>'[8]Purchased Power Model '!C100</f>
        <v>737.09999999999991</v>
      </c>
      <c r="D100" s="24">
        <f>'[8]Purchased Power Model '!D100</f>
        <v>0</v>
      </c>
      <c r="E100" s="162">
        <f>'[6]Customer Numbers'!C42</f>
        <v>971</v>
      </c>
      <c r="F100" s="162">
        <v>0</v>
      </c>
      <c r="G100" s="162">
        <v>28</v>
      </c>
      <c r="H100" s="288">
        <f t="shared" si="1"/>
        <v>2940829.8294020821</v>
      </c>
      <c r="I100" s="49"/>
      <c r="J100" s="1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208" customFormat="1" x14ac:dyDescent="0.25">
      <c r="A101" s="3">
        <v>41699</v>
      </c>
      <c r="B101" s="28">
        <v>2822324</v>
      </c>
      <c r="C101" s="24">
        <f>'[8]Purchased Power Model '!C101</f>
        <v>690.6</v>
      </c>
      <c r="D101" s="24">
        <f>'[8]Purchased Power Model '!D101</f>
        <v>0</v>
      </c>
      <c r="E101" s="162">
        <f>'[6]Customer Numbers'!C43</f>
        <v>972</v>
      </c>
      <c r="F101" s="162">
        <v>1</v>
      </c>
      <c r="G101" s="162">
        <v>31</v>
      </c>
      <c r="H101" s="288">
        <f t="shared" si="1"/>
        <v>2902710.9383863839</v>
      </c>
      <c r="I101" s="49"/>
      <c r="J101" s="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208" customFormat="1" x14ac:dyDescent="0.25">
      <c r="A102" s="3">
        <v>41730</v>
      </c>
      <c r="B102" s="28">
        <v>2913100.27</v>
      </c>
      <c r="C102" s="24">
        <f>'[8]Purchased Power Model '!C102</f>
        <v>356.90000000000003</v>
      </c>
      <c r="D102" s="24">
        <f>'[8]Purchased Power Model '!D102</f>
        <v>0</v>
      </c>
      <c r="E102" s="162">
        <f>'[6]Customer Numbers'!C44</f>
        <v>973</v>
      </c>
      <c r="F102" s="162">
        <v>1</v>
      </c>
      <c r="G102" s="162">
        <v>30</v>
      </c>
      <c r="H102" s="288">
        <f t="shared" si="1"/>
        <v>2615447.5109123709</v>
      </c>
      <c r="I102" s="49"/>
      <c r="J102" s="1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208" customFormat="1" x14ac:dyDescent="0.25">
      <c r="A103" s="3">
        <v>41760</v>
      </c>
      <c r="B103" s="28">
        <v>2373330.2599999998</v>
      </c>
      <c r="C103" s="24">
        <f>'[8]Purchased Power Model '!C103</f>
        <v>132.10000000000005</v>
      </c>
      <c r="D103" s="24">
        <f>'[8]Purchased Power Model '!D103</f>
        <v>11.9</v>
      </c>
      <c r="E103" s="162">
        <f>'[6]Customer Numbers'!C45</f>
        <v>970</v>
      </c>
      <c r="F103" s="162">
        <v>1</v>
      </c>
      <c r="G103" s="162">
        <v>31</v>
      </c>
      <c r="H103" s="288">
        <f t="shared" si="1"/>
        <v>2451949.0571525451</v>
      </c>
      <c r="I103" s="49"/>
      <c r="J103" s="1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208" customFormat="1" x14ac:dyDescent="0.25">
      <c r="A104" s="3">
        <v>41791</v>
      </c>
      <c r="B104" s="28">
        <v>2336278.4300000002</v>
      </c>
      <c r="C104" s="24">
        <f>'[8]Purchased Power Model '!C104</f>
        <v>14.1</v>
      </c>
      <c r="D104" s="24">
        <f>'[8]Purchased Power Model '!D104</f>
        <v>68.099999999999994</v>
      </c>
      <c r="E104" s="162">
        <f>'[6]Customer Numbers'!C46</f>
        <v>974</v>
      </c>
      <c r="F104" s="162">
        <v>0</v>
      </c>
      <c r="G104" s="162">
        <v>30</v>
      </c>
      <c r="H104" s="288">
        <f t="shared" si="1"/>
        <v>2538743.6164665353</v>
      </c>
      <c r="I104" s="49"/>
      <c r="J104" s="1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208" customFormat="1" x14ac:dyDescent="0.25">
      <c r="A105" s="3">
        <v>41821</v>
      </c>
      <c r="B105" s="28">
        <v>2440130</v>
      </c>
      <c r="C105" s="24">
        <f>'[8]Purchased Power Model '!C105</f>
        <v>4</v>
      </c>
      <c r="D105" s="24">
        <f>'[8]Purchased Power Model '!D105</f>
        <v>71</v>
      </c>
      <c r="E105" s="162">
        <f>'[6]Customer Numbers'!C47</f>
        <v>1012</v>
      </c>
      <c r="F105" s="162">
        <v>0</v>
      </c>
      <c r="G105" s="162">
        <v>31</v>
      </c>
      <c r="H105" s="288">
        <f t="shared" si="1"/>
        <v>2623630.2837618887</v>
      </c>
      <c r="I105" s="49"/>
      <c r="J105" s="1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208" customFormat="1" x14ac:dyDescent="0.25">
      <c r="A106" s="3">
        <v>41852</v>
      </c>
      <c r="B106" s="28">
        <v>2548929.15</v>
      </c>
      <c r="C106" s="24">
        <f>'[8]Purchased Power Model '!C106</f>
        <v>8.7999999999999989</v>
      </c>
      <c r="D106" s="24">
        <f>'[8]Purchased Power Model '!D106</f>
        <v>81.799999999999983</v>
      </c>
      <c r="E106" s="162">
        <f>'[6]Customer Numbers'!C48</f>
        <v>1021</v>
      </c>
      <c r="F106" s="162">
        <v>0</v>
      </c>
      <c r="G106" s="162">
        <v>31</v>
      </c>
      <c r="H106" s="288">
        <f t="shared" si="1"/>
        <v>2682415.5029880935</v>
      </c>
      <c r="I106" s="49"/>
      <c r="J106" s="1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208" customFormat="1" x14ac:dyDescent="0.25">
      <c r="A107" s="3">
        <v>41883</v>
      </c>
      <c r="B107" s="28">
        <v>2416998.44</v>
      </c>
      <c r="C107" s="24">
        <f>'[8]Purchased Power Model '!C107</f>
        <v>69.700000000000017</v>
      </c>
      <c r="D107" s="24">
        <f>'[8]Purchased Power Model '!D107</f>
        <v>30.099999999999998</v>
      </c>
      <c r="E107" s="162">
        <f>'[6]Customer Numbers'!C49</f>
        <v>1014</v>
      </c>
      <c r="F107" s="162">
        <v>1</v>
      </c>
      <c r="G107" s="162">
        <v>30</v>
      </c>
      <c r="H107" s="288">
        <f t="shared" si="1"/>
        <v>2553863.387516587</v>
      </c>
      <c r="I107" s="49"/>
      <c r="J107" s="1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208" customFormat="1" x14ac:dyDescent="0.25">
      <c r="A108" s="3">
        <v>41913</v>
      </c>
      <c r="B108" s="28">
        <v>2501280.6800000002</v>
      </c>
      <c r="C108" s="24">
        <f>'[8]Purchased Power Model '!C108</f>
        <v>224.30000000000004</v>
      </c>
      <c r="D108" s="24">
        <f>'[8]Purchased Power Model '!D108</f>
        <v>1.3</v>
      </c>
      <c r="E108" s="162">
        <f>'[6]Customer Numbers'!C50</f>
        <v>1009</v>
      </c>
      <c r="F108" s="162">
        <v>1</v>
      </c>
      <c r="G108" s="162">
        <v>31</v>
      </c>
      <c r="H108" s="288">
        <f t="shared" si="1"/>
        <v>2584494.2683367091</v>
      </c>
      <c r="I108" s="49"/>
      <c r="J108" s="1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208" customFormat="1" x14ac:dyDescent="0.25">
      <c r="A109" s="3">
        <v>41944</v>
      </c>
      <c r="B109" s="28">
        <v>2737983.69</v>
      </c>
      <c r="C109" s="24">
        <f>'[8]Purchased Power Model '!C109</f>
        <v>482.1</v>
      </c>
      <c r="D109" s="24">
        <f>'[8]Purchased Power Model '!D109</f>
        <v>0</v>
      </c>
      <c r="E109" s="162">
        <f>'[6]Customer Numbers'!C51</f>
        <v>1004</v>
      </c>
      <c r="F109" s="162">
        <v>1</v>
      </c>
      <c r="G109" s="162">
        <v>30</v>
      </c>
      <c r="H109" s="288">
        <f t="shared" si="1"/>
        <v>2792866.1556835352</v>
      </c>
      <c r="I109" s="49"/>
      <c r="J109" s="1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208" customFormat="1" x14ac:dyDescent="0.25">
      <c r="A110" s="3">
        <v>41974</v>
      </c>
      <c r="B110" s="28">
        <v>2822277.28</v>
      </c>
      <c r="C110" s="24">
        <f>'[8]Purchased Power Model '!C110</f>
        <v>557.29999999999995</v>
      </c>
      <c r="D110" s="24">
        <f>'[8]Purchased Power Model '!D110</f>
        <v>0</v>
      </c>
      <c r="E110" s="162">
        <f>'[6]Customer Numbers'!C52</f>
        <v>1007</v>
      </c>
      <c r="F110" s="162">
        <v>0</v>
      </c>
      <c r="G110" s="162">
        <v>31</v>
      </c>
      <c r="H110" s="288">
        <f t="shared" si="1"/>
        <v>2864760.6385473046</v>
      </c>
      <c r="I110" s="49"/>
      <c r="J110" s="1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208" customFormat="1" x14ac:dyDescent="0.25">
      <c r="A111" s="3">
        <v>42005</v>
      </c>
      <c r="B111" s="28">
        <v>3269235.61</v>
      </c>
      <c r="C111" s="24">
        <f>'[8]Purchased Power Model '!C111</f>
        <v>792.39999999999975</v>
      </c>
      <c r="D111" s="24">
        <f>'[8]Purchased Power Model '!D111</f>
        <v>0</v>
      </c>
      <c r="E111" s="162">
        <f>'[6]Customer Numbers'!C60</f>
        <v>997</v>
      </c>
      <c r="F111" s="162">
        <v>0</v>
      </c>
      <c r="G111" s="162">
        <v>31</v>
      </c>
      <c r="H111" s="288">
        <f t="shared" si="1"/>
        <v>3046512.4702510596</v>
      </c>
      <c r="I111" s="49"/>
      <c r="J111" s="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208" customFormat="1" x14ac:dyDescent="0.25">
      <c r="A112" s="3">
        <v>42036</v>
      </c>
      <c r="B112" s="28">
        <v>3304584.92</v>
      </c>
      <c r="C112" s="24">
        <f>'[8]Purchased Power Model '!C112</f>
        <v>856.8</v>
      </c>
      <c r="D112" s="24">
        <f>'[8]Purchased Power Model '!D112</f>
        <v>0</v>
      </c>
      <c r="E112" s="162">
        <f>'[6]Customer Numbers'!C61</f>
        <v>998</v>
      </c>
      <c r="F112" s="162">
        <v>0</v>
      </c>
      <c r="G112" s="162">
        <v>28</v>
      </c>
      <c r="H112" s="288">
        <f t="shared" si="1"/>
        <v>3104598.7641003588</v>
      </c>
      <c r="I112" s="49"/>
      <c r="J112" s="1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5" s="208" customFormat="1" x14ac:dyDescent="0.25">
      <c r="A113" s="3">
        <v>42064</v>
      </c>
      <c r="B113" s="28">
        <v>3108557.42</v>
      </c>
      <c r="C113" s="24">
        <f>'[8]Purchased Power Model '!C113</f>
        <v>615.49999999999989</v>
      </c>
      <c r="D113" s="24">
        <f>'[8]Purchased Power Model '!D113</f>
        <v>0</v>
      </c>
      <c r="E113" s="162">
        <f>'[6]Customer Numbers'!C62</f>
        <v>998</v>
      </c>
      <c r="F113" s="162">
        <v>1</v>
      </c>
      <c r="G113" s="162">
        <v>31</v>
      </c>
      <c r="H113" s="288">
        <f t="shared" si="1"/>
        <v>2895272.2437403607</v>
      </c>
      <c r="I113" s="49"/>
      <c r="J113" s="1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5" s="208" customFormat="1" x14ac:dyDescent="0.25">
      <c r="A114" s="3">
        <v>42095</v>
      </c>
      <c r="B114" s="28">
        <v>3021846.16</v>
      </c>
      <c r="C114" s="24">
        <f>'[8]Purchased Power Model '!C114</f>
        <v>313.7</v>
      </c>
      <c r="D114" s="24">
        <f>'[8]Purchased Power Model '!D114</f>
        <v>0</v>
      </c>
      <c r="E114" s="162">
        <f>'[6]Customer Numbers'!C63</f>
        <v>997</v>
      </c>
      <c r="F114" s="162">
        <v>1</v>
      </c>
      <c r="G114" s="162">
        <v>30</v>
      </c>
      <c r="H114" s="288">
        <f t="shared" si="1"/>
        <v>2631242.6596570648</v>
      </c>
      <c r="I114" s="49"/>
      <c r="J114" s="1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5" s="208" customFormat="1" x14ac:dyDescent="0.25">
      <c r="A115" s="3">
        <v>42125</v>
      </c>
      <c r="B115" s="28">
        <v>2605051.17</v>
      </c>
      <c r="C115" s="24">
        <f>'[8]Purchased Power Model '!C115</f>
        <v>89.3</v>
      </c>
      <c r="D115" s="24">
        <f>'[8]Purchased Power Model '!D115</f>
        <v>34.1</v>
      </c>
      <c r="E115" s="162">
        <f>'[6]Customer Numbers'!C64</f>
        <v>997</v>
      </c>
      <c r="F115" s="162">
        <v>1</v>
      </c>
      <c r="G115" s="162">
        <v>31</v>
      </c>
      <c r="H115" s="288">
        <f t="shared" si="1"/>
        <v>2545964.0633812933</v>
      </c>
      <c r="I115" s="49"/>
      <c r="J115" s="1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5" s="208" customFormat="1" x14ac:dyDescent="0.25">
      <c r="A116" s="3">
        <v>42156</v>
      </c>
      <c r="B116" s="28">
        <v>2697596.71</v>
      </c>
      <c r="C116" s="24">
        <f>'[8]Purchased Power Model '!C116</f>
        <v>33.800000000000004</v>
      </c>
      <c r="D116" s="24">
        <f>'[8]Purchased Power Model '!D116</f>
        <v>32.299999999999997</v>
      </c>
      <c r="E116" s="162">
        <f>'[6]Customer Numbers'!C65</f>
        <v>997</v>
      </c>
      <c r="F116" s="162">
        <v>0</v>
      </c>
      <c r="G116" s="162">
        <v>30</v>
      </c>
      <c r="H116" s="288">
        <f t="shared" si="1"/>
        <v>2492043.9886267921</v>
      </c>
      <c r="I116" s="49"/>
      <c r="J116" s="1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5" s="208" customFormat="1" x14ac:dyDescent="0.25">
      <c r="A117" s="3">
        <v>42186</v>
      </c>
      <c r="B117" s="28">
        <v>2621303.39</v>
      </c>
      <c r="C117" s="24">
        <f>'[8]Purchased Power Model '!C117</f>
        <v>4</v>
      </c>
      <c r="D117" s="24">
        <f>'[8]Purchased Power Model '!D117</f>
        <v>114.29999999999998</v>
      </c>
      <c r="E117" s="162">
        <f>'[6]Customer Numbers'!C66</f>
        <v>996</v>
      </c>
      <c r="F117" s="162">
        <v>0</v>
      </c>
      <c r="G117" s="162">
        <v>31</v>
      </c>
      <c r="H117" s="288">
        <f t="shared" si="1"/>
        <v>2727015.696958011</v>
      </c>
      <c r="I117" s="49"/>
      <c r="J117" s="1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5" s="208" customFormat="1" x14ac:dyDescent="0.25">
      <c r="A118" s="3">
        <v>42217</v>
      </c>
      <c r="B118" s="28">
        <v>2896317.24</v>
      </c>
      <c r="C118" s="24">
        <f>'[8]Purchased Power Model '!C118</f>
        <v>4.4000000000000004</v>
      </c>
      <c r="D118" s="24">
        <f>'[8]Purchased Power Model '!D118</f>
        <v>88.6</v>
      </c>
      <c r="E118" s="162">
        <f>'[6]Customer Numbers'!C67</f>
        <v>1003</v>
      </c>
      <c r="F118" s="162">
        <v>0</v>
      </c>
      <c r="G118" s="162">
        <v>31</v>
      </c>
      <c r="H118" s="288">
        <f t="shared" si="1"/>
        <v>2660458.624248716</v>
      </c>
      <c r="I118" s="49"/>
      <c r="J118" s="1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5" s="208" customFormat="1" x14ac:dyDescent="0.25">
      <c r="A119" s="3">
        <v>42248</v>
      </c>
      <c r="B119" s="28">
        <v>2724977.85</v>
      </c>
      <c r="C119" s="24">
        <f>'[8]Purchased Power Model '!C119</f>
        <v>31.099999999999994</v>
      </c>
      <c r="D119" s="24">
        <f>'[8]Purchased Power Model '!D119</f>
        <v>81.900000000000006</v>
      </c>
      <c r="E119" s="162">
        <f>'[6]Customer Numbers'!C68</f>
        <v>1004</v>
      </c>
      <c r="F119" s="162">
        <v>1</v>
      </c>
      <c r="G119" s="162">
        <v>30</v>
      </c>
      <c r="H119" s="288">
        <f t="shared" si="1"/>
        <v>2664347.848677482</v>
      </c>
      <c r="I119" s="49"/>
      <c r="J119" s="1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5" s="208" customFormat="1" x14ac:dyDescent="0.25">
      <c r="A120" s="3">
        <v>42278</v>
      </c>
      <c r="B120" s="28">
        <v>2670877.42</v>
      </c>
      <c r="C120" s="24">
        <f>'[8]Purchased Power Model '!C120</f>
        <v>249.8</v>
      </c>
      <c r="D120" s="24">
        <f>'[8]Purchased Power Model '!D120</f>
        <v>0</v>
      </c>
      <c r="E120" s="162">
        <f>'[6]Customer Numbers'!C69</f>
        <v>1000</v>
      </c>
      <c r="F120" s="162">
        <v>1</v>
      </c>
      <c r="G120" s="162">
        <v>31</v>
      </c>
      <c r="H120" s="288">
        <f t="shared" si="1"/>
        <v>2582468.6013601394</v>
      </c>
      <c r="I120" s="49"/>
      <c r="J120" s="1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5" s="208" customFormat="1" x14ac:dyDescent="0.25">
      <c r="A121" s="3">
        <v>42309</v>
      </c>
      <c r="B121" s="28">
        <v>2674255</v>
      </c>
      <c r="C121" s="24">
        <f>'[8]Purchased Power Model '!C121</f>
        <v>345</v>
      </c>
      <c r="D121" s="24">
        <f>'[8]Purchased Power Model '!D121</f>
        <v>0</v>
      </c>
      <c r="E121" s="162">
        <f>'[6]Customer Numbers'!C70</f>
        <v>1008</v>
      </c>
      <c r="F121" s="162">
        <v>1</v>
      </c>
      <c r="G121" s="162">
        <v>30</v>
      </c>
      <c r="H121" s="288">
        <f t="shared" si="1"/>
        <v>2682811.0924313674</v>
      </c>
      <c r="I121" s="49"/>
      <c r="J121" s="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5" s="208" customFormat="1" x14ac:dyDescent="0.25">
      <c r="A122" s="3">
        <v>42339</v>
      </c>
      <c r="B122" s="28">
        <v>2624071.83</v>
      </c>
      <c r="C122" s="24">
        <f>'[8]Purchased Power Model '!C122</f>
        <v>429.70000000000005</v>
      </c>
      <c r="D122" s="24">
        <f>'[8]Purchased Power Model '!D122</f>
        <v>0</v>
      </c>
      <c r="E122" s="162">
        <f>'[6]Customer Numbers'!C71</f>
        <v>1012</v>
      </c>
      <c r="F122" s="162">
        <v>0</v>
      </c>
      <c r="G122" s="162">
        <v>31</v>
      </c>
      <c r="H122" s="288">
        <f t="shared" si="1"/>
        <v>2765166.3989091944</v>
      </c>
      <c r="I122" s="49"/>
      <c r="J122" s="1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5" s="208" customFormat="1" x14ac:dyDescent="0.25">
      <c r="A123" s="3"/>
      <c r="B123" s="28"/>
      <c r="C123" s="24"/>
      <c r="D123" s="24"/>
      <c r="E123" s="24"/>
      <c r="F123" s="24"/>
      <c r="G123" s="24"/>
      <c r="H123" s="1"/>
      <c r="I123" s="1"/>
      <c r="J123" s="1"/>
      <c r="K123"/>
      <c r="L123"/>
      <c r="M123"/>
      <c r="N123"/>
      <c r="O123"/>
      <c r="P123"/>
      <c r="Q123"/>
      <c r="R123"/>
      <c r="S123"/>
      <c r="T123"/>
      <c r="U123"/>
      <c r="V123"/>
      <c r="W123" s="207"/>
      <c r="X123" s="207"/>
      <c r="Y123" s="207"/>
    </row>
    <row r="124" spans="1:25" s="208" customFormat="1" x14ac:dyDescent="0.25">
      <c r="A124" s="3"/>
      <c r="B124" s="28"/>
      <c r="C124" s="24"/>
      <c r="D124" s="24" t="s">
        <v>244</v>
      </c>
      <c r="E124" s="24"/>
      <c r="F124" s="24"/>
      <c r="G124" s="24"/>
      <c r="H124" s="49">
        <f>SUM(H3:H123)</f>
        <v>300120410.92000014</v>
      </c>
      <c r="I124" s="1"/>
      <c r="J124" s="1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5" s="208" customFormat="1" x14ac:dyDescent="0.25">
      <c r="A125" s="3"/>
      <c r="B125" s="28"/>
      <c r="C125" s="24"/>
      <c r="D125" s="24"/>
      <c r="E125" s="24"/>
      <c r="F125" s="24"/>
      <c r="G125" s="24"/>
      <c r="H125" s="1"/>
      <c r="I125" s="1"/>
      <c r="J125" s="1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5" s="208" customFormat="1" x14ac:dyDescent="0.25">
      <c r="A126">
        <v>2006</v>
      </c>
      <c r="B126" s="28">
        <f>SUM(B3:B14)</f>
        <v>27133182</v>
      </c>
      <c r="C126" s="24"/>
      <c r="D126" s="24"/>
      <c r="E126" s="24"/>
      <c r="F126" s="24"/>
      <c r="G126" s="24"/>
      <c r="H126" s="28">
        <f>SUM(H3:H14)</f>
        <v>28458506.115165528</v>
      </c>
      <c r="I126" s="35">
        <f>H126-B126</f>
        <v>1325324.1151655279</v>
      </c>
      <c r="J126" s="5">
        <f>I126/B126</f>
        <v>4.884514153797103E-2</v>
      </c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5" s="208" customFormat="1" x14ac:dyDescent="0.25">
      <c r="A127" s="17">
        <v>2007</v>
      </c>
      <c r="B127" s="28">
        <f>SUM(B15:B26)</f>
        <v>28586422</v>
      </c>
      <c r="C127" s="24"/>
      <c r="D127" s="24"/>
      <c r="E127" s="24"/>
      <c r="F127" s="24"/>
      <c r="G127" s="24"/>
      <c r="H127" s="28">
        <f>SUM(H15:H26)</f>
        <v>28268846.317082915</v>
      </c>
      <c r="I127" s="35">
        <f t="shared" ref="I127:I135" si="2">H127-B127</f>
        <v>-317575.68291708454</v>
      </c>
      <c r="J127" s="5">
        <f t="shared" ref="J127:J135" si="3">I127/B127</f>
        <v>-1.110931906473236E-2</v>
      </c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5" s="208" customFormat="1" x14ac:dyDescent="0.25">
      <c r="A128">
        <v>2008</v>
      </c>
      <c r="B128" s="28">
        <f>SUM(B27:B38)</f>
        <v>28388527</v>
      </c>
      <c r="C128" s="24"/>
      <c r="D128" s="24"/>
      <c r="E128" s="24"/>
      <c r="F128" s="24"/>
      <c r="G128" s="24"/>
      <c r="H128" s="28">
        <f>SUM(H27:H38)</f>
        <v>28253092.207301464</v>
      </c>
      <c r="I128" s="35">
        <f t="shared" si="2"/>
        <v>-135434.79269853607</v>
      </c>
      <c r="J128" s="5">
        <f t="shared" si="3"/>
        <v>-4.7707580142687953E-3</v>
      </c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5" s="208" customFormat="1" x14ac:dyDescent="0.25">
      <c r="A129" s="17">
        <v>2009</v>
      </c>
      <c r="B129" s="28">
        <f>SUM(B39:B50)</f>
        <v>28318327</v>
      </c>
      <c r="C129" s="24"/>
      <c r="D129" s="24"/>
      <c r="E129" s="24"/>
      <c r="F129" s="24"/>
      <c r="G129" s="24"/>
      <c r="H129" s="28">
        <f>SUM(H39:H50)</f>
        <v>28431735.998341814</v>
      </c>
      <c r="I129" s="35">
        <f t="shared" si="2"/>
        <v>113408.99834181368</v>
      </c>
      <c r="J129" s="5">
        <f t="shared" si="3"/>
        <v>4.0047916086926212E-3</v>
      </c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5" s="208" customFormat="1" x14ac:dyDescent="0.25">
      <c r="A130">
        <v>2010</v>
      </c>
      <c r="B130" s="28">
        <f>SUM(B51:B62)</f>
        <v>29423139</v>
      </c>
      <c r="C130" s="24"/>
      <c r="D130" s="24"/>
      <c r="E130" s="24"/>
      <c r="F130" s="24"/>
      <c r="G130" s="24"/>
      <c r="H130" s="28">
        <f>SUM(H51:H62)</f>
        <v>29344933.339860573</v>
      </c>
      <c r="I130" s="35">
        <f t="shared" si="2"/>
        <v>-78205.660139426589</v>
      </c>
      <c r="J130" s="5">
        <f t="shared" si="3"/>
        <v>-2.6579645407455196E-3</v>
      </c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5" s="208" customFormat="1" x14ac:dyDescent="0.25">
      <c r="A131">
        <v>2011</v>
      </c>
      <c r="B131" s="28">
        <f>SUM(B63:B74)</f>
        <v>30463706</v>
      </c>
      <c r="C131" s="24"/>
      <c r="D131" s="24"/>
      <c r="E131" s="24"/>
      <c r="F131" s="24"/>
      <c r="G131" s="24"/>
      <c r="H131" s="28">
        <f>SUM(H63:H74)</f>
        <v>30216204.130135477</v>
      </c>
      <c r="I131" s="35">
        <f t="shared" si="2"/>
        <v>-247501.86986452341</v>
      </c>
      <c r="J131" s="5">
        <f t="shared" si="3"/>
        <v>-8.1244832741139052E-3</v>
      </c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5" s="208" customFormat="1" x14ac:dyDescent="0.25">
      <c r="A132">
        <v>2012</v>
      </c>
      <c r="B132" s="208">
        <f>SUM(B75:B86)</f>
        <v>30723398</v>
      </c>
      <c r="C132" s="24"/>
      <c r="D132" s="24"/>
      <c r="E132" s="24"/>
      <c r="F132" s="24"/>
      <c r="G132" s="24"/>
      <c r="H132" s="208">
        <f>SUM(H75:H86)</f>
        <v>30429157.495378993</v>
      </c>
      <c r="I132" s="35">
        <f t="shared" si="2"/>
        <v>-294240.50462100655</v>
      </c>
      <c r="J132" s="5">
        <f t="shared" si="3"/>
        <v>-9.5770820864608322E-3</v>
      </c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5" s="208" customFormat="1" x14ac:dyDescent="0.25">
      <c r="A133">
        <v>2013</v>
      </c>
      <c r="B133" s="208">
        <f>SUM(B87:B98)</f>
        <v>30842995</v>
      </c>
      <c r="C133" s="24"/>
      <c r="D133" s="24"/>
      <c r="E133" s="24"/>
      <c r="F133" s="24"/>
      <c r="G133" s="24"/>
      <c r="H133" s="208">
        <f>SUM(H87:H98)</f>
        <v>31357117.164426256</v>
      </c>
      <c r="I133" s="35">
        <f t="shared" si="2"/>
        <v>514122.16442625597</v>
      </c>
      <c r="J133" s="5">
        <f t="shared" si="3"/>
        <v>1.6669009103242274E-2</v>
      </c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5" s="208" customFormat="1" x14ac:dyDescent="0.25">
      <c r="A134">
        <v>2014</v>
      </c>
      <c r="B134" s="28">
        <f>SUM(B99:B110)</f>
        <v>32022040.200000003</v>
      </c>
      <c r="C134" s="24"/>
      <c r="D134" s="24"/>
      <c r="E134" s="24"/>
      <c r="F134" s="24"/>
      <c r="G134" s="24"/>
      <c r="H134" s="28">
        <f>SUM(H99:H110)</f>
        <v>32562915.699965205</v>
      </c>
      <c r="I134" s="35">
        <f t="shared" si="2"/>
        <v>540875.49996520206</v>
      </c>
      <c r="J134" s="5">
        <f t="shared" si="3"/>
        <v>1.689072578096389E-2</v>
      </c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5" s="208" customFormat="1" x14ac:dyDescent="0.25">
      <c r="A135" s="17">
        <v>2015</v>
      </c>
      <c r="B135" s="28">
        <f>SUM(B111:B122)</f>
        <v>34218674.719999999</v>
      </c>
      <c r="C135" s="24"/>
      <c r="D135" s="24"/>
      <c r="E135" s="24"/>
      <c r="F135" s="24"/>
      <c r="G135" s="24"/>
      <c r="H135" s="28">
        <f>SUM(H111:H122)</f>
        <v>32797902.45234184</v>
      </c>
      <c r="I135" s="35">
        <f t="shared" si="2"/>
        <v>-1420772.2676581591</v>
      </c>
      <c r="J135" s="5">
        <f t="shared" si="3"/>
        <v>-4.1520376790856593E-2</v>
      </c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5" s="208" customFormat="1" x14ac:dyDescent="0.25">
      <c r="A136"/>
      <c r="B136" s="28"/>
      <c r="C136" s="24"/>
      <c r="D136" s="24"/>
      <c r="E136" s="24"/>
      <c r="F136" s="24"/>
      <c r="G136" s="24"/>
      <c r="I136" s="1"/>
      <c r="J136" s="1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5" s="208" customFormat="1" x14ac:dyDescent="0.25">
      <c r="A137" t="s">
        <v>245</v>
      </c>
      <c r="B137" s="28">
        <f>SUM(B126:B135)</f>
        <v>300120410.91999996</v>
      </c>
      <c r="C137" s="24"/>
      <c r="D137" s="24"/>
      <c r="E137" s="24"/>
      <c r="F137" s="24"/>
      <c r="G137" s="24"/>
      <c r="H137" s="28">
        <f>SUM(H126:H135)</f>
        <v>300120410.92000008</v>
      </c>
      <c r="I137" s="208">
        <f>H137-B137</f>
        <v>0</v>
      </c>
      <c r="J137" s="1"/>
      <c r="K137"/>
      <c r="L137"/>
      <c r="M137"/>
      <c r="N137"/>
      <c r="O137"/>
      <c r="P137"/>
      <c r="Q137"/>
      <c r="R137"/>
      <c r="S137"/>
      <c r="T137"/>
      <c r="U137"/>
      <c r="V137"/>
    </row>
    <row r="139" spans="1:25" s="208" customFormat="1" x14ac:dyDescent="0.25">
      <c r="A139"/>
      <c r="B139" s="28"/>
      <c r="C139" s="24"/>
      <c r="D139" s="24"/>
      <c r="E139" s="24"/>
      <c r="F139" s="24"/>
      <c r="G139" s="24"/>
      <c r="I139" s="49"/>
      <c r="J139" s="1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5" s="208" customFormat="1" x14ac:dyDescent="0.25">
      <c r="A140"/>
      <c r="B140" s="28"/>
      <c r="C140" s="24"/>
      <c r="D140" s="24"/>
      <c r="E140" s="24"/>
      <c r="F140" s="24"/>
      <c r="G140" s="24"/>
      <c r="H140" s="206"/>
      <c r="I140" s="206" t="s">
        <v>246</v>
      </c>
      <c r="J140" s="206"/>
      <c r="K140"/>
      <c r="L140"/>
      <c r="M140"/>
      <c r="N140"/>
      <c r="O140"/>
      <c r="P140"/>
      <c r="Q140"/>
      <c r="R140"/>
      <c r="S140"/>
      <c r="T140"/>
      <c r="U140"/>
      <c r="V140"/>
    </row>
    <row r="142" spans="1:25" s="208" customFormat="1" x14ac:dyDescent="0.25">
      <c r="A142"/>
      <c r="B142" s="28"/>
      <c r="C142" s="24"/>
      <c r="D142" s="24"/>
      <c r="E142" s="24"/>
      <c r="F142" s="24"/>
      <c r="G142" s="24"/>
      <c r="H142" s="1"/>
      <c r="I142" s="1"/>
      <c r="J142" s="1"/>
      <c r="K142"/>
      <c r="L142"/>
      <c r="M142"/>
      <c r="N142"/>
      <c r="O142"/>
      <c r="P142"/>
      <c r="Q142"/>
      <c r="R142"/>
      <c r="S142"/>
      <c r="T142"/>
      <c r="U142"/>
      <c r="V142"/>
      <c r="W142" s="207"/>
      <c r="X142" s="207"/>
      <c r="Y142" s="207"/>
    </row>
    <row r="154" spans="1:25" s="208" customFormat="1" x14ac:dyDescent="0.25">
      <c r="A154"/>
      <c r="B154" s="28"/>
      <c r="C154" s="24"/>
      <c r="D154" s="24"/>
      <c r="E154" s="24"/>
      <c r="F154" s="24"/>
      <c r="G154" s="24"/>
      <c r="H154" s="1"/>
      <c r="I154" s="1"/>
      <c r="J154" s="1"/>
      <c r="K154"/>
      <c r="L154"/>
      <c r="M154"/>
      <c r="N154"/>
      <c r="O154"/>
      <c r="P154"/>
      <c r="Q154"/>
      <c r="R154"/>
      <c r="S154"/>
      <c r="T154"/>
      <c r="U154"/>
      <c r="V154"/>
      <c r="W154" s="207"/>
      <c r="X154" s="207"/>
      <c r="Y154" s="207"/>
    </row>
    <row r="156" spans="1:25" s="208" customFormat="1" x14ac:dyDescent="0.25">
      <c r="A156"/>
      <c r="B156" s="28"/>
      <c r="C156" s="24"/>
      <c r="D156" s="24"/>
      <c r="E156" s="24"/>
      <c r="F156" s="28"/>
      <c r="G156" s="28"/>
      <c r="H156" s="1"/>
      <c r="I156" s="1"/>
      <c r="J156" s="1"/>
      <c r="K156"/>
      <c r="L156"/>
      <c r="M156"/>
      <c r="N156"/>
      <c r="O156"/>
      <c r="P156"/>
      <c r="Q156"/>
      <c r="R156"/>
      <c r="S156"/>
      <c r="T156"/>
      <c r="U156"/>
      <c r="V156"/>
    </row>
  </sheetData>
  <mergeCells count="1">
    <mergeCell ref="F1:G1"/>
  </mergeCells>
  <printOptions horizontalCentered="1"/>
  <pageMargins left="0.31496062992125984" right="0.31496062992125984" top="0.35433070866141736" bottom="0.35433070866141736" header="0.31496062992125984" footer="0.15748031496062992"/>
  <pageSetup paperSize="17" scale="83" fitToHeight="2" orientation="landscape" r:id="rId1"/>
  <headerFooter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4"/>
  <sheetViews>
    <sheetView workbookViewId="0">
      <selection activeCell="A2" sqref="A2:Q138"/>
    </sheetView>
  </sheetViews>
  <sheetFormatPr defaultRowHeight="13.2" x14ac:dyDescent="0.25"/>
  <cols>
    <col min="1" max="1" width="11.88671875" customWidth="1"/>
    <col min="2" max="2" width="18" style="28" customWidth="1"/>
    <col min="3" max="3" width="11.6640625" style="24" customWidth="1"/>
    <col min="4" max="4" width="13.44140625" style="24" customWidth="1"/>
    <col min="5" max="5" width="10.109375" style="24" customWidth="1"/>
    <col min="6" max="7" width="12.44140625" style="24" customWidth="1"/>
    <col min="8" max="8" width="15.44140625" style="1" bestFit="1" customWidth="1"/>
    <col min="9" max="9" width="13.33203125" style="1" customWidth="1"/>
    <col min="10" max="10" width="12.44140625" style="1" customWidth="1"/>
    <col min="11" max="11" width="25.88671875" bestFit="1" customWidth="1"/>
    <col min="12" max="14" width="18" customWidth="1"/>
    <col min="15" max="15" width="17.109375" customWidth="1"/>
    <col min="16" max="17" width="15.6640625" customWidth="1"/>
    <col min="18" max="18" width="15" customWidth="1"/>
    <col min="19" max="20" width="14.109375" bestFit="1" customWidth="1"/>
    <col min="21" max="21" width="11.6640625" bestFit="1" customWidth="1"/>
    <col min="22" max="22" width="11.88671875" bestFit="1" customWidth="1"/>
    <col min="23" max="23" width="12.5546875" style="208" customWidth="1"/>
    <col min="24" max="24" width="11.33203125" style="208" customWidth="1"/>
    <col min="25" max="25" width="11.5546875" style="208" customWidth="1"/>
    <col min="26" max="26" width="9.33203125" style="208" customWidth="1"/>
    <col min="27" max="27" width="9.109375" style="208"/>
    <col min="28" max="28" width="11.6640625" style="208" bestFit="1" customWidth="1"/>
    <col min="29" max="29" width="10.6640625" style="208" bestFit="1" customWidth="1"/>
    <col min="30" max="31" width="9.109375" style="208"/>
    <col min="257" max="257" width="11.88671875" customWidth="1"/>
    <col min="258" max="258" width="18" customWidth="1"/>
    <col min="259" max="259" width="11.6640625" customWidth="1"/>
    <col min="260" max="260" width="13.44140625" customWidth="1"/>
    <col min="261" max="261" width="10.109375" customWidth="1"/>
    <col min="262" max="263" width="12.44140625" customWidth="1"/>
    <col min="264" max="264" width="15.44140625" bestFit="1" customWidth="1"/>
    <col min="265" max="265" width="17" customWidth="1"/>
    <col min="266" max="266" width="12.44140625" customWidth="1"/>
    <col min="267" max="267" width="25.88671875" bestFit="1" customWidth="1"/>
    <col min="268" max="270" width="18" customWidth="1"/>
    <col min="271" max="271" width="17.109375" customWidth="1"/>
    <col min="272" max="273" width="15.6640625" customWidth="1"/>
    <col min="274" max="274" width="15" customWidth="1"/>
    <col min="275" max="276" width="14.109375" bestFit="1" customWidth="1"/>
    <col min="277" max="277" width="11.6640625" bestFit="1" customWidth="1"/>
    <col min="278" max="278" width="11.88671875" bestFit="1" customWidth="1"/>
    <col min="279" max="279" width="12.5546875" customWidth="1"/>
    <col min="280" max="280" width="11.33203125" customWidth="1"/>
    <col min="281" max="281" width="11.5546875" customWidth="1"/>
    <col min="282" max="282" width="9.33203125" customWidth="1"/>
    <col min="284" max="284" width="11.6640625" bestFit="1" customWidth="1"/>
    <col min="285" max="285" width="10.6640625" bestFit="1" customWidth="1"/>
    <col min="513" max="513" width="11.88671875" customWidth="1"/>
    <col min="514" max="514" width="18" customWidth="1"/>
    <col min="515" max="515" width="11.6640625" customWidth="1"/>
    <col min="516" max="516" width="13.44140625" customWidth="1"/>
    <col min="517" max="517" width="10.109375" customWidth="1"/>
    <col min="518" max="519" width="12.44140625" customWidth="1"/>
    <col min="520" max="520" width="15.44140625" bestFit="1" customWidth="1"/>
    <col min="521" max="521" width="17" customWidth="1"/>
    <col min="522" max="522" width="12.44140625" customWidth="1"/>
    <col min="523" max="523" width="25.88671875" bestFit="1" customWidth="1"/>
    <col min="524" max="526" width="18" customWidth="1"/>
    <col min="527" max="527" width="17.109375" customWidth="1"/>
    <col min="528" max="529" width="15.6640625" customWidth="1"/>
    <col min="530" max="530" width="15" customWidth="1"/>
    <col min="531" max="532" width="14.109375" bestFit="1" customWidth="1"/>
    <col min="533" max="533" width="11.6640625" bestFit="1" customWidth="1"/>
    <col min="534" max="534" width="11.88671875" bestFit="1" customWidth="1"/>
    <col min="535" max="535" width="12.5546875" customWidth="1"/>
    <col min="536" max="536" width="11.33203125" customWidth="1"/>
    <col min="537" max="537" width="11.5546875" customWidth="1"/>
    <col min="538" max="538" width="9.33203125" customWidth="1"/>
    <col min="540" max="540" width="11.6640625" bestFit="1" customWidth="1"/>
    <col min="541" max="541" width="10.6640625" bestFit="1" customWidth="1"/>
    <col min="769" max="769" width="11.88671875" customWidth="1"/>
    <col min="770" max="770" width="18" customWidth="1"/>
    <col min="771" max="771" width="11.6640625" customWidth="1"/>
    <col min="772" max="772" width="13.44140625" customWidth="1"/>
    <col min="773" max="773" width="10.109375" customWidth="1"/>
    <col min="774" max="775" width="12.44140625" customWidth="1"/>
    <col min="776" max="776" width="15.44140625" bestFit="1" customWidth="1"/>
    <col min="777" max="777" width="17" customWidth="1"/>
    <col min="778" max="778" width="12.44140625" customWidth="1"/>
    <col min="779" max="779" width="25.88671875" bestFit="1" customWidth="1"/>
    <col min="780" max="782" width="18" customWidth="1"/>
    <col min="783" max="783" width="17.109375" customWidth="1"/>
    <col min="784" max="785" width="15.6640625" customWidth="1"/>
    <col min="786" max="786" width="15" customWidth="1"/>
    <col min="787" max="788" width="14.109375" bestFit="1" customWidth="1"/>
    <col min="789" max="789" width="11.6640625" bestFit="1" customWidth="1"/>
    <col min="790" max="790" width="11.88671875" bestFit="1" customWidth="1"/>
    <col min="791" max="791" width="12.5546875" customWidth="1"/>
    <col min="792" max="792" width="11.33203125" customWidth="1"/>
    <col min="793" max="793" width="11.5546875" customWidth="1"/>
    <col min="794" max="794" width="9.33203125" customWidth="1"/>
    <col min="796" max="796" width="11.6640625" bestFit="1" customWidth="1"/>
    <col min="797" max="797" width="10.6640625" bestFit="1" customWidth="1"/>
    <col min="1025" max="1025" width="11.88671875" customWidth="1"/>
    <col min="1026" max="1026" width="18" customWidth="1"/>
    <col min="1027" max="1027" width="11.6640625" customWidth="1"/>
    <col min="1028" max="1028" width="13.44140625" customWidth="1"/>
    <col min="1029" max="1029" width="10.109375" customWidth="1"/>
    <col min="1030" max="1031" width="12.44140625" customWidth="1"/>
    <col min="1032" max="1032" width="15.44140625" bestFit="1" customWidth="1"/>
    <col min="1033" max="1033" width="17" customWidth="1"/>
    <col min="1034" max="1034" width="12.44140625" customWidth="1"/>
    <col min="1035" max="1035" width="25.88671875" bestFit="1" customWidth="1"/>
    <col min="1036" max="1038" width="18" customWidth="1"/>
    <col min="1039" max="1039" width="17.109375" customWidth="1"/>
    <col min="1040" max="1041" width="15.6640625" customWidth="1"/>
    <col min="1042" max="1042" width="15" customWidth="1"/>
    <col min="1043" max="1044" width="14.109375" bestFit="1" customWidth="1"/>
    <col min="1045" max="1045" width="11.6640625" bestFit="1" customWidth="1"/>
    <col min="1046" max="1046" width="11.88671875" bestFit="1" customWidth="1"/>
    <col min="1047" max="1047" width="12.5546875" customWidth="1"/>
    <col min="1048" max="1048" width="11.33203125" customWidth="1"/>
    <col min="1049" max="1049" width="11.5546875" customWidth="1"/>
    <col min="1050" max="1050" width="9.33203125" customWidth="1"/>
    <col min="1052" max="1052" width="11.6640625" bestFit="1" customWidth="1"/>
    <col min="1053" max="1053" width="10.6640625" bestFit="1" customWidth="1"/>
    <col min="1281" max="1281" width="11.88671875" customWidth="1"/>
    <col min="1282" max="1282" width="18" customWidth="1"/>
    <col min="1283" max="1283" width="11.6640625" customWidth="1"/>
    <col min="1284" max="1284" width="13.44140625" customWidth="1"/>
    <col min="1285" max="1285" width="10.109375" customWidth="1"/>
    <col min="1286" max="1287" width="12.44140625" customWidth="1"/>
    <col min="1288" max="1288" width="15.44140625" bestFit="1" customWidth="1"/>
    <col min="1289" max="1289" width="17" customWidth="1"/>
    <col min="1290" max="1290" width="12.44140625" customWidth="1"/>
    <col min="1291" max="1291" width="25.88671875" bestFit="1" customWidth="1"/>
    <col min="1292" max="1294" width="18" customWidth="1"/>
    <col min="1295" max="1295" width="17.109375" customWidth="1"/>
    <col min="1296" max="1297" width="15.6640625" customWidth="1"/>
    <col min="1298" max="1298" width="15" customWidth="1"/>
    <col min="1299" max="1300" width="14.109375" bestFit="1" customWidth="1"/>
    <col min="1301" max="1301" width="11.6640625" bestFit="1" customWidth="1"/>
    <col min="1302" max="1302" width="11.88671875" bestFit="1" customWidth="1"/>
    <col min="1303" max="1303" width="12.5546875" customWidth="1"/>
    <col min="1304" max="1304" width="11.33203125" customWidth="1"/>
    <col min="1305" max="1305" width="11.5546875" customWidth="1"/>
    <col min="1306" max="1306" width="9.33203125" customWidth="1"/>
    <col min="1308" max="1308" width="11.6640625" bestFit="1" customWidth="1"/>
    <col min="1309" max="1309" width="10.6640625" bestFit="1" customWidth="1"/>
    <col min="1537" max="1537" width="11.88671875" customWidth="1"/>
    <col min="1538" max="1538" width="18" customWidth="1"/>
    <col min="1539" max="1539" width="11.6640625" customWidth="1"/>
    <col min="1540" max="1540" width="13.44140625" customWidth="1"/>
    <col min="1541" max="1541" width="10.109375" customWidth="1"/>
    <col min="1542" max="1543" width="12.44140625" customWidth="1"/>
    <col min="1544" max="1544" width="15.44140625" bestFit="1" customWidth="1"/>
    <col min="1545" max="1545" width="17" customWidth="1"/>
    <col min="1546" max="1546" width="12.44140625" customWidth="1"/>
    <col min="1547" max="1547" width="25.88671875" bestFit="1" customWidth="1"/>
    <col min="1548" max="1550" width="18" customWidth="1"/>
    <col min="1551" max="1551" width="17.109375" customWidth="1"/>
    <col min="1552" max="1553" width="15.6640625" customWidth="1"/>
    <col min="1554" max="1554" width="15" customWidth="1"/>
    <col min="1555" max="1556" width="14.109375" bestFit="1" customWidth="1"/>
    <col min="1557" max="1557" width="11.6640625" bestFit="1" customWidth="1"/>
    <col min="1558" max="1558" width="11.88671875" bestFit="1" customWidth="1"/>
    <col min="1559" max="1559" width="12.5546875" customWidth="1"/>
    <col min="1560" max="1560" width="11.33203125" customWidth="1"/>
    <col min="1561" max="1561" width="11.5546875" customWidth="1"/>
    <col min="1562" max="1562" width="9.33203125" customWidth="1"/>
    <col min="1564" max="1564" width="11.6640625" bestFit="1" customWidth="1"/>
    <col min="1565" max="1565" width="10.6640625" bestFit="1" customWidth="1"/>
    <col min="1793" max="1793" width="11.88671875" customWidth="1"/>
    <col min="1794" max="1794" width="18" customWidth="1"/>
    <col min="1795" max="1795" width="11.6640625" customWidth="1"/>
    <col min="1796" max="1796" width="13.44140625" customWidth="1"/>
    <col min="1797" max="1797" width="10.109375" customWidth="1"/>
    <col min="1798" max="1799" width="12.44140625" customWidth="1"/>
    <col min="1800" max="1800" width="15.44140625" bestFit="1" customWidth="1"/>
    <col min="1801" max="1801" width="17" customWidth="1"/>
    <col min="1802" max="1802" width="12.44140625" customWidth="1"/>
    <col min="1803" max="1803" width="25.88671875" bestFit="1" customWidth="1"/>
    <col min="1804" max="1806" width="18" customWidth="1"/>
    <col min="1807" max="1807" width="17.109375" customWidth="1"/>
    <col min="1808" max="1809" width="15.6640625" customWidth="1"/>
    <col min="1810" max="1810" width="15" customWidth="1"/>
    <col min="1811" max="1812" width="14.109375" bestFit="1" customWidth="1"/>
    <col min="1813" max="1813" width="11.6640625" bestFit="1" customWidth="1"/>
    <col min="1814" max="1814" width="11.88671875" bestFit="1" customWidth="1"/>
    <col min="1815" max="1815" width="12.5546875" customWidth="1"/>
    <col min="1816" max="1816" width="11.33203125" customWidth="1"/>
    <col min="1817" max="1817" width="11.5546875" customWidth="1"/>
    <col min="1818" max="1818" width="9.33203125" customWidth="1"/>
    <col min="1820" max="1820" width="11.6640625" bestFit="1" customWidth="1"/>
    <col min="1821" max="1821" width="10.6640625" bestFit="1" customWidth="1"/>
    <col min="2049" max="2049" width="11.88671875" customWidth="1"/>
    <col min="2050" max="2050" width="18" customWidth="1"/>
    <col min="2051" max="2051" width="11.6640625" customWidth="1"/>
    <col min="2052" max="2052" width="13.44140625" customWidth="1"/>
    <col min="2053" max="2053" width="10.109375" customWidth="1"/>
    <col min="2054" max="2055" width="12.44140625" customWidth="1"/>
    <col min="2056" max="2056" width="15.44140625" bestFit="1" customWidth="1"/>
    <col min="2057" max="2057" width="17" customWidth="1"/>
    <col min="2058" max="2058" width="12.44140625" customWidth="1"/>
    <col min="2059" max="2059" width="25.88671875" bestFit="1" customWidth="1"/>
    <col min="2060" max="2062" width="18" customWidth="1"/>
    <col min="2063" max="2063" width="17.109375" customWidth="1"/>
    <col min="2064" max="2065" width="15.6640625" customWidth="1"/>
    <col min="2066" max="2066" width="15" customWidth="1"/>
    <col min="2067" max="2068" width="14.109375" bestFit="1" customWidth="1"/>
    <col min="2069" max="2069" width="11.6640625" bestFit="1" customWidth="1"/>
    <col min="2070" max="2070" width="11.88671875" bestFit="1" customWidth="1"/>
    <col min="2071" max="2071" width="12.5546875" customWidth="1"/>
    <col min="2072" max="2072" width="11.33203125" customWidth="1"/>
    <col min="2073" max="2073" width="11.5546875" customWidth="1"/>
    <col min="2074" max="2074" width="9.33203125" customWidth="1"/>
    <col min="2076" max="2076" width="11.6640625" bestFit="1" customWidth="1"/>
    <col min="2077" max="2077" width="10.6640625" bestFit="1" customWidth="1"/>
    <col min="2305" max="2305" width="11.88671875" customWidth="1"/>
    <col min="2306" max="2306" width="18" customWidth="1"/>
    <col min="2307" max="2307" width="11.6640625" customWidth="1"/>
    <col min="2308" max="2308" width="13.44140625" customWidth="1"/>
    <col min="2309" max="2309" width="10.109375" customWidth="1"/>
    <col min="2310" max="2311" width="12.44140625" customWidth="1"/>
    <col min="2312" max="2312" width="15.44140625" bestFit="1" customWidth="1"/>
    <col min="2313" max="2313" width="17" customWidth="1"/>
    <col min="2314" max="2314" width="12.44140625" customWidth="1"/>
    <col min="2315" max="2315" width="25.88671875" bestFit="1" customWidth="1"/>
    <col min="2316" max="2318" width="18" customWidth="1"/>
    <col min="2319" max="2319" width="17.109375" customWidth="1"/>
    <col min="2320" max="2321" width="15.6640625" customWidth="1"/>
    <col min="2322" max="2322" width="15" customWidth="1"/>
    <col min="2323" max="2324" width="14.109375" bestFit="1" customWidth="1"/>
    <col min="2325" max="2325" width="11.6640625" bestFit="1" customWidth="1"/>
    <col min="2326" max="2326" width="11.88671875" bestFit="1" customWidth="1"/>
    <col min="2327" max="2327" width="12.5546875" customWidth="1"/>
    <col min="2328" max="2328" width="11.33203125" customWidth="1"/>
    <col min="2329" max="2329" width="11.5546875" customWidth="1"/>
    <col min="2330" max="2330" width="9.33203125" customWidth="1"/>
    <col min="2332" max="2332" width="11.6640625" bestFit="1" customWidth="1"/>
    <col min="2333" max="2333" width="10.6640625" bestFit="1" customWidth="1"/>
    <col min="2561" max="2561" width="11.88671875" customWidth="1"/>
    <col min="2562" max="2562" width="18" customWidth="1"/>
    <col min="2563" max="2563" width="11.6640625" customWidth="1"/>
    <col min="2564" max="2564" width="13.44140625" customWidth="1"/>
    <col min="2565" max="2565" width="10.109375" customWidth="1"/>
    <col min="2566" max="2567" width="12.44140625" customWidth="1"/>
    <col min="2568" max="2568" width="15.44140625" bestFit="1" customWidth="1"/>
    <col min="2569" max="2569" width="17" customWidth="1"/>
    <col min="2570" max="2570" width="12.44140625" customWidth="1"/>
    <col min="2571" max="2571" width="25.88671875" bestFit="1" customWidth="1"/>
    <col min="2572" max="2574" width="18" customWidth="1"/>
    <col min="2575" max="2575" width="17.109375" customWidth="1"/>
    <col min="2576" max="2577" width="15.6640625" customWidth="1"/>
    <col min="2578" max="2578" width="15" customWidth="1"/>
    <col min="2579" max="2580" width="14.109375" bestFit="1" customWidth="1"/>
    <col min="2581" max="2581" width="11.6640625" bestFit="1" customWidth="1"/>
    <col min="2582" max="2582" width="11.88671875" bestFit="1" customWidth="1"/>
    <col min="2583" max="2583" width="12.5546875" customWidth="1"/>
    <col min="2584" max="2584" width="11.33203125" customWidth="1"/>
    <col min="2585" max="2585" width="11.5546875" customWidth="1"/>
    <col min="2586" max="2586" width="9.33203125" customWidth="1"/>
    <col min="2588" max="2588" width="11.6640625" bestFit="1" customWidth="1"/>
    <col min="2589" max="2589" width="10.6640625" bestFit="1" customWidth="1"/>
    <col min="2817" max="2817" width="11.88671875" customWidth="1"/>
    <col min="2818" max="2818" width="18" customWidth="1"/>
    <col min="2819" max="2819" width="11.6640625" customWidth="1"/>
    <col min="2820" max="2820" width="13.44140625" customWidth="1"/>
    <col min="2821" max="2821" width="10.109375" customWidth="1"/>
    <col min="2822" max="2823" width="12.44140625" customWidth="1"/>
    <col min="2824" max="2824" width="15.44140625" bestFit="1" customWidth="1"/>
    <col min="2825" max="2825" width="17" customWidth="1"/>
    <col min="2826" max="2826" width="12.44140625" customWidth="1"/>
    <col min="2827" max="2827" width="25.88671875" bestFit="1" customWidth="1"/>
    <col min="2828" max="2830" width="18" customWidth="1"/>
    <col min="2831" max="2831" width="17.109375" customWidth="1"/>
    <col min="2832" max="2833" width="15.6640625" customWidth="1"/>
    <col min="2834" max="2834" width="15" customWidth="1"/>
    <col min="2835" max="2836" width="14.109375" bestFit="1" customWidth="1"/>
    <col min="2837" max="2837" width="11.6640625" bestFit="1" customWidth="1"/>
    <col min="2838" max="2838" width="11.88671875" bestFit="1" customWidth="1"/>
    <col min="2839" max="2839" width="12.5546875" customWidth="1"/>
    <col min="2840" max="2840" width="11.33203125" customWidth="1"/>
    <col min="2841" max="2841" width="11.5546875" customWidth="1"/>
    <col min="2842" max="2842" width="9.33203125" customWidth="1"/>
    <col min="2844" max="2844" width="11.6640625" bestFit="1" customWidth="1"/>
    <col min="2845" max="2845" width="10.6640625" bestFit="1" customWidth="1"/>
    <col min="3073" max="3073" width="11.88671875" customWidth="1"/>
    <col min="3074" max="3074" width="18" customWidth="1"/>
    <col min="3075" max="3075" width="11.6640625" customWidth="1"/>
    <col min="3076" max="3076" width="13.44140625" customWidth="1"/>
    <col min="3077" max="3077" width="10.109375" customWidth="1"/>
    <col min="3078" max="3079" width="12.44140625" customWidth="1"/>
    <col min="3080" max="3080" width="15.44140625" bestFit="1" customWidth="1"/>
    <col min="3081" max="3081" width="17" customWidth="1"/>
    <col min="3082" max="3082" width="12.44140625" customWidth="1"/>
    <col min="3083" max="3083" width="25.88671875" bestFit="1" customWidth="1"/>
    <col min="3084" max="3086" width="18" customWidth="1"/>
    <col min="3087" max="3087" width="17.109375" customWidth="1"/>
    <col min="3088" max="3089" width="15.6640625" customWidth="1"/>
    <col min="3090" max="3090" width="15" customWidth="1"/>
    <col min="3091" max="3092" width="14.109375" bestFit="1" customWidth="1"/>
    <col min="3093" max="3093" width="11.6640625" bestFit="1" customWidth="1"/>
    <col min="3094" max="3094" width="11.88671875" bestFit="1" customWidth="1"/>
    <col min="3095" max="3095" width="12.5546875" customWidth="1"/>
    <col min="3096" max="3096" width="11.33203125" customWidth="1"/>
    <col min="3097" max="3097" width="11.5546875" customWidth="1"/>
    <col min="3098" max="3098" width="9.33203125" customWidth="1"/>
    <col min="3100" max="3100" width="11.6640625" bestFit="1" customWidth="1"/>
    <col min="3101" max="3101" width="10.6640625" bestFit="1" customWidth="1"/>
    <col min="3329" max="3329" width="11.88671875" customWidth="1"/>
    <col min="3330" max="3330" width="18" customWidth="1"/>
    <col min="3331" max="3331" width="11.6640625" customWidth="1"/>
    <col min="3332" max="3332" width="13.44140625" customWidth="1"/>
    <col min="3333" max="3333" width="10.109375" customWidth="1"/>
    <col min="3334" max="3335" width="12.44140625" customWidth="1"/>
    <col min="3336" max="3336" width="15.44140625" bestFit="1" customWidth="1"/>
    <col min="3337" max="3337" width="17" customWidth="1"/>
    <col min="3338" max="3338" width="12.44140625" customWidth="1"/>
    <col min="3339" max="3339" width="25.88671875" bestFit="1" customWidth="1"/>
    <col min="3340" max="3342" width="18" customWidth="1"/>
    <col min="3343" max="3343" width="17.109375" customWidth="1"/>
    <col min="3344" max="3345" width="15.6640625" customWidth="1"/>
    <col min="3346" max="3346" width="15" customWidth="1"/>
    <col min="3347" max="3348" width="14.109375" bestFit="1" customWidth="1"/>
    <col min="3349" max="3349" width="11.6640625" bestFit="1" customWidth="1"/>
    <col min="3350" max="3350" width="11.88671875" bestFit="1" customWidth="1"/>
    <col min="3351" max="3351" width="12.5546875" customWidth="1"/>
    <col min="3352" max="3352" width="11.33203125" customWidth="1"/>
    <col min="3353" max="3353" width="11.5546875" customWidth="1"/>
    <col min="3354" max="3354" width="9.33203125" customWidth="1"/>
    <col min="3356" max="3356" width="11.6640625" bestFit="1" customWidth="1"/>
    <col min="3357" max="3357" width="10.6640625" bestFit="1" customWidth="1"/>
    <col min="3585" max="3585" width="11.88671875" customWidth="1"/>
    <col min="3586" max="3586" width="18" customWidth="1"/>
    <col min="3587" max="3587" width="11.6640625" customWidth="1"/>
    <col min="3588" max="3588" width="13.44140625" customWidth="1"/>
    <col min="3589" max="3589" width="10.109375" customWidth="1"/>
    <col min="3590" max="3591" width="12.44140625" customWidth="1"/>
    <col min="3592" max="3592" width="15.44140625" bestFit="1" customWidth="1"/>
    <col min="3593" max="3593" width="17" customWidth="1"/>
    <col min="3594" max="3594" width="12.44140625" customWidth="1"/>
    <col min="3595" max="3595" width="25.88671875" bestFit="1" customWidth="1"/>
    <col min="3596" max="3598" width="18" customWidth="1"/>
    <col min="3599" max="3599" width="17.109375" customWidth="1"/>
    <col min="3600" max="3601" width="15.6640625" customWidth="1"/>
    <col min="3602" max="3602" width="15" customWidth="1"/>
    <col min="3603" max="3604" width="14.109375" bestFit="1" customWidth="1"/>
    <col min="3605" max="3605" width="11.6640625" bestFit="1" customWidth="1"/>
    <col min="3606" max="3606" width="11.88671875" bestFit="1" customWidth="1"/>
    <col min="3607" max="3607" width="12.5546875" customWidth="1"/>
    <col min="3608" max="3608" width="11.33203125" customWidth="1"/>
    <col min="3609" max="3609" width="11.5546875" customWidth="1"/>
    <col min="3610" max="3610" width="9.33203125" customWidth="1"/>
    <col min="3612" max="3612" width="11.6640625" bestFit="1" customWidth="1"/>
    <col min="3613" max="3613" width="10.6640625" bestFit="1" customWidth="1"/>
    <col min="3841" max="3841" width="11.88671875" customWidth="1"/>
    <col min="3842" max="3842" width="18" customWidth="1"/>
    <col min="3843" max="3843" width="11.6640625" customWidth="1"/>
    <col min="3844" max="3844" width="13.44140625" customWidth="1"/>
    <col min="3845" max="3845" width="10.109375" customWidth="1"/>
    <col min="3846" max="3847" width="12.44140625" customWidth="1"/>
    <col min="3848" max="3848" width="15.44140625" bestFit="1" customWidth="1"/>
    <col min="3849" max="3849" width="17" customWidth="1"/>
    <col min="3850" max="3850" width="12.44140625" customWidth="1"/>
    <col min="3851" max="3851" width="25.88671875" bestFit="1" customWidth="1"/>
    <col min="3852" max="3854" width="18" customWidth="1"/>
    <col min="3855" max="3855" width="17.109375" customWidth="1"/>
    <col min="3856" max="3857" width="15.6640625" customWidth="1"/>
    <col min="3858" max="3858" width="15" customWidth="1"/>
    <col min="3859" max="3860" width="14.109375" bestFit="1" customWidth="1"/>
    <col min="3861" max="3861" width="11.6640625" bestFit="1" customWidth="1"/>
    <col min="3862" max="3862" width="11.88671875" bestFit="1" customWidth="1"/>
    <col min="3863" max="3863" width="12.5546875" customWidth="1"/>
    <col min="3864" max="3864" width="11.33203125" customWidth="1"/>
    <col min="3865" max="3865" width="11.5546875" customWidth="1"/>
    <col min="3866" max="3866" width="9.33203125" customWidth="1"/>
    <col min="3868" max="3868" width="11.6640625" bestFit="1" customWidth="1"/>
    <col min="3869" max="3869" width="10.6640625" bestFit="1" customWidth="1"/>
    <col min="4097" max="4097" width="11.88671875" customWidth="1"/>
    <col min="4098" max="4098" width="18" customWidth="1"/>
    <col min="4099" max="4099" width="11.6640625" customWidth="1"/>
    <col min="4100" max="4100" width="13.44140625" customWidth="1"/>
    <col min="4101" max="4101" width="10.109375" customWidth="1"/>
    <col min="4102" max="4103" width="12.44140625" customWidth="1"/>
    <col min="4104" max="4104" width="15.44140625" bestFit="1" customWidth="1"/>
    <col min="4105" max="4105" width="17" customWidth="1"/>
    <col min="4106" max="4106" width="12.44140625" customWidth="1"/>
    <col min="4107" max="4107" width="25.88671875" bestFit="1" customWidth="1"/>
    <col min="4108" max="4110" width="18" customWidth="1"/>
    <col min="4111" max="4111" width="17.109375" customWidth="1"/>
    <col min="4112" max="4113" width="15.6640625" customWidth="1"/>
    <col min="4114" max="4114" width="15" customWidth="1"/>
    <col min="4115" max="4116" width="14.109375" bestFit="1" customWidth="1"/>
    <col min="4117" max="4117" width="11.6640625" bestFit="1" customWidth="1"/>
    <col min="4118" max="4118" width="11.88671875" bestFit="1" customWidth="1"/>
    <col min="4119" max="4119" width="12.5546875" customWidth="1"/>
    <col min="4120" max="4120" width="11.33203125" customWidth="1"/>
    <col min="4121" max="4121" width="11.5546875" customWidth="1"/>
    <col min="4122" max="4122" width="9.33203125" customWidth="1"/>
    <col min="4124" max="4124" width="11.6640625" bestFit="1" customWidth="1"/>
    <col min="4125" max="4125" width="10.6640625" bestFit="1" customWidth="1"/>
    <col min="4353" max="4353" width="11.88671875" customWidth="1"/>
    <col min="4354" max="4354" width="18" customWidth="1"/>
    <col min="4355" max="4355" width="11.6640625" customWidth="1"/>
    <col min="4356" max="4356" width="13.44140625" customWidth="1"/>
    <col min="4357" max="4357" width="10.109375" customWidth="1"/>
    <col min="4358" max="4359" width="12.44140625" customWidth="1"/>
    <col min="4360" max="4360" width="15.44140625" bestFit="1" customWidth="1"/>
    <col min="4361" max="4361" width="17" customWidth="1"/>
    <col min="4362" max="4362" width="12.44140625" customWidth="1"/>
    <col min="4363" max="4363" width="25.88671875" bestFit="1" customWidth="1"/>
    <col min="4364" max="4366" width="18" customWidth="1"/>
    <col min="4367" max="4367" width="17.109375" customWidth="1"/>
    <col min="4368" max="4369" width="15.6640625" customWidth="1"/>
    <col min="4370" max="4370" width="15" customWidth="1"/>
    <col min="4371" max="4372" width="14.109375" bestFit="1" customWidth="1"/>
    <col min="4373" max="4373" width="11.6640625" bestFit="1" customWidth="1"/>
    <col min="4374" max="4374" width="11.88671875" bestFit="1" customWidth="1"/>
    <col min="4375" max="4375" width="12.5546875" customWidth="1"/>
    <col min="4376" max="4376" width="11.33203125" customWidth="1"/>
    <col min="4377" max="4377" width="11.5546875" customWidth="1"/>
    <col min="4378" max="4378" width="9.33203125" customWidth="1"/>
    <col min="4380" max="4380" width="11.6640625" bestFit="1" customWidth="1"/>
    <col min="4381" max="4381" width="10.6640625" bestFit="1" customWidth="1"/>
    <col min="4609" max="4609" width="11.88671875" customWidth="1"/>
    <col min="4610" max="4610" width="18" customWidth="1"/>
    <col min="4611" max="4611" width="11.6640625" customWidth="1"/>
    <col min="4612" max="4612" width="13.44140625" customWidth="1"/>
    <col min="4613" max="4613" width="10.109375" customWidth="1"/>
    <col min="4614" max="4615" width="12.44140625" customWidth="1"/>
    <col min="4616" max="4616" width="15.44140625" bestFit="1" customWidth="1"/>
    <col min="4617" max="4617" width="17" customWidth="1"/>
    <col min="4618" max="4618" width="12.44140625" customWidth="1"/>
    <col min="4619" max="4619" width="25.88671875" bestFit="1" customWidth="1"/>
    <col min="4620" max="4622" width="18" customWidth="1"/>
    <col min="4623" max="4623" width="17.109375" customWidth="1"/>
    <col min="4624" max="4625" width="15.6640625" customWidth="1"/>
    <col min="4626" max="4626" width="15" customWidth="1"/>
    <col min="4627" max="4628" width="14.109375" bestFit="1" customWidth="1"/>
    <col min="4629" max="4629" width="11.6640625" bestFit="1" customWidth="1"/>
    <col min="4630" max="4630" width="11.88671875" bestFit="1" customWidth="1"/>
    <col min="4631" max="4631" width="12.5546875" customWidth="1"/>
    <col min="4632" max="4632" width="11.33203125" customWidth="1"/>
    <col min="4633" max="4633" width="11.5546875" customWidth="1"/>
    <col min="4634" max="4634" width="9.33203125" customWidth="1"/>
    <col min="4636" max="4636" width="11.6640625" bestFit="1" customWidth="1"/>
    <col min="4637" max="4637" width="10.6640625" bestFit="1" customWidth="1"/>
    <col min="4865" max="4865" width="11.88671875" customWidth="1"/>
    <col min="4866" max="4866" width="18" customWidth="1"/>
    <col min="4867" max="4867" width="11.6640625" customWidth="1"/>
    <col min="4868" max="4868" width="13.44140625" customWidth="1"/>
    <col min="4869" max="4869" width="10.109375" customWidth="1"/>
    <col min="4870" max="4871" width="12.44140625" customWidth="1"/>
    <col min="4872" max="4872" width="15.44140625" bestFit="1" customWidth="1"/>
    <col min="4873" max="4873" width="17" customWidth="1"/>
    <col min="4874" max="4874" width="12.44140625" customWidth="1"/>
    <col min="4875" max="4875" width="25.88671875" bestFit="1" customWidth="1"/>
    <col min="4876" max="4878" width="18" customWidth="1"/>
    <col min="4879" max="4879" width="17.109375" customWidth="1"/>
    <col min="4880" max="4881" width="15.6640625" customWidth="1"/>
    <col min="4882" max="4882" width="15" customWidth="1"/>
    <col min="4883" max="4884" width="14.109375" bestFit="1" customWidth="1"/>
    <col min="4885" max="4885" width="11.6640625" bestFit="1" customWidth="1"/>
    <col min="4886" max="4886" width="11.88671875" bestFit="1" customWidth="1"/>
    <col min="4887" max="4887" width="12.5546875" customWidth="1"/>
    <col min="4888" max="4888" width="11.33203125" customWidth="1"/>
    <col min="4889" max="4889" width="11.5546875" customWidth="1"/>
    <col min="4890" max="4890" width="9.33203125" customWidth="1"/>
    <col min="4892" max="4892" width="11.6640625" bestFit="1" customWidth="1"/>
    <col min="4893" max="4893" width="10.6640625" bestFit="1" customWidth="1"/>
    <col min="5121" max="5121" width="11.88671875" customWidth="1"/>
    <col min="5122" max="5122" width="18" customWidth="1"/>
    <col min="5123" max="5123" width="11.6640625" customWidth="1"/>
    <col min="5124" max="5124" width="13.44140625" customWidth="1"/>
    <col min="5125" max="5125" width="10.109375" customWidth="1"/>
    <col min="5126" max="5127" width="12.44140625" customWidth="1"/>
    <col min="5128" max="5128" width="15.44140625" bestFit="1" customWidth="1"/>
    <col min="5129" max="5129" width="17" customWidth="1"/>
    <col min="5130" max="5130" width="12.44140625" customWidth="1"/>
    <col min="5131" max="5131" width="25.88671875" bestFit="1" customWidth="1"/>
    <col min="5132" max="5134" width="18" customWidth="1"/>
    <col min="5135" max="5135" width="17.109375" customWidth="1"/>
    <col min="5136" max="5137" width="15.6640625" customWidth="1"/>
    <col min="5138" max="5138" width="15" customWidth="1"/>
    <col min="5139" max="5140" width="14.109375" bestFit="1" customWidth="1"/>
    <col min="5141" max="5141" width="11.6640625" bestFit="1" customWidth="1"/>
    <col min="5142" max="5142" width="11.88671875" bestFit="1" customWidth="1"/>
    <col min="5143" max="5143" width="12.5546875" customWidth="1"/>
    <col min="5144" max="5144" width="11.33203125" customWidth="1"/>
    <col min="5145" max="5145" width="11.5546875" customWidth="1"/>
    <col min="5146" max="5146" width="9.33203125" customWidth="1"/>
    <col min="5148" max="5148" width="11.6640625" bestFit="1" customWidth="1"/>
    <col min="5149" max="5149" width="10.6640625" bestFit="1" customWidth="1"/>
    <col min="5377" max="5377" width="11.88671875" customWidth="1"/>
    <col min="5378" max="5378" width="18" customWidth="1"/>
    <col min="5379" max="5379" width="11.6640625" customWidth="1"/>
    <col min="5380" max="5380" width="13.44140625" customWidth="1"/>
    <col min="5381" max="5381" width="10.109375" customWidth="1"/>
    <col min="5382" max="5383" width="12.44140625" customWidth="1"/>
    <col min="5384" max="5384" width="15.44140625" bestFit="1" customWidth="1"/>
    <col min="5385" max="5385" width="17" customWidth="1"/>
    <col min="5386" max="5386" width="12.44140625" customWidth="1"/>
    <col min="5387" max="5387" width="25.88671875" bestFit="1" customWidth="1"/>
    <col min="5388" max="5390" width="18" customWidth="1"/>
    <col min="5391" max="5391" width="17.109375" customWidth="1"/>
    <col min="5392" max="5393" width="15.6640625" customWidth="1"/>
    <col min="5394" max="5394" width="15" customWidth="1"/>
    <col min="5395" max="5396" width="14.109375" bestFit="1" customWidth="1"/>
    <col min="5397" max="5397" width="11.6640625" bestFit="1" customWidth="1"/>
    <col min="5398" max="5398" width="11.88671875" bestFit="1" customWidth="1"/>
    <col min="5399" max="5399" width="12.5546875" customWidth="1"/>
    <col min="5400" max="5400" width="11.33203125" customWidth="1"/>
    <col min="5401" max="5401" width="11.5546875" customWidth="1"/>
    <col min="5402" max="5402" width="9.33203125" customWidth="1"/>
    <col min="5404" max="5404" width="11.6640625" bestFit="1" customWidth="1"/>
    <col min="5405" max="5405" width="10.6640625" bestFit="1" customWidth="1"/>
    <col min="5633" max="5633" width="11.88671875" customWidth="1"/>
    <col min="5634" max="5634" width="18" customWidth="1"/>
    <col min="5635" max="5635" width="11.6640625" customWidth="1"/>
    <col min="5636" max="5636" width="13.44140625" customWidth="1"/>
    <col min="5637" max="5637" width="10.109375" customWidth="1"/>
    <col min="5638" max="5639" width="12.44140625" customWidth="1"/>
    <col min="5640" max="5640" width="15.44140625" bestFit="1" customWidth="1"/>
    <col min="5641" max="5641" width="17" customWidth="1"/>
    <col min="5642" max="5642" width="12.44140625" customWidth="1"/>
    <col min="5643" max="5643" width="25.88671875" bestFit="1" customWidth="1"/>
    <col min="5644" max="5646" width="18" customWidth="1"/>
    <col min="5647" max="5647" width="17.109375" customWidth="1"/>
    <col min="5648" max="5649" width="15.6640625" customWidth="1"/>
    <col min="5650" max="5650" width="15" customWidth="1"/>
    <col min="5651" max="5652" width="14.109375" bestFit="1" customWidth="1"/>
    <col min="5653" max="5653" width="11.6640625" bestFit="1" customWidth="1"/>
    <col min="5654" max="5654" width="11.88671875" bestFit="1" customWidth="1"/>
    <col min="5655" max="5655" width="12.5546875" customWidth="1"/>
    <col min="5656" max="5656" width="11.33203125" customWidth="1"/>
    <col min="5657" max="5657" width="11.5546875" customWidth="1"/>
    <col min="5658" max="5658" width="9.33203125" customWidth="1"/>
    <col min="5660" max="5660" width="11.6640625" bestFit="1" customWidth="1"/>
    <col min="5661" max="5661" width="10.6640625" bestFit="1" customWidth="1"/>
    <col min="5889" max="5889" width="11.88671875" customWidth="1"/>
    <col min="5890" max="5890" width="18" customWidth="1"/>
    <col min="5891" max="5891" width="11.6640625" customWidth="1"/>
    <col min="5892" max="5892" width="13.44140625" customWidth="1"/>
    <col min="5893" max="5893" width="10.109375" customWidth="1"/>
    <col min="5894" max="5895" width="12.44140625" customWidth="1"/>
    <col min="5896" max="5896" width="15.44140625" bestFit="1" customWidth="1"/>
    <col min="5897" max="5897" width="17" customWidth="1"/>
    <col min="5898" max="5898" width="12.44140625" customWidth="1"/>
    <col min="5899" max="5899" width="25.88671875" bestFit="1" customWidth="1"/>
    <col min="5900" max="5902" width="18" customWidth="1"/>
    <col min="5903" max="5903" width="17.109375" customWidth="1"/>
    <col min="5904" max="5905" width="15.6640625" customWidth="1"/>
    <col min="5906" max="5906" width="15" customWidth="1"/>
    <col min="5907" max="5908" width="14.109375" bestFit="1" customWidth="1"/>
    <col min="5909" max="5909" width="11.6640625" bestFit="1" customWidth="1"/>
    <col min="5910" max="5910" width="11.88671875" bestFit="1" customWidth="1"/>
    <col min="5911" max="5911" width="12.5546875" customWidth="1"/>
    <col min="5912" max="5912" width="11.33203125" customWidth="1"/>
    <col min="5913" max="5913" width="11.5546875" customWidth="1"/>
    <col min="5914" max="5914" width="9.33203125" customWidth="1"/>
    <col min="5916" max="5916" width="11.6640625" bestFit="1" customWidth="1"/>
    <col min="5917" max="5917" width="10.6640625" bestFit="1" customWidth="1"/>
    <col min="6145" max="6145" width="11.88671875" customWidth="1"/>
    <col min="6146" max="6146" width="18" customWidth="1"/>
    <col min="6147" max="6147" width="11.6640625" customWidth="1"/>
    <col min="6148" max="6148" width="13.44140625" customWidth="1"/>
    <col min="6149" max="6149" width="10.109375" customWidth="1"/>
    <col min="6150" max="6151" width="12.44140625" customWidth="1"/>
    <col min="6152" max="6152" width="15.44140625" bestFit="1" customWidth="1"/>
    <col min="6153" max="6153" width="17" customWidth="1"/>
    <col min="6154" max="6154" width="12.44140625" customWidth="1"/>
    <col min="6155" max="6155" width="25.88671875" bestFit="1" customWidth="1"/>
    <col min="6156" max="6158" width="18" customWidth="1"/>
    <col min="6159" max="6159" width="17.109375" customWidth="1"/>
    <col min="6160" max="6161" width="15.6640625" customWidth="1"/>
    <col min="6162" max="6162" width="15" customWidth="1"/>
    <col min="6163" max="6164" width="14.109375" bestFit="1" customWidth="1"/>
    <col min="6165" max="6165" width="11.6640625" bestFit="1" customWidth="1"/>
    <col min="6166" max="6166" width="11.88671875" bestFit="1" customWidth="1"/>
    <col min="6167" max="6167" width="12.5546875" customWidth="1"/>
    <col min="6168" max="6168" width="11.33203125" customWidth="1"/>
    <col min="6169" max="6169" width="11.5546875" customWidth="1"/>
    <col min="6170" max="6170" width="9.33203125" customWidth="1"/>
    <col min="6172" max="6172" width="11.6640625" bestFit="1" customWidth="1"/>
    <col min="6173" max="6173" width="10.6640625" bestFit="1" customWidth="1"/>
    <col min="6401" max="6401" width="11.88671875" customWidth="1"/>
    <col min="6402" max="6402" width="18" customWidth="1"/>
    <col min="6403" max="6403" width="11.6640625" customWidth="1"/>
    <col min="6404" max="6404" width="13.44140625" customWidth="1"/>
    <col min="6405" max="6405" width="10.109375" customWidth="1"/>
    <col min="6406" max="6407" width="12.44140625" customWidth="1"/>
    <col min="6408" max="6408" width="15.44140625" bestFit="1" customWidth="1"/>
    <col min="6409" max="6409" width="17" customWidth="1"/>
    <col min="6410" max="6410" width="12.44140625" customWidth="1"/>
    <col min="6411" max="6411" width="25.88671875" bestFit="1" customWidth="1"/>
    <col min="6412" max="6414" width="18" customWidth="1"/>
    <col min="6415" max="6415" width="17.109375" customWidth="1"/>
    <col min="6416" max="6417" width="15.6640625" customWidth="1"/>
    <col min="6418" max="6418" width="15" customWidth="1"/>
    <col min="6419" max="6420" width="14.109375" bestFit="1" customWidth="1"/>
    <col min="6421" max="6421" width="11.6640625" bestFit="1" customWidth="1"/>
    <col min="6422" max="6422" width="11.88671875" bestFit="1" customWidth="1"/>
    <col min="6423" max="6423" width="12.5546875" customWidth="1"/>
    <col min="6424" max="6424" width="11.33203125" customWidth="1"/>
    <col min="6425" max="6425" width="11.5546875" customWidth="1"/>
    <col min="6426" max="6426" width="9.33203125" customWidth="1"/>
    <col min="6428" max="6428" width="11.6640625" bestFit="1" customWidth="1"/>
    <col min="6429" max="6429" width="10.6640625" bestFit="1" customWidth="1"/>
    <col min="6657" max="6657" width="11.88671875" customWidth="1"/>
    <col min="6658" max="6658" width="18" customWidth="1"/>
    <col min="6659" max="6659" width="11.6640625" customWidth="1"/>
    <col min="6660" max="6660" width="13.44140625" customWidth="1"/>
    <col min="6661" max="6661" width="10.109375" customWidth="1"/>
    <col min="6662" max="6663" width="12.44140625" customWidth="1"/>
    <col min="6664" max="6664" width="15.44140625" bestFit="1" customWidth="1"/>
    <col min="6665" max="6665" width="17" customWidth="1"/>
    <col min="6666" max="6666" width="12.44140625" customWidth="1"/>
    <col min="6667" max="6667" width="25.88671875" bestFit="1" customWidth="1"/>
    <col min="6668" max="6670" width="18" customWidth="1"/>
    <col min="6671" max="6671" width="17.109375" customWidth="1"/>
    <col min="6672" max="6673" width="15.6640625" customWidth="1"/>
    <col min="6674" max="6674" width="15" customWidth="1"/>
    <col min="6675" max="6676" width="14.109375" bestFit="1" customWidth="1"/>
    <col min="6677" max="6677" width="11.6640625" bestFit="1" customWidth="1"/>
    <col min="6678" max="6678" width="11.88671875" bestFit="1" customWidth="1"/>
    <col min="6679" max="6679" width="12.5546875" customWidth="1"/>
    <col min="6680" max="6680" width="11.33203125" customWidth="1"/>
    <col min="6681" max="6681" width="11.5546875" customWidth="1"/>
    <col min="6682" max="6682" width="9.33203125" customWidth="1"/>
    <col min="6684" max="6684" width="11.6640625" bestFit="1" customWidth="1"/>
    <col min="6685" max="6685" width="10.6640625" bestFit="1" customWidth="1"/>
    <col min="6913" max="6913" width="11.88671875" customWidth="1"/>
    <col min="6914" max="6914" width="18" customWidth="1"/>
    <col min="6915" max="6915" width="11.6640625" customWidth="1"/>
    <col min="6916" max="6916" width="13.44140625" customWidth="1"/>
    <col min="6917" max="6917" width="10.109375" customWidth="1"/>
    <col min="6918" max="6919" width="12.44140625" customWidth="1"/>
    <col min="6920" max="6920" width="15.44140625" bestFit="1" customWidth="1"/>
    <col min="6921" max="6921" width="17" customWidth="1"/>
    <col min="6922" max="6922" width="12.44140625" customWidth="1"/>
    <col min="6923" max="6923" width="25.88671875" bestFit="1" customWidth="1"/>
    <col min="6924" max="6926" width="18" customWidth="1"/>
    <col min="6927" max="6927" width="17.109375" customWidth="1"/>
    <col min="6928" max="6929" width="15.6640625" customWidth="1"/>
    <col min="6930" max="6930" width="15" customWidth="1"/>
    <col min="6931" max="6932" width="14.109375" bestFit="1" customWidth="1"/>
    <col min="6933" max="6933" width="11.6640625" bestFit="1" customWidth="1"/>
    <col min="6934" max="6934" width="11.88671875" bestFit="1" customWidth="1"/>
    <col min="6935" max="6935" width="12.5546875" customWidth="1"/>
    <col min="6936" max="6936" width="11.33203125" customWidth="1"/>
    <col min="6937" max="6937" width="11.5546875" customWidth="1"/>
    <col min="6938" max="6938" width="9.33203125" customWidth="1"/>
    <col min="6940" max="6940" width="11.6640625" bestFit="1" customWidth="1"/>
    <col min="6941" max="6941" width="10.6640625" bestFit="1" customWidth="1"/>
    <col min="7169" max="7169" width="11.88671875" customWidth="1"/>
    <col min="7170" max="7170" width="18" customWidth="1"/>
    <col min="7171" max="7171" width="11.6640625" customWidth="1"/>
    <col min="7172" max="7172" width="13.44140625" customWidth="1"/>
    <col min="7173" max="7173" width="10.109375" customWidth="1"/>
    <col min="7174" max="7175" width="12.44140625" customWidth="1"/>
    <col min="7176" max="7176" width="15.44140625" bestFit="1" customWidth="1"/>
    <col min="7177" max="7177" width="17" customWidth="1"/>
    <col min="7178" max="7178" width="12.44140625" customWidth="1"/>
    <col min="7179" max="7179" width="25.88671875" bestFit="1" customWidth="1"/>
    <col min="7180" max="7182" width="18" customWidth="1"/>
    <col min="7183" max="7183" width="17.109375" customWidth="1"/>
    <col min="7184" max="7185" width="15.6640625" customWidth="1"/>
    <col min="7186" max="7186" width="15" customWidth="1"/>
    <col min="7187" max="7188" width="14.109375" bestFit="1" customWidth="1"/>
    <col min="7189" max="7189" width="11.6640625" bestFit="1" customWidth="1"/>
    <col min="7190" max="7190" width="11.88671875" bestFit="1" customWidth="1"/>
    <col min="7191" max="7191" width="12.5546875" customWidth="1"/>
    <col min="7192" max="7192" width="11.33203125" customWidth="1"/>
    <col min="7193" max="7193" width="11.5546875" customWidth="1"/>
    <col min="7194" max="7194" width="9.33203125" customWidth="1"/>
    <col min="7196" max="7196" width="11.6640625" bestFit="1" customWidth="1"/>
    <col min="7197" max="7197" width="10.6640625" bestFit="1" customWidth="1"/>
    <col min="7425" max="7425" width="11.88671875" customWidth="1"/>
    <col min="7426" max="7426" width="18" customWidth="1"/>
    <col min="7427" max="7427" width="11.6640625" customWidth="1"/>
    <col min="7428" max="7428" width="13.44140625" customWidth="1"/>
    <col min="7429" max="7429" width="10.109375" customWidth="1"/>
    <col min="7430" max="7431" width="12.44140625" customWidth="1"/>
    <col min="7432" max="7432" width="15.44140625" bestFit="1" customWidth="1"/>
    <col min="7433" max="7433" width="17" customWidth="1"/>
    <col min="7434" max="7434" width="12.44140625" customWidth="1"/>
    <col min="7435" max="7435" width="25.88671875" bestFit="1" customWidth="1"/>
    <col min="7436" max="7438" width="18" customWidth="1"/>
    <col min="7439" max="7439" width="17.109375" customWidth="1"/>
    <col min="7440" max="7441" width="15.6640625" customWidth="1"/>
    <col min="7442" max="7442" width="15" customWidth="1"/>
    <col min="7443" max="7444" width="14.109375" bestFit="1" customWidth="1"/>
    <col min="7445" max="7445" width="11.6640625" bestFit="1" customWidth="1"/>
    <col min="7446" max="7446" width="11.88671875" bestFit="1" customWidth="1"/>
    <col min="7447" max="7447" width="12.5546875" customWidth="1"/>
    <col min="7448" max="7448" width="11.33203125" customWidth="1"/>
    <col min="7449" max="7449" width="11.5546875" customWidth="1"/>
    <col min="7450" max="7450" width="9.33203125" customWidth="1"/>
    <col min="7452" max="7452" width="11.6640625" bestFit="1" customWidth="1"/>
    <col min="7453" max="7453" width="10.6640625" bestFit="1" customWidth="1"/>
    <col min="7681" max="7681" width="11.88671875" customWidth="1"/>
    <col min="7682" max="7682" width="18" customWidth="1"/>
    <col min="7683" max="7683" width="11.6640625" customWidth="1"/>
    <col min="7684" max="7684" width="13.44140625" customWidth="1"/>
    <col min="7685" max="7685" width="10.109375" customWidth="1"/>
    <col min="7686" max="7687" width="12.44140625" customWidth="1"/>
    <col min="7688" max="7688" width="15.44140625" bestFit="1" customWidth="1"/>
    <col min="7689" max="7689" width="17" customWidth="1"/>
    <col min="7690" max="7690" width="12.44140625" customWidth="1"/>
    <col min="7691" max="7691" width="25.88671875" bestFit="1" customWidth="1"/>
    <col min="7692" max="7694" width="18" customWidth="1"/>
    <col min="7695" max="7695" width="17.109375" customWidth="1"/>
    <col min="7696" max="7697" width="15.6640625" customWidth="1"/>
    <col min="7698" max="7698" width="15" customWidth="1"/>
    <col min="7699" max="7700" width="14.109375" bestFit="1" customWidth="1"/>
    <col min="7701" max="7701" width="11.6640625" bestFit="1" customWidth="1"/>
    <col min="7702" max="7702" width="11.88671875" bestFit="1" customWidth="1"/>
    <col min="7703" max="7703" width="12.5546875" customWidth="1"/>
    <col min="7704" max="7704" width="11.33203125" customWidth="1"/>
    <col min="7705" max="7705" width="11.5546875" customWidth="1"/>
    <col min="7706" max="7706" width="9.33203125" customWidth="1"/>
    <col min="7708" max="7708" width="11.6640625" bestFit="1" customWidth="1"/>
    <col min="7709" max="7709" width="10.6640625" bestFit="1" customWidth="1"/>
    <col min="7937" max="7937" width="11.88671875" customWidth="1"/>
    <col min="7938" max="7938" width="18" customWidth="1"/>
    <col min="7939" max="7939" width="11.6640625" customWidth="1"/>
    <col min="7940" max="7940" width="13.44140625" customWidth="1"/>
    <col min="7941" max="7941" width="10.109375" customWidth="1"/>
    <col min="7942" max="7943" width="12.44140625" customWidth="1"/>
    <col min="7944" max="7944" width="15.44140625" bestFit="1" customWidth="1"/>
    <col min="7945" max="7945" width="17" customWidth="1"/>
    <col min="7946" max="7946" width="12.44140625" customWidth="1"/>
    <col min="7947" max="7947" width="25.88671875" bestFit="1" customWidth="1"/>
    <col min="7948" max="7950" width="18" customWidth="1"/>
    <col min="7951" max="7951" width="17.109375" customWidth="1"/>
    <col min="7952" max="7953" width="15.6640625" customWidth="1"/>
    <col min="7954" max="7954" width="15" customWidth="1"/>
    <col min="7955" max="7956" width="14.109375" bestFit="1" customWidth="1"/>
    <col min="7957" max="7957" width="11.6640625" bestFit="1" customWidth="1"/>
    <col min="7958" max="7958" width="11.88671875" bestFit="1" customWidth="1"/>
    <col min="7959" max="7959" width="12.5546875" customWidth="1"/>
    <col min="7960" max="7960" width="11.33203125" customWidth="1"/>
    <col min="7961" max="7961" width="11.5546875" customWidth="1"/>
    <col min="7962" max="7962" width="9.33203125" customWidth="1"/>
    <col min="7964" max="7964" width="11.6640625" bestFit="1" customWidth="1"/>
    <col min="7965" max="7965" width="10.6640625" bestFit="1" customWidth="1"/>
    <col min="8193" max="8193" width="11.88671875" customWidth="1"/>
    <col min="8194" max="8194" width="18" customWidth="1"/>
    <col min="8195" max="8195" width="11.6640625" customWidth="1"/>
    <col min="8196" max="8196" width="13.44140625" customWidth="1"/>
    <col min="8197" max="8197" width="10.109375" customWidth="1"/>
    <col min="8198" max="8199" width="12.44140625" customWidth="1"/>
    <col min="8200" max="8200" width="15.44140625" bestFit="1" customWidth="1"/>
    <col min="8201" max="8201" width="17" customWidth="1"/>
    <col min="8202" max="8202" width="12.44140625" customWidth="1"/>
    <col min="8203" max="8203" width="25.88671875" bestFit="1" customWidth="1"/>
    <col min="8204" max="8206" width="18" customWidth="1"/>
    <col min="8207" max="8207" width="17.109375" customWidth="1"/>
    <col min="8208" max="8209" width="15.6640625" customWidth="1"/>
    <col min="8210" max="8210" width="15" customWidth="1"/>
    <col min="8211" max="8212" width="14.109375" bestFit="1" customWidth="1"/>
    <col min="8213" max="8213" width="11.6640625" bestFit="1" customWidth="1"/>
    <col min="8214" max="8214" width="11.88671875" bestFit="1" customWidth="1"/>
    <col min="8215" max="8215" width="12.5546875" customWidth="1"/>
    <col min="8216" max="8216" width="11.33203125" customWidth="1"/>
    <col min="8217" max="8217" width="11.5546875" customWidth="1"/>
    <col min="8218" max="8218" width="9.33203125" customWidth="1"/>
    <col min="8220" max="8220" width="11.6640625" bestFit="1" customWidth="1"/>
    <col min="8221" max="8221" width="10.6640625" bestFit="1" customWidth="1"/>
    <col min="8449" max="8449" width="11.88671875" customWidth="1"/>
    <col min="8450" max="8450" width="18" customWidth="1"/>
    <col min="8451" max="8451" width="11.6640625" customWidth="1"/>
    <col min="8452" max="8452" width="13.44140625" customWidth="1"/>
    <col min="8453" max="8453" width="10.109375" customWidth="1"/>
    <col min="8454" max="8455" width="12.44140625" customWidth="1"/>
    <col min="8456" max="8456" width="15.44140625" bestFit="1" customWidth="1"/>
    <col min="8457" max="8457" width="17" customWidth="1"/>
    <col min="8458" max="8458" width="12.44140625" customWidth="1"/>
    <col min="8459" max="8459" width="25.88671875" bestFit="1" customWidth="1"/>
    <col min="8460" max="8462" width="18" customWidth="1"/>
    <col min="8463" max="8463" width="17.109375" customWidth="1"/>
    <col min="8464" max="8465" width="15.6640625" customWidth="1"/>
    <col min="8466" max="8466" width="15" customWidth="1"/>
    <col min="8467" max="8468" width="14.109375" bestFit="1" customWidth="1"/>
    <col min="8469" max="8469" width="11.6640625" bestFit="1" customWidth="1"/>
    <col min="8470" max="8470" width="11.88671875" bestFit="1" customWidth="1"/>
    <col min="8471" max="8471" width="12.5546875" customWidth="1"/>
    <col min="8472" max="8472" width="11.33203125" customWidth="1"/>
    <col min="8473" max="8473" width="11.5546875" customWidth="1"/>
    <col min="8474" max="8474" width="9.33203125" customWidth="1"/>
    <col min="8476" max="8476" width="11.6640625" bestFit="1" customWidth="1"/>
    <col min="8477" max="8477" width="10.6640625" bestFit="1" customWidth="1"/>
    <col min="8705" max="8705" width="11.88671875" customWidth="1"/>
    <col min="8706" max="8706" width="18" customWidth="1"/>
    <col min="8707" max="8707" width="11.6640625" customWidth="1"/>
    <col min="8708" max="8708" width="13.44140625" customWidth="1"/>
    <col min="8709" max="8709" width="10.109375" customWidth="1"/>
    <col min="8710" max="8711" width="12.44140625" customWidth="1"/>
    <col min="8712" max="8712" width="15.44140625" bestFit="1" customWidth="1"/>
    <col min="8713" max="8713" width="17" customWidth="1"/>
    <col min="8714" max="8714" width="12.44140625" customWidth="1"/>
    <col min="8715" max="8715" width="25.88671875" bestFit="1" customWidth="1"/>
    <col min="8716" max="8718" width="18" customWidth="1"/>
    <col min="8719" max="8719" width="17.109375" customWidth="1"/>
    <col min="8720" max="8721" width="15.6640625" customWidth="1"/>
    <col min="8722" max="8722" width="15" customWidth="1"/>
    <col min="8723" max="8724" width="14.109375" bestFit="1" customWidth="1"/>
    <col min="8725" max="8725" width="11.6640625" bestFit="1" customWidth="1"/>
    <col min="8726" max="8726" width="11.88671875" bestFit="1" customWidth="1"/>
    <col min="8727" max="8727" width="12.5546875" customWidth="1"/>
    <col min="8728" max="8728" width="11.33203125" customWidth="1"/>
    <col min="8729" max="8729" width="11.5546875" customWidth="1"/>
    <col min="8730" max="8730" width="9.33203125" customWidth="1"/>
    <col min="8732" max="8732" width="11.6640625" bestFit="1" customWidth="1"/>
    <col min="8733" max="8733" width="10.6640625" bestFit="1" customWidth="1"/>
    <col min="8961" max="8961" width="11.88671875" customWidth="1"/>
    <col min="8962" max="8962" width="18" customWidth="1"/>
    <col min="8963" max="8963" width="11.6640625" customWidth="1"/>
    <col min="8964" max="8964" width="13.44140625" customWidth="1"/>
    <col min="8965" max="8965" width="10.109375" customWidth="1"/>
    <col min="8966" max="8967" width="12.44140625" customWidth="1"/>
    <col min="8968" max="8968" width="15.44140625" bestFit="1" customWidth="1"/>
    <col min="8969" max="8969" width="17" customWidth="1"/>
    <col min="8970" max="8970" width="12.44140625" customWidth="1"/>
    <col min="8971" max="8971" width="25.88671875" bestFit="1" customWidth="1"/>
    <col min="8972" max="8974" width="18" customWidth="1"/>
    <col min="8975" max="8975" width="17.109375" customWidth="1"/>
    <col min="8976" max="8977" width="15.6640625" customWidth="1"/>
    <col min="8978" max="8978" width="15" customWidth="1"/>
    <col min="8979" max="8980" width="14.109375" bestFit="1" customWidth="1"/>
    <col min="8981" max="8981" width="11.6640625" bestFit="1" customWidth="1"/>
    <col min="8982" max="8982" width="11.88671875" bestFit="1" customWidth="1"/>
    <col min="8983" max="8983" width="12.5546875" customWidth="1"/>
    <col min="8984" max="8984" width="11.33203125" customWidth="1"/>
    <col min="8985" max="8985" width="11.5546875" customWidth="1"/>
    <col min="8986" max="8986" width="9.33203125" customWidth="1"/>
    <col min="8988" max="8988" width="11.6640625" bestFit="1" customWidth="1"/>
    <col min="8989" max="8989" width="10.6640625" bestFit="1" customWidth="1"/>
    <col min="9217" max="9217" width="11.88671875" customWidth="1"/>
    <col min="9218" max="9218" width="18" customWidth="1"/>
    <col min="9219" max="9219" width="11.6640625" customWidth="1"/>
    <col min="9220" max="9220" width="13.44140625" customWidth="1"/>
    <col min="9221" max="9221" width="10.109375" customWidth="1"/>
    <col min="9222" max="9223" width="12.44140625" customWidth="1"/>
    <col min="9224" max="9224" width="15.44140625" bestFit="1" customWidth="1"/>
    <col min="9225" max="9225" width="17" customWidth="1"/>
    <col min="9226" max="9226" width="12.44140625" customWidth="1"/>
    <col min="9227" max="9227" width="25.88671875" bestFit="1" customWidth="1"/>
    <col min="9228" max="9230" width="18" customWidth="1"/>
    <col min="9231" max="9231" width="17.109375" customWidth="1"/>
    <col min="9232" max="9233" width="15.6640625" customWidth="1"/>
    <col min="9234" max="9234" width="15" customWidth="1"/>
    <col min="9235" max="9236" width="14.109375" bestFit="1" customWidth="1"/>
    <col min="9237" max="9237" width="11.6640625" bestFit="1" customWidth="1"/>
    <col min="9238" max="9238" width="11.88671875" bestFit="1" customWidth="1"/>
    <col min="9239" max="9239" width="12.5546875" customWidth="1"/>
    <col min="9240" max="9240" width="11.33203125" customWidth="1"/>
    <col min="9241" max="9241" width="11.5546875" customWidth="1"/>
    <col min="9242" max="9242" width="9.33203125" customWidth="1"/>
    <col min="9244" max="9244" width="11.6640625" bestFit="1" customWidth="1"/>
    <col min="9245" max="9245" width="10.6640625" bestFit="1" customWidth="1"/>
    <col min="9473" max="9473" width="11.88671875" customWidth="1"/>
    <col min="9474" max="9474" width="18" customWidth="1"/>
    <col min="9475" max="9475" width="11.6640625" customWidth="1"/>
    <col min="9476" max="9476" width="13.44140625" customWidth="1"/>
    <col min="9477" max="9477" width="10.109375" customWidth="1"/>
    <col min="9478" max="9479" width="12.44140625" customWidth="1"/>
    <col min="9480" max="9480" width="15.44140625" bestFit="1" customWidth="1"/>
    <col min="9481" max="9481" width="17" customWidth="1"/>
    <col min="9482" max="9482" width="12.44140625" customWidth="1"/>
    <col min="9483" max="9483" width="25.88671875" bestFit="1" customWidth="1"/>
    <col min="9484" max="9486" width="18" customWidth="1"/>
    <col min="9487" max="9487" width="17.109375" customWidth="1"/>
    <col min="9488" max="9489" width="15.6640625" customWidth="1"/>
    <col min="9490" max="9490" width="15" customWidth="1"/>
    <col min="9491" max="9492" width="14.109375" bestFit="1" customWidth="1"/>
    <col min="9493" max="9493" width="11.6640625" bestFit="1" customWidth="1"/>
    <col min="9494" max="9494" width="11.88671875" bestFit="1" customWidth="1"/>
    <col min="9495" max="9495" width="12.5546875" customWidth="1"/>
    <col min="9496" max="9496" width="11.33203125" customWidth="1"/>
    <col min="9497" max="9497" width="11.5546875" customWidth="1"/>
    <col min="9498" max="9498" width="9.33203125" customWidth="1"/>
    <col min="9500" max="9500" width="11.6640625" bestFit="1" customWidth="1"/>
    <col min="9501" max="9501" width="10.6640625" bestFit="1" customWidth="1"/>
    <col min="9729" max="9729" width="11.88671875" customWidth="1"/>
    <col min="9730" max="9730" width="18" customWidth="1"/>
    <col min="9731" max="9731" width="11.6640625" customWidth="1"/>
    <col min="9732" max="9732" width="13.44140625" customWidth="1"/>
    <col min="9733" max="9733" width="10.109375" customWidth="1"/>
    <col min="9734" max="9735" width="12.44140625" customWidth="1"/>
    <col min="9736" max="9736" width="15.44140625" bestFit="1" customWidth="1"/>
    <col min="9737" max="9737" width="17" customWidth="1"/>
    <col min="9738" max="9738" width="12.44140625" customWidth="1"/>
    <col min="9739" max="9739" width="25.88671875" bestFit="1" customWidth="1"/>
    <col min="9740" max="9742" width="18" customWidth="1"/>
    <col min="9743" max="9743" width="17.109375" customWidth="1"/>
    <col min="9744" max="9745" width="15.6640625" customWidth="1"/>
    <col min="9746" max="9746" width="15" customWidth="1"/>
    <col min="9747" max="9748" width="14.109375" bestFit="1" customWidth="1"/>
    <col min="9749" max="9749" width="11.6640625" bestFit="1" customWidth="1"/>
    <col min="9750" max="9750" width="11.88671875" bestFit="1" customWidth="1"/>
    <col min="9751" max="9751" width="12.5546875" customWidth="1"/>
    <col min="9752" max="9752" width="11.33203125" customWidth="1"/>
    <col min="9753" max="9753" width="11.5546875" customWidth="1"/>
    <col min="9754" max="9754" width="9.33203125" customWidth="1"/>
    <col min="9756" max="9756" width="11.6640625" bestFit="1" customWidth="1"/>
    <col min="9757" max="9757" width="10.6640625" bestFit="1" customWidth="1"/>
    <col min="9985" max="9985" width="11.88671875" customWidth="1"/>
    <col min="9986" max="9986" width="18" customWidth="1"/>
    <col min="9987" max="9987" width="11.6640625" customWidth="1"/>
    <col min="9988" max="9988" width="13.44140625" customWidth="1"/>
    <col min="9989" max="9989" width="10.109375" customWidth="1"/>
    <col min="9990" max="9991" width="12.44140625" customWidth="1"/>
    <col min="9992" max="9992" width="15.44140625" bestFit="1" customWidth="1"/>
    <col min="9993" max="9993" width="17" customWidth="1"/>
    <col min="9994" max="9994" width="12.44140625" customWidth="1"/>
    <col min="9995" max="9995" width="25.88671875" bestFit="1" customWidth="1"/>
    <col min="9996" max="9998" width="18" customWidth="1"/>
    <col min="9999" max="9999" width="17.109375" customWidth="1"/>
    <col min="10000" max="10001" width="15.6640625" customWidth="1"/>
    <col min="10002" max="10002" width="15" customWidth="1"/>
    <col min="10003" max="10004" width="14.109375" bestFit="1" customWidth="1"/>
    <col min="10005" max="10005" width="11.6640625" bestFit="1" customWidth="1"/>
    <col min="10006" max="10006" width="11.88671875" bestFit="1" customWidth="1"/>
    <col min="10007" max="10007" width="12.5546875" customWidth="1"/>
    <col min="10008" max="10008" width="11.33203125" customWidth="1"/>
    <col min="10009" max="10009" width="11.5546875" customWidth="1"/>
    <col min="10010" max="10010" width="9.33203125" customWidth="1"/>
    <col min="10012" max="10012" width="11.6640625" bestFit="1" customWidth="1"/>
    <col min="10013" max="10013" width="10.6640625" bestFit="1" customWidth="1"/>
    <col min="10241" max="10241" width="11.88671875" customWidth="1"/>
    <col min="10242" max="10242" width="18" customWidth="1"/>
    <col min="10243" max="10243" width="11.6640625" customWidth="1"/>
    <col min="10244" max="10244" width="13.44140625" customWidth="1"/>
    <col min="10245" max="10245" width="10.109375" customWidth="1"/>
    <col min="10246" max="10247" width="12.44140625" customWidth="1"/>
    <col min="10248" max="10248" width="15.44140625" bestFit="1" customWidth="1"/>
    <col min="10249" max="10249" width="17" customWidth="1"/>
    <col min="10250" max="10250" width="12.44140625" customWidth="1"/>
    <col min="10251" max="10251" width="25.88671875" bestFit="1" customWidth="1"/>
    <col min="10252" max="10254" width="18" customWidth="1"/>
    <col min="10255" max="10255" width="17.109375" customWidth="1"/>
    <col min="10256" max="10257" width="15.6640625" customWidth="1"/>
    <col min="10258" max="10258" width="15" customWidth="1"/>
    <col min="10259" max="10260" width="14.109375" bestFit="1" customWidth="1"/>
    <col min="10261" max="10261" width="11.6640625" bestFit="1" customWidth="1"/>
    <col min="10262" max="10262" width="11.88671875" bestFit="1" customWidth="1"/>
    <col min="10263" max="10263" width="12.5546875" customWidth="1"/>
    <col min="10264" max="10264" width="11.33203125" customWidth="1"/>
    <col min="10265" max="10265" width="11.5546875" customWidth="1"/>
    <col min="10266" max="10266" width="9.33203125" customWidth="1"/>
    <col min="10268" max="10268" width="11.6640625" bestFit="1" customWidth="1"/>
    <col min="10269" max="10269" width="10.6640625" bestFit="1" customWidth="1"/>
    <col min="10497" max="10497" width="11.88671875" customWidth="1"/>
    <col min="10498" max="10498" width="18" customWidth="1"/>
    <col min="10499" max="10499" width="11.6640625" customWidth="1"/>
    <col min="10500" max="10500" width="13.44140625" customWidth="1"/>
    <col min="10501" max="10501" width="10.109375" customWidth="1"/>
    <col min="10502" max="10503" width="12.44140625" customWidth="1"/>
    <col min="10504" max="10504" width="15.44140625" bestFit="1" customWidth="1"/>
    <col min="10505" max="10505" width="17" customWidth="1"/>
    <col min="10506" max="10506" width="12.44140625" customWidth="1"/>
    <col min="10507" max="10507" width="25.88671875" bestFit="1" customWidth="1"/>
    <col min="10508" max="10510" width="18" customWidth="1"/>
    <col min="10511" max="10511" width="17.109375" customWidth="1"/>
    <col min="10512" max="10513" width="15.6640625" customWidth="1"/>
    <col min="10514" max="10514" width="15" customWidth="1"/>
    <col min="10515" max="10516" width="14.109375" bestFit="1" customWidth="1"/>
    <col min="10517" max="10517" width="11.6640625" bestFit="1" customWidth="1"/>
    <col min="10518" max="10518" width="11.88671875" bestFit="1" customWidth="1"/>
    <col min="10519" max="10519" width="12.5546875" customWidth="1"/>
    <col min="10520" max="10520" width="11.33203125" customWidth="1"/>
    <col min="10521" max="10521" width="11.5546875" customWidth="1"/>
    <col min="10522" max="10522" width="9.33203125" customWidth="1"/>
    <col min="10524" max="10524" width="11.6640625" bestFit="1" customWidth="1"/>
    <col min="10525" max="10525" width="10.6640625" bestFit="1" customWidth="1"/>
    <col min="10753" max="10753" width="11.88671875" customWidth="1"/>
    <col min="10754" max="10754" width="18" customWidth="1"/>
    <col min="10755" max="10755" width="11.6640625" customWidth="1"/>
    <col min="10756" max="10756" width="13.44140625" customWidth="1"/>
    <col min="10757" max="10757" width="10.109375" customWidth="1"/>
    <col min="10758" max="10759" width="12.44140625" customWidth="1"/>
    <col min="10760" max="10760" width="15.44140625" bestFit="1" customWidth="1"/>
    <col min="10761" max="10761" width="17" customWidth="1"/>
    <col min="10762" max="10762" width="12.44140625" customWidth="1"/>
    <col min="10763" max="10763" width="25.88671875" bestFit="1" customWidth="1"/>
    <col min="10764" max="10766" width="18" customWidth="1"/>
    <col min="10767" max="10767" width="17.109375" customWidth="1"/>
    <col min="10768" max="10769" width="15.6640625" customWidth="1"/>
    <col min="10770" max="10770" width="15" customWidth="1"/>
    <col min="10771" max="10772" width="14.109375" bestFit="1" customWidth="1"/>
    <col min="10773" max="10773" width="11.6640625" bestFit="1" customWidth="1"/>
    <col min="10774" max="10774" width="11.88671875" bestFit="1" customWidth="1"/>
    <col min="10775" max="10775" width="12.5546875" customWidth="1"/>
    <col min="10776" max="10776" width="11.33203125" customWidth="1"/>
    <col min="10777" max="10777" width="11.5546875" customWidth="1"/>
    <col min="10778" max="10778" width="9.33203125" customWidth="1"/>
    <col min="10780" max="10780" width="11.6640625" bestFit="1" customWidth="1"/>
    <col min="10781" max="10781" width="10.6640625" bestFit="1" customWidth="1"/>
    <col min="11009" max="11009" width="11.88671875" customWidth="1"/>
    <col min="11010" max="11010" width="18" customWidth="1"/>
    <col min="11011" max="11011" width="11.6640625" customWidth="1"/>
    <col min="11012" max="11012" width="13.44140625" customWidth="1"/>
    <col min="11013" max="11013" width="10.109375" customWidth="1"/>
    <col min="11014" max="11015" width="12.44140625" customWidth="1"/>
    <col min="11016" max="11016" width="15.44140625" bestFit="1" customWidth="1"/>
    <col min="11017" max="11017" width="17" customWidth="1"/>
    <col min="11018" max="11018" width="12.44140625" customWidth="1"/>
    <col min="11019" max="11019" width="25.88671875" bestFit="1" customWidth="1"/>
    <col min="11020" max="11022" width="18" customWidth="1"/>
    <col min="11023" max="11023" width="17.109375" customWidth="1"/>
    <col min="11024" max="11025" width="15.6640625" customWidth="1"/>
    <col min="11026" max="11026" width="15" customWidth="1"/>
    <col min="11027" max="11028" width="14.109375" bestFit="1" customWidth="1"/>
    <col min="11029" max="11029" width="11.6640625" bestFit="1" customWidth="1"/>
    <col min="11030" max="11030" width="11.88671875" bestFit="1" customWidth="1"/>
    <col min="11031" max="11031" width="12.5546875" customWidth="1"/>
    <col min="11032" max="11032" width="11.33203125" customWidth="1"/>
    <col min="11033" max="11033" width="11.5546875" customWidth="1"/>
    <col min="11034" max="11034" width="9.33203125" customWidth="1"/>
    <col min="11036" max="11036" width="11.6640625" bestFit="1" customWidth="1"/>
    <col min="11037" max="11037" width="10.6640625" bestFit="1" customWidth="1"/>
    <col min="11265" max="11265" width="11.88671875" customWidth="1"/>
    <col min="11266" max="11266" width="18" customWidth="1"/>
    <col min="11267" max="11267" width="11.6640625" customWidth="1"/>
    <col min="11268" max="11268" width="13.44140625" customWidth="1"/>
    <col min="11269" max="11269" width="10.109375" customWidth="1"/>
    <col min="11270" max="11271" width="12.44140625" customWidth="1"/>
    <col min="11272" max="11272" width="15.44140625" bestFit="1" customWidth="1"/>
    <col min="11273" max="11273" width="17" customWidth="1"/>
    <col min="11274" max="11274" width="12.44140625" customWidth="1"/>
    <col min="11275" max="11275" width="25.88671875" bestFit="1" customWidth="1"/>
    <col min="11276" max="11278" width="18" customWidth="1"/>
    <col min="11279" max="11279" width="17.109375" customWidth="1"/>
    <col min="11280" max="11281" width="15.6640625" customWidth="1"/>
    <col min="11282" max="11282" width="15" customWidth="1"/>
    <col min="11283" max="11284" width="14.109375" bestFit="1" customWidth="1"/>
    <col min="11285" max="11285" width="11.6640625" bestFit="1" customWidth="1"/>
    <col min="11286" max="11286" width="11.88671875" bestFit="1" customWidth="1"/>
    <col min="11287" max="11287" width="12.5546875" customWidth="1"/>
    <col min="11288" max="11288" width="11.33203125" customWidth="1"/>
    <col min="11289" max="11289" width="11.5546875" customWidth="1"/>
    <col min="11290" max="11290" width="9.33203125" customWidth="1"/>
    <col min="11292" max="11292" width="11.6640625" bestFit="1" customWidth="1"/>
    <col min="11293" max="11293" width="10.6640625" bestFit="1" customWidth="1"/>
    <col min="11521" max="11521" width="11.88671875" customWidth="1"/>
    <col min="11522" max="11522" width="18" customWidth="1"/>
    <col min="11523" max="11523" width="11.6640625" customWidth="1"/>
    <col min="11524" max="11524" width="13.44140625" customWidth="1"/>
    <col min="11525" max="11525" width="10.109375" customWidth="1"/>
    <col min="11526" max="11527" width="12.44140625" customWidth="1"/>
    <col min="11528" max="11528" width="15.44140625" bestFit="1" customWidth="1"/>
    <col min="11529" max="11529" width="17" customWidth="1"/>
    <col min="11530" max="11530" width="12.44140625" customWidth="1"/>
    <col min="11531" max="11531" width="25.88671875" bestFit="1" customWidth="1"/>
    <col min="11532" max="11534" width="18" customWidth="1"/>
    <col min="11535" max="11535" width="17.109375" customWidth="1"/>
    <col min="11536" max="11537" width="15.6640625" customWidth="1"/>
    <col min="11538" max="11538" width="15" customWidth="1"/>
    <col min="11539" max="11540" width="14.109375" bestFit="1" customWidth="1"/>
    <col min="11541" max="11541" width="11.6640625" bestFit="1" customWidth="1"/>
    <col min="11542" max="11542" width="11.88671875" bestFit="1" customWidth="1"/>
    <col min="11543" max="11543" width="12.5546875" customWidth="1"/>
    <col min="11544" max="11544" width="11.33203125" customWidth="1"/>
    <col min="11545" max="11545" width="11.5546875" customWidth="1"/>
    <col min="11546" max="11546" width="9.33203125" customWidth="1"/>
    <col min="11548" max="11548" width="11.6640625" bestFit="1" customWidth="1"/>
    <col min="11549" max="11549" width="10.6640625" bestFit="1" customWidth="1"/>
    <col min="11777" max="11777" width="11.88671875" customWidth="1"/>
    <col min="11778" max="11778" width="18" customWidth="1"/>
    <col min="11779" max="11779" width="11.6640625" customWidth="1"/>
    <col min="11780" max="11780" width="13.44140625" customWidth="1"/>
    <col min="11781" max="11781" width="10.109375" customWidth="1"/>
    <col min="11782" max="11783" width="12.44140625" customWidth="1"/>
    <col min="11784" max="11784" width="15.44140625" bestFit="1" customWidth="1"/>
    <col min="11785" max="11785" width="17" customWidth="1"/>
    <col min="11786" max="11786" width="12.44140625" customWidth="1"/>
    <col min="11787" max="11787" width="25.88671875" bestFit="1" customWidth="1"/>
    <col min="11788" max="11790" width="18" customWidth="1"/>
    <col min="11791" max="11791" width="17.109375" customWidth="1"/>
    <col min="11792" max="11793" width="15.6640625" customWidth="1"/>
    <col min="11794" max="11794" width="15" customWidth="1"/>
    <col min="11795" max="11796" width="14.109375" bestFit="1" customWidth="1"/>
    <col min="11797" max="11797" width="11.6640625" bestFit="1" customWidth="1"/>
    <col min="11798" max="11798" width="11.88671875" bestFit="1" customWidth="1"/>
    <col min="11799" max="11799" width="12.5546875" customWidth="1"/>
    <col min="11800" max="11800" width="11.33203125" customWidth="1"/>
    <col min="11801" max="11801" width="11.5546875" customWidth="1"/>
    <col min="11802" max="11802" width="9.33203125" customWidth="1"/>
    <col min="11804" max="11804" width="11.6640625" bestFit="1" customWidth="1"/>
    <col min="11805" max="11805" width="10.6640625" bestFit="1" customWidth="1"/>
    <col min="12033" max="12033" width="11.88671875" customWidth="1"/>
    <col min="12034" max="12034" width="18" customWidth="1"/>
    <col min="12035" max="12035" width="11.6640625" customWidth="1"/>
    <col min="12036" max="12036" width="13.44140625" customWidth="1"/>
    <col min="12037" max="12037" width="10.109375" customWidth="1"/>
    <col min="12038" max="12039" width="12.44140625" customWidth="1"/>
    <col min="12040" max="12040" width="15.44140625" bestFit="1" customWidth="1"/>
    <col min="12041" max="12041" width="17" customWidth="1"/>
    <col min="12042" max="12042" width="12.44140625" customWidth="1"/>
    <col min="12043" max="12043" width="25.88671875" bestFit="1" customWidth="1"/>
    <col min="12044" max="12046" width="18" customWidth="1"/>
    <col min="12047" max="12047" width="17.109375" customWidth="1"/>
    <col min="12048" max="12049" width="15.6640625" customWidth="1"/>
    <col min="12050" max="12050" width="15" customWidth="1"/>
    <col min="12051" max="12052" width="14.109375" bestFit="1" customWidth="1"/>
    <col min="12053" max="12053" width="11.6640625" bestFit="1" customWidth="1"/>
    <col min="12054" max="12054" width="11.88671875" bestFit="1" customWidth="1"/>
    <col min="12055" max="12055" width="12.5546875" customWidth="1"/>
    <col min="12056" max="12056" width="11.33203125" customWidth="1"/>
    <col min="12057" max="12057" width="11.5546875" customWidth="1"/>
    <col min="12058" max="12058" width="9.33203125" customWidth="1"/>
    <col min="12060" max="12060" width="11.6640625" bestFit="1" customWidth="1"/>
    <col min="12061" max="12061" width="10.6640625" bestFit="1" customWidth="1"/>
    <col min="12289" max="12289" width="11.88671875" customWidth="1"/>
    <col min="12290" max="12290" width="18" customWidth="1"/>
    <col min="12291" max="12291" width="11.6640625" customWidth="1"/>
    <col min="12292" max="12292" width="13.44140625" customWidth="1"/>
    <col min="12293" max="12293" width="10.109375" customWidth="1"/>
    <col min="12294" max="12295" width="12.44140625" customWidth="1"/>
    <col min="12296" max="12296" width="15.44140625" bestFit="1" customWidth="1"/>
    <col min="12297" max="12297" width="17" customWidth="1"/>
    <col min="12298" max="12298" width="12.44140625" customWidth="1"/>
    <col min="12299" max="12299" width="25.88671875" bestFit="1" customWidth="1"/>
    <col min="12300" max="12302" width="18" customWidth="1"/>
    <col min="12303" max="12303" width="17.109375" customWidth="1"/>
    <col min="12304" max="12305" width="15.6640625" customWidth="1"/>
    <col min="12306" max="12306" width="15" customWidth="1"/>
    <col min="12307" max="12308" width="14.109375" bestFit="1" customWidth="1"/>
    <col min="12309" max="12309" width="11.6640625" bestFit="1" customWidth="1"/>
    <col min="12310" max="12310" width="11.88671875" bestFit="1" customWidth="1"/>
    <col min="12311" max="12311" width="12.5546875" customWidth="1"/>
    <col min="12312" max="12312" width="11.33203125" customWidth="1"/>
    <col min="12313" max="12313" width="11.5546875" customWidth="1"/>
    <col min="12314" max="12314" width="9.33203125" customWidth="1"/>
    <col min="12316" max="12316" width="11.6640625" bestFit="1" customWidth="1"/>
    <col min="12317" max="12317" width="10.6640625" bestFit="1" customWidth="1"/>
    <col min="12545" max="12545" width="11.88671875" customWidth="1"/>
    <col min="12546" max="12546" width="18" customWidth="1"/>
    <col min="12547" max="12547" width="11.6640625" customWidth="1"/>
    <col min="12548" max="12548" width="13.44140625" customWidth="1"/>
    <col min="12549" max="12549" width="10.109375" customWidth="1"/>
    <col min="12550" max="12551" width="12.44140625" customWidth="1"/>
    <col min="12552" max="12552" width="15.44140625" bestFit="1" customWidth="1"/>
    <col min="12553" max="12553" width="17" customWidth="1"/>
    <col min="12554" max="12554" width="12.44140625" customWidth="1"/>
    <col min="12555" max="12555" width="25.88671875" bestFit="1" customWidth="1"/>
    <col min="12556" max="12558" width="18" customWidth="1"/>
    <col min="12559" max="12559" width="17.109375" customWidth="1"/>
    <col min="12560" max="12561" width="15.6640625" customWidth="1"/>
    <col min="12562" max="12562" width="15" customWidth="1"/>
    <col min="12563" max="12564" width="14.109375" bestFit="1" customWidth="1"/>
    <col min="12565" max="12565" width="11.6640625" bestFit="1" customWidth="1"/>
    <col min="12566" max="12566" width="11.88671875" bestFit="1" customWidth="1"/>
    <col min="12567" max="12567" width="12.5546875" customWidth="1"/>
    <col min="12568" max="12568" width="11.33203125" customWidth="1"/>
    <col min="12569" max="12569" width="11.5546875" customWidth="1"/>
    <col min="12570" max="12570" width="9.33203125" customWidth="1"/>
    <col min="12572" max="12572" width="11.6640625" bestFit="1" customWidth="1"/>
    <col min="12573" max="12573" width="10.6640625" bestFit="1" customWidth="1"/>
    <col min="12801" max="12801" width="11.88671875" customWidth="1"/>
    <col min="12802" max="12802" width="18" customWidth="1"/>
    <col min="12803" max="12803" width="11.6640625" customWidth="1"/>
    <col min="12804" max="12804" width="13.44140625" customWidth="1"/>
    <col min="12805" max="12805" width="10.109375" customWidth="1"/>
    <col min="12806" max="12807" width="12.44140625" customWidth="1"/>
    <col min="12808" max="12808" width="15.44140625" bestFit="1" customWidth="1"/>
    <col min="12809" max="12809" width="17" customWidth="1"/>
    <col min="12810" max="12810" width="12.44140625" customWidth="1"/>
    <col min="12811" max="12811" width="25.88671875" bestFit="1" customWidth="1"/>
    <col min="12812" max="12814" width="18" customWidth="1"/>
    <col min="12815" max="12815" width="17.109375" customWidth="1"/>
    <col min="12816" max="12817" width="15.6640625" customWidth="1"/>
    <col min="12818" max="12818" width="15" customWidth="1"/>
    <col min="12819" max="12820" width="14.109375" bestFit="1" customWidth="1"/>
    <col min="12821" max="12821" width="11.6640625" bestFit="1" customWidth="1"/>
    <col min="12822" max="12822" width="11.88671875" bestFit="1" customWidth="1"/>
    <col min="12823" max="12823" width="12.5546875" customWidth="1"/>
    <col min="12824" max="12824" width="11.33203125" customWidth="1"/>
    <col min="12825" max="12825" width="11.5546875" customWidth="1"/>
    <col min="12826" max="12826" width="9.33203125" customWidth="1"/>
    <col min="12828" max="12828" width="11.6640625" bestFit="1" customWidth="1"/>
    <col min="12829" max="12829" width="10.6640625" bestFit="1" customWidth="1"/>
    <col min="13057" max="13057" width="11.88671875" customWidth="1"/>
    <col min="13058" max="13058" width="18" customWidth="1"/>
    <col min="13059" max="13059" width="11.6640625" customWidth="1"/>
    <col min="13060" max="13060" width="13.44140625" customWidth="1"/>
    <col min="13061" max="13061" width="10.109375" customWidth="1"/>
    <col min="13062" max="13063" width="12.44140625" customWidth="1"/>
    <col min="13064" max="13064" width="15.44140625" bestFit="1" customWidth="1"/>
    <col min="13065" max="13065" width="17" customWidth="1"/>
    <col min="13066" max="13066" width="12.44140625" customWidth="1"/>
    <col min="13067" max="13067" width="25.88671875" bestFit="1" customWidth="1"/>
    <col min="13068" max="13070" width="18" customWidth="1"/>
    <col min="13071" max="13071" width="17.109375" customWidth="1"/>
    <col min="13072" max="13073" width="15.6640625" customWidth="1"/>
    <col min="13074" max="13074" width="15" customWidth="1"/>
    <col min="13075" max="13076" width="14.109375" bestFit="1" customWidth="1"/>
    <col min="13077" max="13077" width="11.6640625" bestFit="1" customWidth="1"/>
    <col min="13078" max="13078" width="11.88671875" bestFit="1" customWidth="1"/>
    <col min="13079" max="13079" width="12.5546875" customWidth="1"/>
    <col min="13080" max="13080" width="11.33203125" customWidth="1"/>
    <col min="13081" max="13081" width="11.5546875" customWidth="1"/>
    <col min="13082" max="13082" width="9.33203125" customWidth="1"/>
    <col min="13084" max="13084" width="11.6640625" bestFit="1" customWidth="1"/>
    <col min="13085" max="13085" width="10.6640625" bestFit="1" customWidth="1"/>
    <col min="13313" max="13313" width="11.88671875" customWidth="1"/>
    <col min="13314" max="13314" width="18" customWidth="1"/>
    <col min="13315" max="13315" width="11.6640625" customWidth="1"/>
    <col min="13316" max="13316" width="13.44140625" customWidth="1"/>
    <col min="13317" max="13317" width="10.109375" customWidth="1"/>
    <col min="13318" max="13319" width="12.44140625" customWidth="1"/>
    <col min="13320" max="13320" width="15.44140625" bestFit="1" customWidth="1"/>
    <col min="13321" max="13321" width="17" customWidth="1"/>
    <col min="13322" max="13322" width="12.44140625" customWidth="1"/>
    <col min="13323" max="13323" width="25.88671875" bestFit="1" customWidth="1"/>
    <col min="13324" max="13326" width="18" customWidth="1"/>
    <col min="13327" max="13327" width="17.109375" customWidth="1"/>
    <col min="13328" max="13329" width="15.6640625" customWidth="1"/>
    <col min="13330" max="13330" width="15" customWidth="1"/>
    <col min="13331" max="13332" width="14.109375" bestFit="1" customWidth="1"/>
    <col min="13333" max="13333" width="11.6640625" bestFit="1" customWidth="1"/>
    <col min="13334" max="13334" width="11.88671875" bestFit="1" customWidth="1"/>
    <col min="13335" max="13335" width="12.5546875" customWidth="1"/>
    <col min="13336" max="13336" width="11.33203125" customWidth="1"/>
    <col min="13337" max="13337" width="11.5546875" customWidth="1"/>
    <col min="13338" max="13338" width="9.33203125" customWidth="1"/>
    <col min="13340" max="13340" width="11.6640625" bestFit="1" customWidth="1"/>
    <col min="13341" max="13341" width="10.6640625" bestFit="1" customWidth="1"/>
    <col min="13569" max="13569" width="11.88671875" customWidth="1"/>
    <col min="13570" max="13570" width="18" customWidth="1"/>
    <col min="13571" max="13571" width="11.6640625" customWidth="1"/>
    <col min="13572" max="13572" width="13.44140625" customWidth="1"/>
    <col min="13573" max="13573" width="10.109375" customWidth="1"/>
    <col min="13574" max="13575" width="12.44140625" customWidth="1"/>
    <col min="13576" max="13576" width="15.44140625" bestFit="1" customWidth="1"/>
    <col min="13577" max="13577" width="17" customWidth="1"/>
    <col min="13578" max="13578" width="12.44140625" customWidth="1"/>
    <col min="13579" max="13579" width="25.88671875" bestFit="1" customWidth="1"/>
    <col min="13580" max="13582" width="18" customWidth="1"/>
    <col min="13583" max="13583" width="17.109375" customWidth="1"/>
    <col min="13584" max="13585" width="15.6640625" customWidth="1"/>
    <col min="13586" max="13586" width="15" customWidth="1"/>
    <col min="13587" max="13588" width="14.109375" bestFit="1" customWidth="1"/>
    <col min="13589" max="13589" width="11.6640625" bestFit="1" customWidth="1"/>
    <col min="13590" max="13590" width="11.88671875" bestFit="1" customWidth="1"/>
    <col min="13591" max="13591" width="12.5546875" customWidth="1"/>
    <col min="13592" max="13592" width="11.33203125" customWidth="1"/>
    <col min="13593" max="13593" width="11.5546875" customWidth="1"/>
    <col min="13594" max="13594" width="9.33203125" customWidth="1"/>
    <col min="13596" max="13596" width="11.6640625" bestFit="1" customWidth="1"/>
    <col min="13597" max="13597" width="10.6640625" bestFit="1" customWidth="1"/>
    <col min="13825" max="13825" width="11.88671875" customWidth="1"/>
    <col min="13826" max="13826" width="18" customWidth="1"/>
    <col min="13827" max="13827" width="11.6640625" customWidth="1"/>
    <col min="13828" max="13828" width="13.44140625" customWidth="1"/>
    <col min="13829" max="13829" width="10.109375" customWidth="1"/>
    <col min="13830" max="13831" width="12.44140625" customWidth="1"/>
    <col min="13832" max="13832" width="15.44140625" bestFit="1" customWidth="1"/>
    <col min="13833" max="13833" width="17" customWidth="1"/>
    <col min="13834" max="13834" width="12.44140625" customWidth="1"/>
    <col min="13835" max="13835" width="25.88671875" bestFit="1" customWidth="1"/>
    <col min="13836" max="13838" width="18" customWidth="1"/>
    <col min="13839" max="13839" width="17.109375" customWidth="1"/>
    <col min="13840" max="13841" width="15.6640625" customWidth="1"/>
    <col min="13842" max="13842" width="15" customWidth="1"/>
    <col min="13843" max="13844" width="14.109375" bestFit="1" customWidth="1"/>
    <col min="13845" max="13845" width="11.6640625" bestFit="1" customWidth="1"/>
    <col min="13846" max="13846" width="11.88671875" bestFit="1" customWidth="1"/>
    <col min="13847" max="13847" width="12.5546875" customWidth="1"/>
    <col min="13848" max="13848" width="11.33203125" customWidth="1"/>
    <col min="13849" max="13849" width="11.5546875" customWidth="1"/>
    <col min="13850" max="13850" width="9.33203125" customWidth="1"/>
    <col min="13852" max="13852" width="11.6640625" bestFit="1" customWidth="1"/>
    <col min="13853" max="13853" width="10.6640625" bestFit="1" customWidth="1"/>
    <col min="14081" max="14081" width="11.88671875" customWidth="1"/>
    <col min="14082" max="14082" width="18" customWidth="1"/>
    <col min="14083" max="14083" width="11.6640625" customWidth="1"/>
    <col min="14084" max="14084" width="13.44140625" customWidth="1"/>
    <col min="14085" max="14085" width="10.109375" customWidth="1"/>
    <col min="14086" max="14087" width="12.44140625" customWidth="1"/>
    <col min="14088" max="14088" width="15.44140625" bestFit="1" customWidth="1"/>
    <col min="14089" max="14089" width="17" customWidth="1"/>
    <col min="14090" max="14090" width="12.44140625" customWidth="1"/>
    <col min="14091" max="14091" width="25.88671875" bestFit="1" customWidth="1"/>
    <col min="14092" max="14094" width="18" customWidth="1"/>
    <col min="14095" max="14095" width="17.109375" customWidth="1"/>
    <col min="14096" max="14097" width="15.6640625" customWidth="1"/>
    <col min="14098" max="14098" width="15" customWidth="1"/>
    <col min="14099" max="14100" width="14.109375" bestFit="1" customWidth="1"/>
    <col min="14101" max="14101" width="11.6640625" bestFit="1" customWidth="1"/>
    <col min="14102" max="14102" width="11.88671875" bestFit="1" customWidth="1"/>
    <col min="14103" max="14103" width="12.5546875" customWidth="1"/>
    <col min="14104" max="14104" width="11.33203125" customWidth="1"/>
    <col min="14105" max="14105" width="11.5546875" customWidth="1"/>
    <col min="14106" max="14106" width="9.33203125" customWidth="1"/>
    <col min="14108" max="14108" width="11.6640625" bestFit="1" customWidth="1"/>
    <col min="14109" max="14109" width="10.6640625" bestFit="1" customWidth="1"/>
    <col min="14337" max="14337" width="11.88671875" customWidth="1"/>
    <col min="14338" max="14338" width="18" customWidth="1"/>
    <col min="14339" max="14339" width="11.6640625" customWidth="1"/>
    <col min="14340" max="14340" width="13.44140625" customWidth="1"/>
    <col min="14341" max="14341" width="10.109375" customWidth="1"/>
    <col min="14342" max="14343" width="12.44140625" customWidth="1"/>
    <col min="14344" max="14344" width="15.44140625" bestFit="1" customWidth="1"/>
    <col min="14345" max="14345" width="17" customWidth="1"/>
    <col min="14346" max="14346" width="12.44140625" customWidth="1"/>
    <col min="14347" max="14347" width="25.88671875" bestFit="1" customWidth="1"/>
    <col min="14348" max="14350" width="18" customWidth="1"/>
    <col min="14351" max="14351" width="17.109375" customWidth="1"/>
    <col min="14352" max="14353" width="15.6640625" customWidth="1"/>
    <col min="14354" max="14354" width="15" customWidth="1"/>
    <col min="14355" max="14356" width="14.109375" bestFit="1" customWidth="1"/>
    <col min="14357" max="14357" width="11.6640625" bestFit="1" customWidth="1"/>
    <col min="14358" max="14358" width="11.88671875" bestFit="1" customWidth="1"/>
    <col min="14359" max="14359" width="12.5546875" customWidth="1"/>
    <col min="14360" max="14360" width="11.33203125" customWidth="1"/>
    <col min="14361" max="14361" width="11.5546875" customWidth="1"/>
    <col min="14362" max="14362" width="9.33203125" customWidth="1"/>
    <col min="14364" max="14364" width="11.6640625" bestFit="1" customWidth="1"/>
    <col min="14365" max="14365" width="10.6640625" bestFit="1" customWidth="1"/>
    <col min="14593" max="14593" width="11.88671875" customWidth="1"/>
    <col min="14594" max="14594" width="18" customWidth="1"/>
    <col min="14595" max="14595" width="11.6640625" customWidth="1"/>
    <col min="14596" max="14596" width="13.44140625" customWidth="1"/>
    <col min="14597" max="14597" width="10.109375" customWidth="1"/>
    <col min="14598" max="14599" width="12.44140625" customWidth="1"/>
    <col min="14600" max="14600" width="15.44140625" bestFit="1" customWidth="1"/>
    <col min="14601" max="14601" width="17" customWidth="1"/>
    <col min="14602" max="14602" width="12.44140625" customWidth="1"/>
    <col min="14603" max="14603" width="25.88671875" bestFit="1" customWidth="1"/>
    <col min="14604" max="14606" width="18" customWidth="1"/>
    <col min="14607" max="14607" width="17.109375" customWidth="1"/>
    <col min="14608" max="14609" width="15.6640625" customWidth="1"/>
    <col min="14610" max="14610" width="15" customWidth="1"/>
    <col min="14611" max="14612" width="14.109375" bestFit="1" customWidth="1"/>
    <col min="14613" max="14613" width="11.6640625" bestFit="1" customWidth="1"/>
    <col min="14614" max="14614" width="11.88671875" bestFit="1" customWidth="1"/>
    <col min="14615" max="14615" width="12.5546875" customWidth="1"/>
    <col min="14616" max="14616" width="11.33203125" customWidth="1"/>
    <col min="14617" max="14617" width="11.5546875" customWidth="1"/>
    <col min="14618" max="14618" width="9.33203125" customWidth="1"/>
    <col min="14620" max="14620" width="11.6640625" bestFit="1" customWidth="1"/>
    <col min="14621" max="14621" width="10.6640625" bestFit="1" customWidth="1"/>
    <col min="14849" max="14849" width="11.88671875" customWidth="1"/>
    <col min="14850" max="14850" width="18" customWidth="1"/>
    <col min="14851" max="14851" width="11.6640625" customWidth="1"/>
    <col min="14852" max="14852" width="13.44140625" customWidth="1"/>
    <col min="14853" max="14853" width="10.109375" customWidth="1"/>
    <col min="14854" max="14855" width="12.44140625" customWidth="1"/>
    <col min="14856" max="14856" width="15.44140625" bestFit="1" customWidth="1"/>
    <col min="14857" max="14857" width="17" customWidth="1"/>
    <col min="14858" max="14858" width="12.44140625" customWidth="1"/>
    <col min="14859" max="14859" width="25.88671875" bestFit="1" customWidth="1"/>
    <col min="14860" max="14862" width="18" customWidth="1"/>
    <col min="14863" max="14863" width="17.109375" customWidth="1"/>
    <col min="14864" max="14865" width="15.6640625" customWidth="1"/>
    <col min="14866" max="14866" width="15" customWidth="1"/>
    <col min="14867" max="14868" width="14.109375" bestFit="1" customWidth="1"/>
    <col min="14869" max="14869" width="11.6640625" bestFit="1" customWidth="1"/>
    <col min="14870" max="14870" width="11.88671875" bestFit="1" customWidth="1"/>
    <col min="14871" max="14871" width="12.5546875" customWidth="1"/>
    <col min="14872" max="14872" width="11.33203125" customWidth="1"/>
    <col min="14873" max="14873" width="11.5546875" customWidth="1"/>
    <col min="14874" max="14874" width="9.33203125" customWidth="1"/>
    <col min="14876" max="14876" width="11.6640625" bestFit="1" customWidth="1"/>
    <col min="14877" max="14877" width="10.6640625" bestFit="1" customWidth="1"/>
    <col min="15105" max="15105" width="11.88671875" customWidth="1"/>
    <col min="15106" max="15106" width="18" customWidth="1"/>
    <col min="15107" max="15107" width="11.6640625" customWidth="1"/>
    <col min="15108" max="15108" width="13.44140625" customWidth="1"/>
    <col min="15109" max="15109" width="10.109375" customWidth="1"/>
    <col min="15110" max="15111" width="12.44140625" customWidth="1"/>
    <col min="15112" max="15112" width="15.44140625" bestFit="1" customWidth="1"/>
    <col min="15113" max="15113" width="17" customWidth="1"/>
    <col min="15114" max="15114" width="12.44140625" customWidth="1"/>
    <col min="15115" max="15115" width="25.88671875" bestFit="1" customWidth="1"/>
    <col min="15116" max="15118" width="18" customWidth="1"/>
    <col min="15119" max="15119" width="17.109375" customWidth="1"/>
    <col min="15120" max="15121" width="15.6640625" customWidth="1"/>
    <col min="15122" max="15122" width="15" customWidth="1"/>
    <col min="15123" max="15124" width="14.109375" bestFit="1" customWidth="1"/>
    <col min="15125" max="15125" width="11.6640625" bestFit="1" customWidth="1"/>
    <col min="15126" max="15126" width="11.88671875" bestFit="1" customWidth="1"/>
    <col min="15127" max="15127" width="12.5546875" customWidth="1"/>
    <col min="15128" max="15128" width="11.33203125" customWidth="1"/>
    <col min="15129" max="15129" width="11.5546875" customWidth="1"/>
    <col min="15130" max="15130" width="9.33203125" customWidth="1"/>
    <col min="15132" max="15132" width="11.6640625" bestFit="1" customWidth="1"/>
    <col min="15133" max="15133" width="10.6640625" bestFit="1" customWidth="1"/>
    <col min="15361" max="15361" width="11.88671875" customWidth="1"/>
    <col min="15362" max="15362" width="18" customWidth="1"/>
    <col min="15363" max="15363" width="11.6640625" customWidth="1"/>
    <col min="15364" max="15364" width="13.44140625" customWidth="1"/>
    <col min="15365" max="15365" width="10.109375" customWidth="1"/>
    <col min="15366" max="15367" width="12.44140625" customWidth="1"/>
    <col min="15368" max="15368" width="15.44140625" bestFit="1" customWidth="1"/>
    <col min="15369" max="15369" width="17" customWidth="1"/>
    <col min="15370" max="15370" width="12.44140625" customWidth="1"/>
    <col min="15371" max="15371" width="25.88671875" bestFit="1" customWidth="1"/>
    <col min="15372" max="15374" width="18" customWidth="1"/>
    <col min="15375" max="15375" width="17.109375" customWidth="1"/>
    <col min="15376" max="15377" width="15.6640625" customWidth="1"/>
    <col min="15378" max="15378" width="15" customWidth="1"/>
    <col min="15379" max="15380" width="14.109375" bestFit="1" customWidth="1"/>
    <col min="15381" max="15381" width="11.6640625" bestFit="1" customWidth="1"/>
    <col min="15382" max="15382" width="11.88671875" bestFit="1" customWidth="1"/>
    <col min="15383" max="15383" width="12.5546875" customWidth="1"/>
    <col min="15384" max="15384" width="11.33203125" customWidth="1"/>
    <col min="15385" max="15385" width="11.5546875" customWidth="1"/>
    <col min="15386" max="15386" width="9.33203125" customWidth="1"/>
    <col min="15388" max="15388" width="11.6640625" bestFit="1" customWidth="1"/>
    <col min="15389" max="15389" width="10.6640625" bestFit="1" customWidth="1"/>
    <col min="15617" max="15617" width="11.88671875" customWidth="1"/>
    <col min="15618" max="15618" width="18" customWidth="1"/>
    <col min="15619" max="15619" width="11.6640625" customWidth="1"/>
    <col min="15620" max="15620" width="13.44140625" customWidth="1"/>
    <col min="15621" max="15621" width="10.109375" customWidth="1"/>
    <col min="15622" max="15623" width="12.44140625" customWidth="1"/>
    <col min="15624" max="15624" width="15.44140625" bestFit="1" customWidth="1"/>
    <col min="15625" max="15625" width="17" customWidth="1"/>
    <col min="15626" max="15626" width="12.44140625" customWidth="1"/>
    <col min="15627" max="15627" width="25.88671875" bestFit="1" customWidth="1"/>
    <col min="15628" max="15630" width="18" customWidth="1"/>
    <col min="15631" max="15631" width="17.109375" customWidth="1"/>
    <col min="15632" max="15633" width="15.6640625" customWidth="1"/>
    <col min="15634" max="15634" width="15" customWidth="1"/>
    <col min="15635" max="15636" width="14.109375" bestFit="1" customWidth="1"/>
    <col min="15637" max="15637" width="11.6640625" bestFit="1" customWidth="1"/>
    <col min="15638" max="15638" width="11.88671875" bestFit="1" customWidth="1"/>
    <col min="15639" max="15639" width="12.5546875" customWidth="1"/>
    <col min="15640" max="15640" width="11.33203125" customWidth="1"/>
    <col min="15641" max="15641" width="11.5546875" customWidth="1"/>
    <col min="15642" max="15642" width="9.33203125" customWidth="1"/>
    <col min="15644" max="15644" width="11.6640625" bestFit="1" customWidth="1"/>
    <col min="15645" max="15645" width="10.6640625" bestFit="1" customWidth="1"/>
    <col min="15873" max="15873" width="11.88671875" customWidth="1"/>
    <col min="15874" max="15874" width="18" customWidth="1"/>
    <col min="15875" max="15875" width="11.6640625" customWidth="1"/>
    <col min="15876" max="15876" width="13.44140625" customWidth="1"/>
    <col min="15877" max="15877" width="10.109375" customWidth="1"/>
    <col min="15878" max="15879" width="12.44140625" customWidth="1"/>
    <col min="15880" max="15880" width="15.44140625" bestFit="1" customWidth="1"/>
    <col min="15881" max="15881" width="17" customWidth="1"/>
    <col min="15882" max="15882" width="12.44140625" customWidth="1"/>
    <col min="15883" max="15883" width="25.88671875" bestFit="1" customWidth="1"/>
    <col min="15884" max="15886" width="18" customWidth="1"/>
    <col min="15887" max="15887" width="17.109375" customWidth="1"/>
    <col min="15888" max="15889" width="15.6640625" customWidth="1"/>
    <col min="15890" max="15890" width="15" customWidth="1"/>
    <col min="15891" max="15892" width="14.109375" bestFit="1" customWidth="1"/>
    <col min="15893" max="15893" width="11.6640625" bestFit="1" customWidth="1"/>
    <col min="15894" max="15894" width="11.88671875" bestFit="1" customWidth="1"/>
    <col min="15895" max="15895" width="12.5546875" customWidth="1"/>
    <col min="15896" max="15896" width="11.33203125" customWidth="1"/>
    <col min="15897" max="15897" width="11.5546875" customWidth="1"/>
    <col min="15898" max="15898" width="9.33203125" customWidth="1"/>
    <col min="15900" max="15900" width="11.6640625" bestFit="1" customWidth="1"/>
    <col min="15901" max="15901" width="10.6640625" bestFit="1" customWidth="1"/>
    <col min="16129" max="16129" width="11.88671875" customWidth="1"/>
    <col min="16130" max="16130" width="18" customWidth="1"/>
    <col min="16131" max="16131" width="11.6640625" customWidth="1"/>
    <col min="16132" max="16132" width="13.44140625" customWidth="1"/>
    <col min="16133" max="16133" width="10.109375" customWidth="1"/>
    <col min="16134" max="16135" width="12.44140625" customWidth="1"/>
    <col min="16136" max="16136" width="15.44140625" bestFit="1" customWidth="1"/>
    <col min="16137" max="16137" width="17" customWidth="1"/>
    <col min="16138" max="16138" width="12.44140625" customWidth="1"/>
    <col min="16139" max="16139" width="25.88671875" bestFit="1" customWidth="1"/>
    <col min="16140" max="16142" width="18" customWidth="1"/>
    <col min="16143" max="16143" width="17.109375" customWidth="1"/>
    <col min="16144" max="16145" width="15.6640625" customWidth="1"/>
    <col min="16146" max="16146" width="15" customWidth="1"/>
    <col min="16147" max="16148" width="14.109375" bestFit="1" customWidth="1"/>
    <col min="16149" max="16149" width="11.6640625" bestFit="1" customWidth="1"/>
    <col min="16150" max="16150" width="11.88671875" bestFit="1" customWidth="1"/>
    <col min="16151" max="16151" width="12.5546875" customWidth="1"/>
    <col min="16152" max="16152" width="11.33203125" customWidth="1"/>
    <col min="16153" max="16153" width="11.5546875" customWidth="1"/>
    <col min="16154" max="16154" width="9.33203125" customWidth="1"/>
    <col min="16156" max="16156" width="11.6640625" bestFit="1" customWidth="1"/>
    <col min="16157" max="16157" width="10.6640625" bestFit="1" customWidth="1"/>
  </cols>
  <sheetData>
    <row r="1" spans="1:25" customFormat="1" x14ac:dyDescent="0.25">
      <c r="B1" s="28"/>
      <c r="C1" s="24"/>
      <c r="D1" s="24"/>
      <c r="E1" s="24"/>
      <c r="F1" s="417" t="s">
        <v>247</v>
      </c>
      <c r="G1" s="417"/>
      <c r="H1" s="1"/>
      <c r="I1" s="1"/>
      <c r="J1" s="1"/>
      <c r="W1" s="208"/>
      <c r="X1" s="208"/>
      <c r="Y1" s="208"/>
    </row>
    <row r="2" spans="1:25" customFormat="1" ht="42" customHeight="1" x14ac:dyDescent="0.25">
      <c r="B2" s="82" t="s">
        <v>242</v>
      </c>
      <c r="C2" s="83" t="s">
        <v>3</v>
      </c>
      <c r="D2" s="83" t="s">
        <v>4</v>
      </c>
      <c r="E2" s="83" t="s">
        <v>5</v>
      </c>
      <c r="F2" s="83" t="s">
        <v>17</v>
      </c>
      <c r="G2" s="83" t="s">
        <v>211</v>
      </c>
      <c r="H2" s="12" t="s">
        <v>243</v>
      </c>
      <c r="I2" s="12" t="s">
        <v>11</v>
      </c>
      <c r="J2" s="12" t="s">
        <v>12</v>
      </c>
      <c r="K2" t="s">
        <v>18</v>
      </c>
      <c r="W2" s="9"/>
      <c r="X2" s="9"/>
      <c r="Y2" s="9"/>
    </row>
    <row r="3" spans="1:25" customFormat="1" ht="13.8" thickBot="1" x14ac:dyDescent="0.3">
      <c r="A3" s="3">
        <v>38718</v>
      </c>
      <c r="B3" s="28">
        <f>'[7]Consumption Data '!L54</f>
        <v>3504488</v>
      </c>
      <c r="C3" s="24">
        <f>'[8]Purchased Power Model '!C3</f>
        <v>551.79999999999995</v>
      </c>
      <c r="D3" s="24">
        <f>'[8]Purchased Power Model '!D3</f>
        <v>0</v>
      </c>
      <c r="E3" s="162">
        <v>31</v>
      </c>
      <c r="F3" s="162">
        <v>0</v>
      </c>
      <c r="G3" s="162">
        <v>81</v>
      </c>
      <c r="H3" s="288">
        <f>$L$18+C3*$L$19+D3*$L$20+E3*$L$21</f>
        <v>4089171.5669137524</v>
      </c>
      <c r="I3" s="288"/>
      <c r="J3" s="289"/>
      <c r="W3" s="208"/>
      <c r="X3" s="208"/>
      <c r="Y3" s="208"/>
    </row>
    <row r="4" spans="1:25" customFormat="1" x14ac:dyDescent="0.25">
      <c r="A4" s="3">
        <v>38749</v>
      </c>
      <c r="B4" s="28">
        <f>'[7]Consumption Data '!L55</f>
        <v>3222615</v>
      </c>
      <c r="C4" s="24">
        <f>'[8]Purchased Power Model '!C4</f>
        <v>604.29999999999995</v>
      </c>
      <c r="D4" s="24">
        <f>'[8]Purchased Power Model '!D4</f>
        <v>0</v>
      </c>
      <c r="E4" s="162">
        <v>28</v>
      </c>
      <c r="F4" s="162">
        <v>0</v>
      </c>
      <c r="G4" s="162">
        <v>80</v>
      </c>
      <c r="H4" s="288">
        <f t="shared" ref="H4:H67" si="0">$L$18+C4*$L$19+D4*$L$20+E4*$L$21</f>
        <v>4041886.8978744042</v>
      </c>
      <c r="I4" s="288"/>
      <c r="J4" s="289"/>
      <c r="K4" s="55" t="s">
        <v>19</v>
      </c>
      <c r="L4" s="55"/>
      <c r="W4" s="208"/>
      <c r="X4" s="208"/>
      <c r="Y4" s="208"/>
    </row>
    <row r="5" spans="1:25" customFormat="1" x14ac:dyDescent="0.25">
      <c r="A5" s="3">
        <v>38777</v>
      </c>
      <c r="B5" s="28">
        <f>'[7]Consumption Data '!L56</f>
        <v>3449527</v>
      </c>
      <c r="C5" s="24">
        <f>'[8]Purchased Power Model '!C5</f>
        <v>516.6</v>
      </c>
      <c r="D5" s="24">
        <f>'[8]Purchased Power Model '!D5</f>
        <v>0</v>
      </c>
      <c r="E5" s="162">
        <v>31</v>
      </c>
      <c r="F5" s="162">
        <v>1</v>
      </c>
      <c r="G5" s="162">
        <v>80</v>
      </c>
      <c r="H5" s="288">
        <f t="shared" si="0"/>
        <v>4075868.1692767707</v>
      </c>
      <c r="I5" s="288"/>
      <c r="J5" s="289"/>
      <c r="K5" s="34" t="s">
        <v>20</v>
      </c>
      <c r="L5" s="67">
        <v>0.17212981086277909</v>
      </c>
      <c r="W5" s="208"/>
      <c r="X5" s="208"/>
      <c r="Y5" s="208"/>
    </row>
    <row r="6" spans="1:25" customFormat="1" x14ac:dyDescent="0.25">
      <c r="A6" s="3">
        <v>38808</v>
      </c>
      <c r="B6" s="28">
        <f>'[7]Consumption Data '!L57</f>
        <v>3144707</v>
      </c>
      <c r="C6" s="24">
        <f>'[8]Purchased Power Model '!C6</f>
        <v>293.3</v>
      </c>
      <c r="D6" s="24">
        <f>'[8]Purchased Power Model '!D6</f>
        <v>0</v>
      </c>
      <c r="E6" s="162">
        <v>30</v>
      </c>
      <c r="F6" s="162">
        <v>1</v>
      </c>
      <c r="G6" s="162">
        <v>80</v>
      </c>
      <c r="H6" s="288">
        <f t="shared" si="0"/>
        <v>3969099.2790955142</v>
      </c>
      <c r="I6" s="288"/>
      <c r="J6" s="289"/>
      <c r="K6" s="34" t="s">
        <v>21</v>
      </c>
      <c r="L6" s="67">
        <v>2.9628671787656102E-2</v>
      </c>
      <c r="W6" s="208"/>
      <c r="X6" s="208"/>
      <c r="Y6" s="208"/>
    </row>
    <row r="7" spans="1:25" customFormat="1" x14ac:dyDescent="0.25">
      <c r="A7" s="3">
        <v>38838</v>
      </c>
      <c r="B7" s="28">
        <f>'[7]Consumption Data '!L58</f>
        <v>3320523</v>
      </c>
      <c r="C7" s="24">
        <f>'[8]Purchased Power Model '!C7</f>
        <v>136.9</v>
      </c>
      <c r="D7" s="24">
        <f>'[8]Purchased Power Model '!D7</f>
        <v>26</v>
      </c>
      <c r="E7" s="162">
        <v>31</v>
      </c>
      <c r="F7" s="162">
        <v>1</v>
      </c>
      <c r="G7" s="162">
        <v>80</v>
      </c>
      <c r="H7" s="288">
        <f t="shared" si="0"/>
        <v>3955594.9101546924</v>
      </c>
      <c r="I7" s="288"/>
      <c r="J7" s="289"/>
      <c r="K7" s="34" t="s">
        <v>22</v>
      </c>
      <c r="L7" s="67">
        <v>4.5328615752678993E-3</v>
      </c>
      <c r="W7" s="208"/>
      <c r="X7" s="208"/>
      <c r="Y7" s="208"/>
    </row>
    <row r="8" spans="1:25" customFormat="1" x14ac:dyDescent="0.25">
      <c r="A8" s="3">
        <v>38869</v>
      </c>
      <c r="B8" s="28">
        <f>'[7]Consumption Data '!L59</f>
        <v>3217349</v>
      </c>
      <c r="C8" s="24">
        <f>'[8]Purchased Power Model '!C8</f>
        <v>19.5</v>
      </c>
      <c r="D8" s="24">
        <f>'[8]Purchased Power Model '!D8</f>
        <v>73.599999999999994</v>
      </c>
      <c r="E8" s="162">
        <v>30</v>
      </c>
      <c r="F8" s="162">
        <v>0</v>
      </c>
      <c r="G8" s="162">
        <v>80</v>
      </c>
      <c r="H8" s="288">
        <f t="shared" si="0"/>
        <v>3931377.6019980316</v>
      </c>
      <c r="I8" s="288"/>
      <c r="J8" s="289"/>
      <c r="K8" s="34" t="s">
        <v>23</v>
      </c>
      <c r="L8" s="63">
        <v>437099.53831877175</v>
      </c>
      <c r="W8" s="208"/>
      <c r="X8" s="208"/>
      <c r="Y8" s="208"/>
    </row>
    <row r="9" spans="1:25" customFormat="1" ht="13.8" thickBot="1" x14ac:dyDescent="0.3">
      <c r="A9" s="3">
        <v>38899</v>
      </c>
      <c r="B9" s="28">
        <f>'[7]Consumption Data '!L60</f>
        <v>3320788</v>
      </c>
      <c r="C9" s="24">
        <f>'[8]Purchased Power Model '!C9</f>
        <v>0</v>
      </c>
      <c r="D9" s="24">
        <f>'[8]Purchased Power Model '!D9</f>
        <v>167.3</v>
      </c>
      <c r="E9" s="162">
        <v>31</v>
      </c>
      <c r="F9" s="162">
        <v>0</v>
      </c>
      <c r="G9" s="162">
        <v>65</v>
      </c>
      <c r="H9" s="288">
        <f t="shared" si="0"/>
        <v>4030099.1309306589</v>
      </c>
      <c r="I9" s="288"/>
      <c r="J9" s="289"/>
      <c r="K9" s="53" t="s">
        <v>24</v>
      </c>
      <c r="L9" s="53">
        <v>120</v>
      </c>
      <c r="W9" s="208"/>
      <c r="X9" s="208"/>
      <c r="Y9" s="208"/>
    </row>
    <row r="10" spans="1:25" customFormat="1" x14ac:dyDescent="0.25">
      <c r="A10" s="3">
        <v>38930</v>
      </c>
      <c r="B10" s="28">
        <f>'[7]Consumption Data '!L61</f>
        <v>3261074</v>
      </c>
      <c r="C10" s="24">
        <f>'[8]Purchased Power Model '!C10</f>
        <v>4.2</v>
      </c>
      <c r="D10" s="24">
        <f>'[8]Purchased Power Model '!D10</f>
        <v>101.6</v>
      </c>
      <c r="E10" s="162">
        <v>31</v>
      </c>
      <c r="F10" s="162">
        <v>0</v>
      </c>
      <c r="G10" s="162">
        <v>66</v>
      </c>
      <c r="H10" s="288">
        <f t="shared" si="0"/>
        <v>3972987.095922552</v>
      </c>
      <c r="I10" s="288"/>
      <c r="J10" s="289"/>
      <c r="W10" s="208"/>
      <c r="X10" s="208"/>
      <c r="Y10" s="208"/>
    </row>
    <row r="11" spans="1:25" customFormat="1" ht="13.8" thickBot="1" x14ac:dyDescent="0.3">
      <c r="A11" s="3">
        <v>38961</v>
      </c>
      <c r="B11" s="28">
        <f>'[7]Consumption Data '!L62</f>
        <v>3173965</v>
      </c>
      <c r="C11" s="24">
        <f>'[8]Purchased Power Model '!C11</f>
        <v>80.900000000000006</v>
      </c>
      <c r="D11" s="24">
        <f>'[8]Purchased Power Model '!D11</f>
        <v>12.9</v>
      </c>
      <c r="E11" s="162">
        <v>30</v>
      </c>
      <c r="F11" s="162">
        <v>1</v>
      </c>
      <c r="G11" s="162">
        <v>67</v>
      </c>
      <c r="H11" s="288">
        <f t="shared" si="0"/>
        <v>3900350.8158689057</v>
      </c>
      <c r="I11" s="288"/>
      <c r="J11" s="289"/>
      <c r="K11" t="s">
        <v>25</v>
      </c>
      <c r="W11" s="208"/>
      <c r="X11" s="208"/>
      <c r="Y11" s="208"/>
    </row>
    <row r="12" spans="1:25" customFormat="1" x14ac:dyDescent="0.25">
      <c r="A12" s="3">
        <v>38991</v>
      </c>
      <c r="B12" s="28">
        <f>'[7]Consumption Data '!L63</f>
        <v>3391458</v>
      </c>
      <c r="C12" s="24">
        <f>'[8]Purchased Power Model '!C12</f>
        <v>288.3</v>
      </c>
      <c r="D12" s="24">
        <f>'[8]Purchased Power Model '!D12</f>
        <v>1.1000000000000001</v>
      </c>
      <c r="E12" s="162">
        <v>31</v>
      </c>
      <c r="F12" s="162">
        <v>1</v>
      </c>
      <c r="G12" s="162">
        <v>67</v>
      </c>
      <c r="H12" s="288">
        <f t="shared" si="0"/>
        <v>3990567.8434509789</v>
      </c>
      <c r="I12" s="288"/>
      <c r="J12" s="289"/>
      <c r="K12" s="54"/>
      <c r="L12" s="54" t="s">
        <v>29</v>
      </c>
      <c r="M12" s="54" t="s">
        <v>30</v>
      </c>
      <c r="N12" s="54" t="s">
        <v>31</v>
      </c>
      <c r="O12" s="54" t="s">
        <v>32</v>
      </c>
      <c r="P12" s="54" t="s">
        <v>33</v>
      </c>
      <c r="W12" s="208"/>
      <c r="X12" s="208"/>
      <c r="Y12" s="208"/>
    </row>
    <row r="13" spans="1:25" customFormat="1" x14ac:dyDescent="0.25">
      <c r="A13" s="3">
        <v>39022</v>
      </c>
      <c r="B13" s="28">
        <f>'[7]Consumption Data '!L64</f>
        <v>3386870</v>
      </c>
      <c r="C13" s="24">
        <f>'[8]Purchased Power Model '!C13</f>
        <v>382.2</v>
      </c>
      <c r="D13" s="24">
        <f>'[8]Purchased Power Model '!D13</f>
        <v>0</v>
      </c>
      <c r="E13" s="162">
        <v>30</v>
      </c>
      <c r="F13" s="162">
        <v>1</v>
      </c>
      <c r="G13" s="162">
        <v>67</v>
      </c>
      <c r="H13" s="288">
        <f t="shared" si="0"/>
        <v>4002697.9168775505</v>
      </c>
      <c r="I13" s="288"/>
      <c r="J13" s="289"/>
      <c r="K13" s="34" t="s">
        <v>26</v>
      </c>
      <c r="L13" s="34">
        <v>3</v>
      </c>
      <c r="M13" s="34">
        <v>676694913461.6875</v>
      </c>
      <c r="N13" s="34">
        <v>225564971153.89584</v>
      </c>
      <c r="O13" s="34">
        <v>1.1806222447853194</v>
      </c>
      <c r="P13" s="34">
        <v>0.32026739754404804</v>
      </c>
      <c r="W13" s="208"/>
      <c r="X13" s="208"/>
      <c r="Y13" s="208"/>
    </row>
    <row r="14" spans="1:25" customFormat="1" x14ac:dyDescent="0.25">
      <c r="A14" s="3">
        <v>39052</v>
      </c>
      <c r="B14" s="28">
        <f>'[7]Consumption Data '!L65</f>
        <v>3333891</v>
      </c>
      <c r="C14" s="24">
        <f>'[8]Purchased Power Model '!C14</f>
        <v>500.5</v>
      </c>
      <c r="D14" s="24">
        <f>'[8]Purchased Power Model '!D14</f>
        <v>0</v>
      </c>
      <c r="E14" s="162">
        <v>31</v>
      </c>
      <c r="F14" s="162">
        <v>0</v>
      </c>
      <c r="G14" s="162">
        <v>67</v>
      </c>
      <c r="H14" s="288">
        <f t="shared" si="0"/>
        <v>4069783.3766075834</v>
      </c>
      <c r="I14" s="288"/>
      <c r="J14" s="289"/>
      <c r="K14" s="34" t="s">
        <v>27</v>
      </c>
      <c r="L14" s="34">
        <v>116</v>
      </c>
      <c r="M14" s="34">
        <v>22162496742224.078</v>
      </c>
      <c r="N14" s="34">
        <v>191056006398.48343</v>
      </c>
      <c r="O14" s="34"/>
      <c r="P14" s="34"/>
      <c r="W14" s="208"/>
      <c r="X14" s="208"/>
      <c r="Y14" s="208"/>
    </row>
    <row r="15" spans="1:25" customFormat="1" ht="13.8" thickBot="1" x14ac:dyDescent="0.3">
      <c r="A15" s="3">
        <v>39083</v>
      </c>
      <c r="B15" s="28">
        <f>'[7]Consumption Data '!L66</f>
        <v>3416075</v>
      </c>
      <c r="C15" s="24">
        <f>'[8]Purchased Power Model '!C15</f>
        <v>647.1</v>
      </c>
      <c r="D15" s="24">
        <f>'[8]Purchased Power Model '!D15</f>
        <v>0</v>
      </c>
      <c r="E15" s="162">
        <v>31</v>
      </c>
      <c r="F15" s="162">
        <v>0</v>
      </c>
      <c r="G15" s="162">
        <v>70</v>
      </c>
      <c r="H15" s="288">
        <f t="shared" si="0"/>
        <v>4125189.0042661489</v>
      </c>
      <c r="I15" s="288"/>
      <c r="J15" s="289"/>
      <c r="K15" s="53" t="s">
        <v>9</v>
      </c>
      <c r="L15" s="53">
        <v>119</v>
      </c>
      <c r="M15" s="53">
        <v>22839191655685.766</v>
      </c>
      <c r="N15" s="53"/>
      <c r="O15" s="53"/>
      <c r="P15" s="53"/>
      <c r="W15" s="208"/>
      <c r="X15" s="208"/>
      <c r="Y15" s="208"/>
    </row>
    <row r="16" spans="1:25" customFormat="1" ht="13.8" thickBot="1" x14ac:dyDescent="0.3">
      <c r="A16" s="3">
        <v>39114</v>
      </c>
      <c r="B16" s="28">
        <f>'[7]Consumption Data '!L67</f>
        <v>3153475</v>
      </c>
      <c r="C16" s="24">
        <f>'[8]Purchased Power Model '!C16</f>
        <v>740.1</v>
      </c>
      <c r="D16" s="24">
        <f>'[8]Purchased Power Model '!D16</f>
        <v>0</v>
      </c>
      <c r="E16" s="162">
        <v>28</v>
      </c>
      <c r="F16" s="162">
        <v>0</v>
      </c>
      <c r="G16" s="162">
        <v>70</v>
      </c>
      <c r="H16" s="288">
        <f t="shared" si="0"/>
        <v>4093210.801257987</v>
      </c>
      <c r="I16" s="288"/>
      <c r="J16" s="289"/>
      <c r="W16" s="208"/>
      <c r="X16" s="208"/>
      <c r="Y16" s="208"/>
    </row>
    <row r="17" spans="1:17" customFormat="1" x14ac:dyDescent="0.25">
      <c r="A17" s="3">
        <v>39142</v>
      </c>
      <c r="B17" s="28">
        <f>'[7]Consumption Data '!L68</f>
        <v>3314545</v>
      </c>
      <c r="C17" s="24">
        <f>'[8]Purchased Power Model '!C17</f>
        <v>546.70000000000005</v>
      </c>
      <c r="D17" s="24">
        <f>'[8]Purchased Power Model '!D17</f>
        <v>0</v>
      </c>
      <c r="E17" s="162">
        <v>31</v>
      </c>
      <c r="F17" s="162">
        <v>1</v>
      </c>
      <c r="G17" s="162">
        <v>70</v>
      </c>
      <c r="H17" s="288">
        <f t="shared" si="0"/>
        <v>4087244.0860061217</v>
      </c>
      <c r="I17" s="288"/>
      <c r="J17" s="289"/>
      <c r="K17" s="54"/>
      <c r="L17" s="54" t="s">
        <v>34</v>
      </c>
      <c r="M17" s="54" t="s">
        <v>23</v>
      </c>
      <c r="N17" s="54" t="s">
        <v>35</v>
      </c>
      <c r="O17" s="54" t="s">
        <v>36</v>
      </c>
      <c r="P17" s="54" t="s">
        <v>37</v>
      </c>
      <c r="Q17" s="54" t="s">
        <v>38</v>
      </c>
    </row>
    <row r="18" spans="1:17" customFormat="1" x14ac:dyDescent="0.25">
      <c r="A18" s="3">
        <v>39173</v>
      </c>
      <c r="B18" s="28">
        <f>'[7]Consumption Data '!L69</f>
        <v>3030956</v>
      </c>
      <c r="C18" s="24">
        <f>'[8]Purchased Power Model '!C18</f>
        <v>356.4</v>
      </c>
      <c r="D18" s="24">
        <f>'[8]Purchased Power Model '!D18</f>
        <v>0</v>
      </c>
      <c r="E18" s="162">
        <v>30</v>
      </c>
      <c r="F18" s="162">
        <v>1</v>
      </c>
      <c r="G18" s="162">
        <v>71</v>
      </c>
      <c r="H18" s="288">
        <f t="shared" si="0"/>
        <v>3992947.1311095357</v>
      </c>
      <c r="I18" s="288"/>
      <c r="J18" s="289"/>
      <c r="K18" s="34" t="s">
        <v>28</v>
      </c>
      <c r="L18" s="65">
        <v>3186986.3873854908</v>
      </c>
      <c r="M18" s="34">
        <v>1528131.2238887844</v>
      </c>
      <c r="N18" s="63">
        <v>2.0855449699373696</v>
      </c>
      <c r="O18" s="34">
        <v>3.9212717241645344E-2</v>
      </c>
      <c r="P18" s="34">
        <v>160329.95018173102</v>
      </c>
      <c r="Q18" s="34">
        <v>6213642.8245892506</v>
      </c>
    </row>
    <row r="19" spans="1:17" customFormat="1" x14ac:dyDescent="0.25">
      <c r="A19" s="3">
        <v>39203</v>
      </c>
      <c r="B19" s="28">
        <f>'[7]Consumption Data '!L70</f>
        <v>3141479</v>
      </c>
      <c r="C19" s="24">
        <f>'[8]Purchased Power Model '!C19</f>
        <v>136.4</v>
      </c>
      <c r="D19" s="24">
        <f>'[8]Purchased Power Model '!D19</f>
        <v>22.4</v>
      </c>
      <c r="E19" s="162">
        <v>31</v>
      </c>
      <c r="F19" s="162">
        <v>1</v>
      </c>
      <c r="G19" s="162">
        <v>71</v>
      </c>
      <c r="H19" s="288">
        <f t="shared" si="0"/>
        <v>3952189.5374806607</v>
      </c>
      <c r="I19" s="288"/>
      <c r="J19" s="289"/>
      <c r="K19" s="34" t="s">
        <v>3</v>
      </c>
      <c r="L19" s="65">
        <v>377.93743286879925</v>
      </c>
      <c r="M19" s="34">
        <v>212.45437950610062</v>
      </c>
      <c r="N19" s="63">
        <v>1.7789110007870974</v>
      </c>
      <c r="O19" s="34">
        <v>7.787362193580824E-2</v>
      </c>
      <c r="P19" s="34">
        <v>-42.855235517295228</v>
      </c>
      <c r="Q19" s="34">
        <v>798.73010125489373</v>
      </c>
    </row>
    <row r="20" spans="1:17" customFormat="1" x14ac:dyDescent="0.25">
      <c r="A20" s="3">
        <v>39234</v>
      </c>
      <c r="B20" s="28">
        <f>'[7]Consumption Data '!L71</f>
        <v>3194900</v>
      </c>
      <c r="C20" s="24">
        <f>'[8]Purchased Power Model '!C20</f>
        <v>16.5</v>
      </c>
      <c r="D20" s="24">
        <f>'[8]Purchased Power Model '!D20</f>
        <v>99.2</v>
      </c>
      <c r="E20" s="162">
        <v>30</v>
      </c>
      <c r="F20" s="162">
        <v>0</v>
      </c>
      <c r="G20" s="162">
        <v>71</v>
      </c>
      <c r="H20" s="288">
        <f t="shared" si="0"/>
        <v>3953115.9956201194</v>
      </c>
      <c r="I20" s="288"/>
      <c r="J20" s="289"/>
      <c r="K20" s="34" t="s">
        <v>4</v>
      </c>
      <c r="L20" s="65">
        <v>893.44554377710449</v>
      </c>
      <c r="M20" s="34">
        <v>1177.3888860740874</v>
      </c>
      <c r="N20" s="63">
        <v>0.75883640005829334</v>
      </c>
      <c r="O20" s="34">
        <v>0.44948957952386681</v>
      </c>
      <c r="P20" s="34">
        <v>-1438.5214989875763</v>
      </c>
      <c r="Q20" s="34">
        <v>3225.412586541785</v>
      </c>
    </row>
    <row r="21" spans="1:17" customFormat="1" ht="13.8" thickBot="1" x14ac:dyDescent="0.3">
      <c r="A21" s="3">
        <v>39264</v>
      </c>
      <c r="B21" s="28">
        <f>'[7]Consumption Data '!L72</f>
        <v>3204487</v>
      </c>
      <c r="C21" s="24">
        <f>'[8]Purchased Power Model '!C21</f>
        <v>3.2</v>
      </c>
      <c r="D21" s="24">
        <f>'[8]Purchased Power Model '!D21</f>
        <v>106.1</v>
      </c>
      <c r="E21" s="162">
        <v>31</v>
      </c>
      <c r="F21" s="162">
        <v>0</v>
      </c>
      <c r="G21" s="162">
        <v>70</v>
      </c>
      <c r="H21" s="288">
        <f t="shared" si="0"/>
        <v>3976629.6634366801</v>
      </c>
      <c r="I21" s="288"/>
      <c r="J21" s="289"/>
      <c r="K21" s="53" t="s">
        <v>5</v>
      </c>
      <c r="L21" s="66">
        <v>22375.461421653494</v>
      </c>
      <c r="M21" s="53">
        <v>49958.814049073742</v>
      </c>
      <c r="N21" s="64">
        <v>0.44787815418665539</v>
      </c>
      <c r="O21" s="53">
        <v>0.65507647216388376</v>
      </c>
      <c r="P21" s="53">
        <v>-76574.26473596046</v>
      </c>
      <c r="Q21" s="53">
        <v>121325.18757926745</v>
      </c>
    </row>
    <row r="22" spans="1:17" customFormat="1" ht="13.8" thickBot="1" x14ac:dyDescent="0.3">
      <c r="A22" s="3">
        <v>39295</v>
      </c>
      <c r="B22" s="28">
        <f>'[7]Consumption Data '!L73</f>
        <v>3218318</v>
      </c>
      <c r="C22" s="24">
        <f>'[8]Purchased Power Model '!C22</f>
        <v>5.2</v>
      </c>
      <c r="D22" s="24">
        <f>'[8]Purchased Power Model '!D22</f>
        <v>141</v>
      </c>
      <c r="E22" s="162">
        <v>31</v>
      </c>
      <c r="F22" s="162">
        <v>0</v>
      </c>
      <c r="G22" s="162">
        <v>70</v>
      </c>
      <c r="H22" s="288">
        <f t="shared" si="0"/>
        <v>4008566.7877802388</v>
      </c>
      <c r="I22" s="288"/>
      <c r="J22" s="289"/>
      <c r="K22" s="53"/>
      <c r="L22" s="66"/>
      <c r="M22" s="53"/>
      <c r="N22" s="64"/>
      <c r="O22" s="53"/>
      <c r="P22" s="53"/>
      <c r="Q22" s="53"/>
    </row>
    <row r="23" spans="1:17" customFormat="1" x14ac:dyDescent="0.25">
      <c r="A23" s="3">
        <v>39326</v>
      </c>
      <c r="B23" s="28">
        <f>'[7]Consumption Data '!L74</f>
        <v>3271925</v>
      </c>
      <c r="C23" s="24">
        <f>'[8]Purchased Power Model '!C23</f>
        <v>36.9</v>
      </c>
      <c r="D23" s="24">
        <f>'[8]Purchased Power Model '!D23</f>
        <v>47.5</v>
      </c>
      <c r="E23" s="162">
        <v>30</v>
      </c>
      <c r="F23" s="162">
        <v>1</v>
      </c>
      <c r="G23" s="162">
        <v>70</v>
      </c>
      <c r="H23" s="288">
        <f t="shared" si="0"/>
        <v>3914634.7846373669</v>
      </c>
      <c r="I23" s="288"/>
      <c r="J23" s="289"/>
    </row>
    <row r="24" spans="1:17" customFormat="1" x14ac:dyDescent="0.25">
      <c r="A24" s="3">
        <v>39356</v>
      </c>
      <c r="B24" s="28">
        <f>'[7]Consumption Data '!L75</f>
        <v>3588707</v>
      </c>
      <c r="C24" s="24">
        <f>'[8]Purchased Power Model '!C24</f>
        <v>137.69999999999999</v>
      </c>
      <c r="D24" s="24">
        <f>'[8]Purchased Power Model '!D24</f>
        <v>19.8</v>
      </c>
      <c r="E24" s="162">
        <v>31</v>
      </c>
      <c r="F24" s="162">
        <v>1</v>
      </c>
      <c r="G24" s="162">
        <v>71</v>
      </c>
      <c r="H24" s="288">
        <f t="shared" si="0"/>
        <v>3950357.8977295696</v>
      </c>
      <c r="I24" s="288"/>
      <c r="J24" s="289"/>
    </row>
    <row r="25" spans="1:17" customFormat="1" x14ac:dyDescent="0.25">
      <c r="A25" s="3">
        <v>39387</v>
      </c>
      <c r="B25" s="28">
        <f>'[7]Consumption Data '!L76</f>
        <v>3761009</v>
      </c>
      <c r="C25" s="24">
        <f>'[8]Purchased Power Model '!C25</f>
        <v>462.5</v>
      </c>
      <c r="D25" s="24">
        <f>'[8]Purchased Power Model '!D25</f>
        <v>0</v>
      </c>
      <c r="E25" s="162">
        <v>30</v>
      </c>
      <c r="F25" s="162">
        <v>1</v>
      </c>
      <c r="G25" s="162">
        <v>71</v>
      </c>
      <c r="H25" s="288">
        <f t="shared" si="0"/>
        <v>4033046.2927369149</v>
      </c>
      <c r="I25" s="288"/>
      <c r="J25" s="289"/>
    </row>
    <row r="26" spans="1:17" customFormat="1" x14ac:dyDescent="0.25">
      <c r="A26" s="3">
        <v>39417</v>
      </c>
      <c r="B26" s="28">
        <f>'[7]Consumption Data '!L77</f>
        <v>3870949</v>
      </c>
      <c r="C26" s="24">
        <f>'[8]Purchased Power Model '!C26</f>
        <v>630.70000000000005</v>
      </c>
      <c r="D26" s="24">
        <f>'[8]Purchased Power Model '!D26</f>
        <v>0</v>
      </c>
      <c r="E26" s="162">
        <v>31</v>
      </c>
      <c r="F26" s="162">
        <v>0</v>
      </c>
      <c r="G26" s="162">
        <v>72</v>
      </c>
      <c r="H26" s="288">
        <f t="shared" si="0"/>
        <v>4118990.8303671009</v>
      </c>
      <c r="I26" s="288"/>
      <c r="J26" s="289"/>
    </row>
    <row r="27" spans="1:17" customFormat="1" x14ac:dyDescent="0.25">
      <c r="A27" s="3">
        <v>39448</v>
      </c>
      <c r="B27" s="28">
        <f>'[7]Consumption Data '!L78</f>
        <v>3952667</v>
      </c>
      <c r="C27" s="24">
        <f>'[8]Purchased Power Model '!C27</f>
        <v>623.5</v>
      </c>
      <c r="D27" s="24">
        <f>'[8]Purchased Power Model '!D27</f>
        <v>0</v>
      </c>
      <c r="E27" s="162">
        <v>31</v>
      </c>
      <c r="F27" s="162">
        <v>0</v>
      </c>
      <c r="G27" s="162">
        <v>72</v>
      </c>
      <c r="H27" s="288">
        <f t="shared" si="0"/>
        <v>4116269.6808504453</v>
      </c>
      <c r="I27" s="1"/>
      <c r="J27" s="1"/>
    </row>
    <row r="28" spans="1:17" customFormat="1" x14ac:dyDescent="0.25">
      <c r="A28" s="3">
        <v>39479</v>
      </c>
      <c r="B28" s="28">
        <f>'[7]Consumption Data '!L79</f>
        <v>3721999</v>
      </c>
      <c r="C28" s="24">
        <f>'[8]Purchased Power Model '!C28</f>
        <v>674.7</v>
      </c>
      <c r="D28" s="24">
        <f>'[8]Purchased Power Model '!D28</f>
        <v>0</v>
      </c>
      <c r="E28" s="162">
        <v>29</v>
      </c>
      <c r="F28" s="162">
        <v>0</v>
      </c>
      <c r="G28" s="162">
        <v>73</v>
      </c>
      <c r="H28" s="288">
        <f t="shared" si="0"/>
        <v>4090869.1545700207</v>
      </c>
      <c r="I28" s="1"/>
      <c r="J28" s="1"/>
    </row>
    <row r="29" spans="1:17" customFormat="1" x14ac:dyDescent="0.25">
      <c r="A29" s="3">
        <v>39508</v>
      </c>
      <c r="B29" s="28">
        <f>'[7]Consumption Data '!L80</f>
        <v>3767626</v>
      </c>
      <c r="C29" s="24">
        <f>'[8]Purchased Power Model '!C29</f>
        <v>610.20000000000005</v>
      </c>
      <c r="D29" s="24">
        <f>'[8]Purchased Power Model '!D29</f>
        <v>0</v>
      </c>
      <c r="E29" s="162">
        <v>31</v>
      </c>
      <c r="F29" s="162">
        <v>1</v>
      </c>
      <c r="G29" s="162">
        <v>73</v>
      </c>
      <c r="H29" s="288">
        <f t="shared" si="0"/>
        <v>4111243.1129932902</v>
      </c>
      <c r="I29" s="1"/>
      <c r="J29" s="1"/>
    </row>
    <row r="30" spans="1:17" customFormat="1" x14ac:dyDescent="0.25">
      <c r="A30" s="3">
        <v>39539</v>
      </c>
      <c r="B30" s="28">
        <f>'[7]Consumption Data '!L81</f>
        <v>3502956</v>
      </c>
      <c r="C30" s="24">
        <f>'[8]Purchased Power Model '!C30</f>
        <v>253.9</v>
      </c>
      <c r="D30" s="24">
        <f>'[8]Purchased Power Model '!D30</f>
        <v>0</v>
      </c>
      <c r="E30" s="162">
        <v>30</v>
      </c>
      <c r="F30" s="162">
        <v>1</v>
      </c>
      <c r="G30" s="162">
        <v>73</v>
      </c>
      <c r="H30" s="288">
        <f t="shared" si="0"/>
        <v>3954208.5442404835</v>
      </c>
      <c r="I30" s="1"/>
      <c r="J30" s="1"/>
    </row>
    <row r="31" spans="1:17" customFormat="1" x14ac:dyDescent="0.25">
      <c r="A31" s="3">
        <v>39569</v>
      </c>
      <c r="B31" s="28">
        <f>'[7]Consumption Data '!L82</f>
        <v>3563732</v>
      </c>
      <c r="C31" s="24">
        <f>'[8]Purchased Power Model '!C31</f>
        <v>193.5</v>
      </c>
      <c r="D31" s="24">
        <f>'[8]Purchased Power Model '!D31</f>
        <v>2.5</v>
      </c>
      <c r="E31" s="162">
        <v>31</v>
      </c>
      <c r="F31" s="162">
        <v>1</v>
      </c>
      <c r="G31" s="162">
        <v>73</v>
      </c>
      <c r="H31" s="288">
        <f t="shared" si="0"/>
        <v>3955990.1985763046</v>
      </c>
      <c r="I31" s="1"/>
      <c r="J31" s="1"/>
    </row>
    <row r="32" spans="1:17" customFormat="1" x14ac:dyDescent="0.25">
      <c r="A32" s="3">
        <v>39600</v>
      </c>
      <c r="B32" s="28">
        <f>'[7]Consumption Data '!L83</f>
        <v>3531127</v>
      </c>
      <c r="C32" s="24">
        <f>'[8]Purchased Power Model '!C32</f>
        <v>22.7</v>
      </c>
      <c r="D32" s="24">
        <f>'[8]Purchased Power Model '!D32</f>
        <v>71.5</v>
      </c>
      <c r="E32" s="162">
        <v>30</v>
      </c>
      <c r="F32" s="162">
        <v>0</v>
      </c>
      <c r="G32" s="162">
        <v>73</v>
      </c>
      <c r="H32" s="288">
        <f t="shared" si="0"/>
        <v>3930710.7661412805</v>
      </c>
      <c r="I32" s="1"/>
      <c r="J32" s="1"/>
    </row>
    <row r="33" spans="1:31" x14ac:dyDescent="0.25">
      <c r="A33" s="3">
        <v>39630</v>
      </c>
      <c r="B33" s="28">
        <f>'[7]Consumption Data '!L84</f>
        <v>3652158</v>
      </c>
      <c r="C33" s="24">
        <f>'[8]Purchased Power Model '!C33</f>
        <v>1</v>
      </c>
      <c r="D33" s="24">
        <f>'[8]Purchased Power Model '!D33</f>
        <v>111</v>
      </c>
      <c r="E33" s="162">
        <v>31</v>
      </c>
      <c r="F33" s="162">
        <v>0</v>
      </c>
      <c r="G33" s="162">
        <v>74</v>
      </c>
      <c r="H33" s="288">
        <f t="shared" si="0"/>
        <v>3980176.0842488767</v>
      </c>
    </row>
    <row r="34" spans="1:31" x14ac:dyDescent="0.25">
      <c r="A34" s="3">
        <v>39661</v>
      </c>
      <c r="B34" s="28">
        <f>'[7]Consumption Data '!L85</f>
        <v>3705140</v>
      </c>
      <c r="C34" s="24">
        <f>'[8]Purchased Power Model '!C34</f>
        <v>12.7</v>
      </c>
      <c r="D34" s="24">
        <f>'[8]Purchased Power Model '!D34</f>
        <v>64</v>
      </c>
      <c r="E34" s="162">
        <v>31</v>
      </c>
      <c r="F34" s="162">
        <v>0</v>
      </c>
      <c r="G34" s="162">
        <v>74</v>
      </c>
      <c r="H34" s="288">
        <f t="shared" si="0"/>
        <v>3942606.0116559174</v>
      </c>
    </row>
    <row r="35" spans="1:31" x14ac:dyDescent="0.25">
      <c r="A35" s="3">
        <v>39692</v>
      </c>
      <c r="B35" s="28">
        <f>'[7]Consumption Data '!L86</f>
        <v>3825164</v>
      </c>
      <c r="C35" s="24">
        <f>'[8]Purchased Power Model '!C35</f>
        <v>59</v>
      </c>
      <c r="D35" s="24">
        <f>'[8]Purchased Power Model '!D35</f>
        <v>26.7</v>
      </c>
      <c r="E35" s="162">
        <v>30</v>
      </c>
      <c r="F35" s="162">
        <v>1</v>
      </c>
      <c r="G35" s="162">
        <v>74</v>
      </c>
      <c r="H35" s="288">
        <f t="shared" si="0"/>
        <v>3904403.5345932036</v>
      </c>
    </row>
    <row r="36" spans="1:31" x14ac:dyDescent="0.25">
      <c r="A36" s="3">
        <v>39722</v>
      </c>
      <c r="B36" s="28">
        <f>'[7]Consumption Data '!L87</f>
        <v>4010251</v>
      </c>
      <c r="C36" s="24">
        <f>'[8]Purchased Power Model '!C36</f>
        <v>278.60000000000002</v>
      </c>
      <c r="D36" s="24">
        <f>'[8]Purchased Power Model '!D36</f>
        <v>0</v>
      </c>
      <c r="E36" s="162">
        <v>31</v>
      </c>
      <c r="F36" s="162">
        <v>1</v>
      </c>
      <c r="G36" s="162">
        <v>74</v>
      </c>
      <c r="H36" s="288">
        <f t="shared" si="0"/>
        <v>3985919.0602539964</v>
      </c>
    </row>
    <row r="37" spans="1:31" x14ac:dyDescent="0.25">
      <c r="A37" s="3">
        <v>39753</v>
      </c>
      <c r="B37" s="28">
        <f>'[7]Consumption Data '!L88</f>
        <v>4029874</v>
      </c>
      <c r="C37" s="24">
        <f>'[8]Purchased Power Model '!C37</f>
        <v>451.6</v>
      </c>
      <c r="D37" s="24">
        <f>'[8]Purchased Power Model '!D37</f>
        <v>0</v>
      </c>
      <c r="E37" s="162">
        <v>30</v>
      </c>
      <c r="F37" s="162">
        <v>1</v>
      </c>
      <c r="G37" s="162">
        <v>74</v>
      </c>
      <c r="H37" s="288">
        <f t="shared" si="0"/>
        <v>4028926.774718645</v>
      </c>
    </row>
    <row r="38" spans="1:31" x14ac:dyDescent="0.25">
      <c r="A38" s="3">
        <v>39783</v>
      </c>
      <c r="B38" s="28">
        <f>'[7]Consumption Data '!L89</f>
        <v>4253129</v>
      </c>
      <c r="C38" s="24">
        <f>'[8]Purchased Power Model '!C38</f>
        <v>654.6</v>
      </c>
      <c r="D38" s="24">
        <f>'[8]Purchased Power Model '!D38</f>
        <v>0</v>
      </c>
      <c r="E38" s="162">
        <v>31</v>
      </c>
      <c r="F38" s="162">
        <v>0</v>
      </c>
      <c r="G38" s="162">
        <v>74</v>
      </c>
      <c r="H38" s="288">
        <f t="shared" si="0"/>
        <v>4128023.5350126652</v>
      </c>
    </row>
    <row r="39" spans="1:31" s="119" customFormat="1" x14ac:dyDescent="0.25">
      <c r="A39" s="3">
        <v>39814</v>
      </c>
      <c r="B39" s="28">
        <f>'[7]Consumption Data '!L90</f>
        <v>4093327</v>
      </c>
      <c r="C39" s="24">
        <f>'[8]Purchased Power Model '!C39</f>
        <v>830.2</v>
      </c>
      <c r="D39" s="24">
        <f>'[8]Purchased Power Model '!D39</f>
        <v>0</v>
      </c>
      <c r="E39" s="162">
        <v>31</v>
      </c>
      <c r="F39" s="162">
        <v>0</v>
      </c>
      <c r="G39" s="162">
        <v>74</v>
      </c>
      <c r="H39" s="288">
        <f t="shared" si="0"/>
        <v>4194389.3482244257</v>
      </c>
      <c r="I39" s="49"/>
      <c r="J39" s="1"/>
      <c r="K39"/>
      <c r="L39"/>
      <c r="M39"/>
      <c r="N39"/>
      <c r="O39"/>
      <c r="P39"/>
      <c r="Q39"/>
      <c r="R39"/>
      <c r="S39"/>
      <c r="T39"/>
      <c r="U39"/>
      <c r="V39"/>
      <c r="W39" s="207"/>
      <c r="X39" s="207"/>
      <c r="Y39" s="207"/>
      <c r="Z39" s="207"/>
      <c r="AA39" s="207"/>
      <c r="AB39" s="207"/>
      <c r="AC39" s="207"/>
      <c r="AD39" s="207"/>
      <c r="AE39" s="207"/>
    </row>
    <row r="40" spans="1:31" x14ac:dyDescent="0.25">
      <c r="A40" s="3">
        <v>39845</v>
      </c>
      <c r="B40" s="28">
        <f>'[7]Consumption Data '!L91</f>
        <v>3845597</v>
      </c>
      <c r="C40" s="24">
        <f>'[8]Purchased Power Model '!C40</f>
        <v>606.4</v>
      </c>
      <c r="D40" s="24">
        <f>'[8]Purchased Power Model '!D40</f>
        <v>0</v>
      </c>
      <c r="E40" s="162">
        <v>28</v>
      </c>
      <c r="F40" s="162">
        <v>0</v>
      </c>
      <c r="G40" s="162">
        <v>74</v>
      </c>
      <c r="H40" s="288">
        <f t="shared" si="0"/>
        <v>4042680.5664834287</v>
      </c>
      <c r="I40" s="49"/>
    </row>
    <row r="41" spans="1:31" x14ac:dyDescent="0.25">
      <c r="A41" s="3">
        <v>39873</v>
      </c>
      <c r="B41" s="28">
        <f>'[7]Consumption Data '!L92</f>
        <v>4098357</v>
      </c>
      <c r="C41" s="24">
        <f>'[8]Purchased Power Model '!C41</f>
        <v>533.79999999999995</v>
      </c>
      <c r="D41" s="24">
        <f>'[8]Purchased Power Model '!D41</f>
        <v>0</v>
      </c>
      <c r="E41" s="162">
        <v>31</v>
      </c>
      <c r="F41" s="162">
        <v>1</v>
      </c>
      <c r="G41" s="162">
        <v>74</v>
      </c>
      <c r="H41" s="288">
        <f t="shared" si="0"/>
        <v>4082368.6931221141</v>
      </c>
      <c r="I41" s="49"/>
    </row>
    <row r="42" spans="1:31" x14ac:dyDescent="0.25">
      <c r="A42" s="3">
        <v>39904</v>
      </c>
      <c r="B42" s="28">
        <f>'[7]Consumption Data '!L93</f>
        <v>3726593</v>
      </c>
      <c r="C42" s="24">
        <f>'[8]Purchased Power Model '!C42</f>
        <v>305.8</v>
      </c>
      <c r="D42" s="24">
        <f>'[8]Purchased Power Model '!D42</f>
        <v>1.2</v>
      </c>
      <c r="E42" s="162">
        <v>30</v>
      </c>
      <c r="F42" s="162">
        <v>1</v>
      </c>
      <c r="G42" s="162">
        <v>74</v>
      </c>
      <c r="H42" s="288">
        <f t="shared" si="0"/>
        <v>3974895.631658907</v>
      </c>
      <c r="I42" s="49"/>
    </row>
    <row r="43" spans="1:31" x14ac:dyDescent="0.25">
      <c r="A43" s="3">
        <v>39934</v>
      </c>
      <c r="B43" s="28">
        <f>'[7]Consumption Data '!L94</f>
        <v>3697247</v>
      </c>
      <c r="C43" s="24">
        <f>'[8]Purchased Power Model '!C43</f>
        <v>158.80000000000001</v>
      </c>
      <c r="D43" s="24">
        <f>'[8]Purchased Power Model '!D43</f>
        <v>6.9</v>
      </c>
      <c r="E43" s="162">
        <v>31</v>
      </c>
      <c r="F43" s="162">
        <v>1</v>
      </c>
      <c r="G43" s="162">
        <v>75</v>
      </c>
      <c r="H43" s="288">
        <f t="shared" si="0"/>
        <v>3946806.9300483768</v>
      </c>
      <c r="I43" s="49"/>
    </row>
    <row r="44" spans="1:31" x14ac:dyDescent="0.25">
      <c r="A44" s="3">
        <v>39965</v>
      </c>
      <c r="B44" s="28">
        <f>'[7]Consumption Data '!L95</f>
        <v>3539269</v>
      </c>
      <c r="C44" s="24">
        <f>'[8]Purchased Power Model '!C44</f>
        <v>49.3</v>
      </c>
      <c r="D44" s="24">
        <f>'[8]Purchased Power Model '!D44</f>
        <v>34.200000000000003</v>
      </c>
      <c r="E44" s="162">
        <v>30</v>
      </c>
      <c r="F44" s="162">
        <v>0</v>
      </c>
      <c r="G44" s="162">
        <v>72</v>
      </c>
      <c r="H44" s="288">
        <f t="shared" si="0"/>
        <v>3907438.3830727041</v>
      </c>
      <c r="I44" s="49"/>
    </row>
    <row r="45" spans="1:31" x14ac:dyDescent="0.25">
      <c r="A45" s="3">
        <v>39995</v>
      </c>
      <c r="B45" s="28">
        <f>'[7]Consumption Data '!L96</f>
        <v>3698838</v>
      </c>
      <c r="C45" s="24">
        <f>'[8]Purchased Power Model '!C45</f>
        <v>6.2</v>
      </c>
      <c r="D45" s="24">
        <f>'[8]Purchased Power Model '!D45</f>
        <v>43.7</v>
      </c>
      <c r="E45" s="162">
        <v>31</v>
      </c>
      <c r="F45" s="162">
        <v>0</v>
      </c>
      <c r="G45" s="162">
        <v>72</v>
      </c>
      <c r="H45" s="288">
        <f t="shared" si="0"/>
        <v>3922012.4738035952</v>
      </c>
      <c r="I45" s="49"/>
    </row>
    <row r="46" spans="1:31" x14ac:dyDescent="0.25">
      <c r="A46" s="3">
        <v>40026</v>
      </c>
      <c r="B46" s="28">
        <f>'[7]Consumption Data '!L97</f>
        <v>4067503</v>
      </c>
      <c r="C46" s="24">
        <f>'[8]Purchased Power Model '!C46</f>
        <v>9.8000000000000007</v>
      </c>
      <c r="D46" s="24">
        <f>'[8]Purchased Power Model '!D46</f>
        <v>91</v>
      </c>
      <c r="E46" s="162">
        <v>31</v>
      </c>
      <c r="F46" s="162">
        <v>0</v>
      </c>
      <c r="G46" s="162">
        <v>72</v>
      </c>
      <c r="H46" s="288">
        <f t="shared" si="0"/>
        <v>3965633.02278258</v>
      </c>
      <c r="I46" s="49"/>
    </row>
    <row r="47" spans="1:31" x14ac:dyDescent="0.25">
      <c r="A47" s="3">
        <v>40057</v>
      </c>
      <c r="B47" s="28">
        <f>'[7]Consumption Data '!L98</f>
        <v>4020681</v>
      </c>
      <c r="C47" s="24">
        <f>'[8]Purchased Power Model '!C47</f>
        <v>55.2</v>
      </c>
      <c r="D47" s="24">
        <f>'[8]Purchased Power Model '!D47</f>
        <v>20.9</v>
      </c>
      <c r="E47" s="162">
        <v>30</v>
      </c>
      <c r="F47" s="162">
        <v>1</v>
      </c>
      <c r="G47" s="162">
        <v>72</v>
      </c>
      <c r="H47" s="288">
        <f t="shared" si="0"/>
        <v>3897785.3881943948</v>
      </c>
      <c r="I47" s="49"/>
    </row>
    <row r="48" spans="1:31" x14ac:dyDescent="0.25">
      <c r="A48" s="3">
        <v>40087</v>
      </c>
      <c r="B48" s="28">
        <f>'[7]Consumption Data '!L99</f>
        <v>4114121</v>
      </c>
      <c r="C48" s="24">
        <f>'[8]Purchased Power Model '!C48</f>
        <v>287.8</v>
      </c>
      <c r="D48" s="24">
        <f>'[8]Purchased Power Model '!D48</f>
        <v>0</v>
      </c>
      <c r="E48" s="162">
        <v>31</v>
      </c>
      <c r="F48" s="162">
        <v>1</v>
      </c>
      <c r="G48" s="162">
        <v>72</v>
      </c>
      <c r="H48" s="288">
        <f t="shared" si="0"/>
        <v>3989396.0846363897</v>
      </c>
      <c r="I48" s="49"/>
    </row>
    <row r="49" spans="1:31" x14ac:dyDescent="0.25">
      <c r="A49" s="3">
        <v>40118</v>
      </c>
      <c r="B49" s="28">
        <f>'[7]Consumption Data '!L100</f>
        <v>4196370</v>
      </c>
      <c r="C49" s="24">
        <f>'[8]Purchased Power Model '!C49</f>
        <v>361.2</v>
      </c>
      <c r="D49" s="24">
        <f>'[8]Purchased Power Model '!D49</f>
        <v>0</v>
      </c>
      <c r="E49" s="162">
        <v>30</v>
      </c>
      <c r="F49" s="162">
        <v>1</v>
      </c>
      <c r="G49" s="162">
        <v>72</v>
      </c>
      <c r="H49" s="288">
        <f t="shared" si="0"/>
        <v>3994761.2307873056</v>
      </c>
      <c r="I49" s="49"/>
    </row>
    <row r="50" spans="1:31" s="33" customFormat="1" x14ac:dyDescent="0.25">
      <c r="A50" s="3">
        <v>40148</v>
      </c>
      <c r="B50" s="28">
        <f>'[7]Consumption Data '!L101</f>
        <v>4346550</v>
      </c>
      <c r="C50" s="24">
        <f>'[8]Purchased Power Model '!C50</f>
        <v>631.29999999999995</v>
      </c>
      <c r="D50" s="24">
        <f>'[8]Purchased Power Model '!D50</f>
        <v>0</v>
      </c>
      <c r="E50" s="162">
        <v>31</v>
      </c>
      <c r="F50" s="162">
        <v>0</v>
      </c>
      <c r="G50" s="162">
        <v>72</v>
      </c>
      <c r="H50" s="288">
        <f t="shared" si="0"/>
        <v>4119217.5928268218</v>
      </c>
      <c r="I50" s="49"/>
      <c r="J50" s="1"/>
      <c r="K50"/>
      <c r="L50"/>
      <c r="M50"/>
      <c r="N50"/>
      <c r="O50"/>
      <c r="P50"/>
      <c r="Q50"/>
      <c r="R50"/>
      <c r="S50"/>
      <c r="T50"/>
      <c r="U50"/>
      <c r="V50"/>
      <c r="W50" s="28"/>
      <c r="X50" s="28"/>
      <c r="Y50" s="28"/>
      <c r="Z50" s="28"/>
      <c r="AA50" s="28"/>
      <c r="AB50" s="28"/>
      <c r="AC50" s="28"/>
      <c r="AD50" s="28"/>
      <c r="AE50" s="28"/>
    </row>
    <row r="51" spans="1:31" x14ac:dyDescent="0.25">
      <c r="A51" s="3">
        <v>40179</v>
      </c>
      <c r="B51" s="28">
        <f>'[7]Consumption Data '!L102</f>
        <v>4467755</v>
      </c>
      <c r="C51" s="24">
        <f>'[8]Purchased Power Model '!C51</f>
        <v>720</v>
      </c>
      <c r="D51" s="24">
        <f>'[8]Purchased Power Model '!D51</f>
        <v>0</v>
      </c>
      <c r="E51" s="162">
        <v>31</v>
      </c>
      <c r="F51" s="162">
        <v>0</v>
      </c>
      <c r="G51" s="162">
        <v>73</v>
      </c>
      <c r="H51" s="288">
        <f t="shared" si="0"/>
        <v>4152740.6431222847</v>
      </c>
      <c r="I51" s="49"/>
      <c r="W51" s="207"/>
      <c r="X51" s="207"/>
      <c r="Y51" s="207"/>
    </row>
    <row r="52" spans="1:31" x14ac:dyDescent="0.25">
      <c r="A52" s="3">
        <v>40210</v>
      </c>
      <c r="B52" s="28">
        <f>'[7]Consumption Data '!L103</f>
        <v>4091689</v>
      </c>
      <c r="C52" s="24">
        <f>'[8]Purchased Power Model '!C52</f>
        <v>598.29999999999995</v>
      </c>
      <c r="D52" s="24">
        <f>'[8]Purchased Power Model '!D52</f>
        <v>0</v>
      </c>
      <c r="E52" s="162">
        <v>28</v>
      </c>
      <c r="F52" s="162">
        <v>0</v>
      </c>
      <c r="G52" s="162">
        <v>73</v>
      </c>
      <c r="H52" s="288">
        <f t="shared" si="0"/>
        <v>4039619.2732771914</v>
      </c>
      <c r="I52" s="49"/>
    </row>
    <row r="53" spans="1:31" x14ac:dyDescent="0.25">
      <c r="A53" s="3">
        <v>40238</v>
      </c>
      <c r="B53" s="28">
        <f>'[7]Consumption Data '!L104</f>
        <v>4408918</v>
      </c>
      <c r="C53" s="24">
        <f>'[8]Purchased Power Model '!C53</f>
        <v>422.8</v>
      </c>
      <c r="D53" s="24">
        <f>'[8]Purchased Power Model '!D53</f>
        <v>0</v>
      </c>
      <c r="E53" s="162">
        <v>31</v>
      </c>
      <c r="F53" s="162">
        <v>1</v>
      </c>
      <c r="G53" s="162">
        <v>73</v>
      </c>
      <c r="H53" s="288">
        <f t="shared" si="0"/>
        <v>4040417.6380736777</v>
      </c>
      <c r="I53" s="49"/>
    </row>
    <row r="54" spans="1:31" x14ac:dyDescent="0.25">
      <c r="A54" s="3">
        <v>40269</v>
      </c>
      <c r="B54" s="28">
        <f>'[7]Consumption Data '!L105</f>
        <v>3956850</v>
      </c>
      <c r="C54" s="24">
        <f>'[8]Purchased Power Model '!C54</f>
        <v>225.1</v>
      </c>
      <c r="D54" s="24">
        <f>'[8]Purchased Power Model '!D54</f>
        <v>0</v>
      </c>
      <c r="E54" s="162">
        <v>30</v>
      </c>
      <c r="F54" s="162">
        <v>1</v>
      </c>
      <c r="G54" s="162">
        <v>73</v>
      </c>
      <c r="H54" s="288">
        <f t="shared" si="0"/>
        <v>3943323.9461738621</v>
      </c>
      <c r="I54" s="49"/>
    </row>
    <row r="55" spans="1:31" x14ac:dyDescent="0.25">
      <c r="A55" s="3">
        <v>40299</v>
      </c>
      <c r="B55" s="28">
        <f>'[7]Consumption Data '!L106</f>
        <v>4178542</v>
      </c>
      <c r="C55" s="24">
        <f>'[8]Purchased Power Model '!C55</f>
        <v>107.9</v>
      </c>
      <c r="D55" s="24">
        <f>'[8]Purchased Power Model '!D55</f>
        <v>45.7</v>
      </c>
      <c r="E55" s="162">
        <v>31</v>
      </c>
      <c r="F55" s="162">
        <v>1</v>
      </c>
      <c r="G55" s="162">
        <v>71</v>
      </c>
      <c r="H55" s="288">
        <f t="shared" si="0"/>
        <v>3962235.6018139063</v>
      </c>
      <c r="I55" s="49"/>
    </row>
    <row r="56" spans="1:31" x14ac:dyDescent="0.25">
      <c r="A56" s="3">
        <v>40330</v>
      </c>
      <c r="B56" s="28">
        <f>'[7]Consumption Data '!L107</f>
        <v>4295870</v>
      </c>
      <c r="C56" s="24">
        <f>'[8]Purchased Power Model '!C56</f>
        <v>21.7</v>
      </c>
      <c r="D56" s="24">
        <f>'[8]Purchased Power Model '!D56</f>
        <v>58.7</v>
      </c>
      <c r="E56" s="162">
        <v>30</v>
      </c>
      <c r="F56" s="162">
        <v>0</v>
      </c>
      <c r="G56" s="162">
        <v>68</v>
      </c>
      <c r="H56" s="288">
        <f t="shared" si="0"/>
        <v>3918896.7257480645</v>
      </c>
      <c r="I56" s="49"/>
    </row>
    <row r="57" spans="1:31" x14ac:dyDescent="0.25">
      <c r="A57" s="3">
        <v>40360</v>
      </c>
      <c r="B57" s="28">
        <f>'[7]Consumption Data '!L108</f>
        <v>4296963</v>
      </c>
      <c r="C57" s="24">
        <f>'[8]Purchased Power Model '!C57</f>
        <v>1.8</v>
      </c>
      <c r="D57" s="24">
        <f>'[8]Purchased Power Model '!D57</f>
        <v>164.9</v>
      </c>
      <c r="E57" s="162">
        <v>31</v>
      </c>
      <c r="F57" s="162">
        <v>0</v>
      </c>
      <c r="G57" s="162">
        <v>67</v>
      </c>
      <c r="H57" s="288">
        <f t="shared" si="0"/>
        <v>4028635.1490047574</v>
      </c>
      <c r="I57" s="49"/>
    </row>
    <row r="58" spans="1:31" x14ac:dyDescent="0.25">
      <c r="A58" s="3">
        <v>40391</v>
      </c>
      <c r="B58" s="28">
        <f>'[7]Consumption Data '!L109</f>
        <v>4422302</v>
      </c>
      <c r="C58" s="24">
        <f>'[8]Purchased Power Model '!C58</f>
        <v>2.1</v>
      </c>
      <c r="D58" s="24">
        <f>'[8]Purchased Power Model '!D58</f>
        <v>138.80000000000001</v>
      </c>
      <c r="E58" s="162">
        <v>31</v>
      </c>
      <c r="F58" s="162">
        <v>0</v>
      </c>
      <c r="G58" s="162">
        <v>68</v>
      </c>
      <c r="H58" s="288">
        <f t="shared" si="0"/>
        <v>4005429.6015420356</v>
      </c>
      <c r="I58" s="49"/>
    </row>
    <row r="59" spans="1:31" x14ac:dyDescent="0.25">
      <c r="A59" s="3">
        <v>40422</v>
      </c>
      <c r="B59" s="28">
        <f>'[7]Consumption Data '!L110</f>
        <v>4190730</v>
      </c>
      <c r="C59" s="24">
        <f>'[8]Purchased Power Model '!C59</f>
        <v>78.099999999999994</v>
      </c>
      <c r="D59" s="24">
        <f>'[8]Purchased Power Model '!D59</f>
        <v>31.5</v>
      </c>
      <c r="E59" s="162">
        <v>30</v>
      </c>
      <c r="F59" s="162">
        <v>1</v>
      </c>
      <c r="G59" s="162">
        <v>68</v>
      </c>
      <c r="H59" s="288">
        <f t="shared" si="0"/>
        <v>3915910.6781711276</v>
      </c>
      <c r="I59" s="49"/>
    </row>
    <row r="60" spans="1:31" x14ac:dyDescent="0.25">
      <c r="A60" s="3">
        <v>40452</v>
      </c>
      <c r="B60" s="28">
        <f>'[7]Consumption Data '!L111</f>
        <v>4346909</v>
      </c>
      <c r="C60" s="24">
        <f>'[8]Purchased Power Model '!C60</f>
        <v>241.6</v>
      </c>
      <c r="D60" s="24">
        <f>'[8]Purchased Power Model '!D60</f>
        <v>0</v>
      </c>
      <c r="E60" s="162">
        <v>31</v>
      </c>
      <c r="F60" s="162">
        <v>1</v>
      </c>
      <c r="G60" s="162">
        <v>68</v>
      </c>
      <c r="H60" s="288">
        <f t="shared" si="0"/>
        <v>3971935.3752378509</v>
      </c>
      <c r="I60" s="49"/>
    </row>
    <row r="61" spans="1:31" x14ac:dyDescent="0.25">
      <c r="A61" s="3">
        <v>40483</v>
      </c>
      <c r="B61" s="28">
        <f>'[7]Consumption Data '!L112</f>
        <v>4206995</v>
      </c>
      <c r="C61" s="24">
        <f>'[8]Purchased Power Model '!C61</f>
        <v>405.3</v>
      </c>
      <c r="D61" s="24">
        <f>'[8]Purchased Power Model '!D61</f>
        <v>0</v>
      </c>
      <c r="E61" s="162">
        <v>30</v>
      </c>
      <c r="F61" s="162">
        <v>1</v>
      </c>
      <c r="G61" s="162">
        <v>68</v>
      </c>
      <c r="H61" s="288">
        <f t="shared" si="0"/>
        <v>4011428.2715768199</v>
      </c>
      <c r="I61" s="49"/>
    </row>
    <row r="62" spans="1:31" x14ac:dyDescent="0.25">
      <c r="A62" s="3">
        <v>40513</v>
      </c>
      <c r="B62" s="28">
        <f>'[7]Consumption Data '!L113</f>
        <v>4242518</v>
      </c>
      <c r="C62" s="24">
        <f>'[8]Purchased Power Model '!C62</f>
        <v>676.2</v>
      </c>
      <c r="D62" s="24">
        <f>'[8]Purchased Power Model '!D62</f>
        <v>0</v>
      </c>
      <c r="E62" s="162">
        <v>31</v>
      </c>
      <c r="F62" s="162">
        <v>0</v>
      </c>
      <c r="G62" s="162">
        <v>68</v>
      </c>
      <c r="H62" s="288">
        <f t="shared" si="0"/>
        <v>4136186.9835626311</v>
      </c>
      <c r="I62" s="49"/>
    </row>
    <row r="63" spans="1:31" x14ac:dyDescent="0.25">
      <c r="A63" s="3">
        <v>40544</v>
      </c>
      <c r="B63" s="28">
        <f>'[7]Consumption Data '!L114</f>
        <v>4294433</v>
      </c>
      <c r="C63" s="24">
        <f>'[8]Purchased Power Model '!C63</f>
        <v>775.3</v>
      </c>
      <c r="D63" s="24">
        <f>'[8]Purchased Power Model '!D63</f>
        <v>0</v>
      </c>
      <c r="E63" s="292">
        <v>31</v>
      </c>
      <c r="F63" s="162">
        <v>0</v>
      </c>
      <c r="G63" s="162">
        <v>68</v>
      </c>
      <c r="H63" s="288">
        <f t="shared" si="0"/>
        <v>4173640.5831599291</v>
      </c>
      <c r="I63" s="49"/>
    </row>
    <row r="64" spans="1:31" x14ac:dyDescent="0.25">
      <c r="A64" s="3">
        <v>40575</v>
      </c>
      <c r="B64" s="28">
        <f>'[7]Consumption Data '!L115</f>
        <v>3932436</v>
      </c>
      <c r="C64" s="24">
        <f>'[8]Purchased Power Model '!C64</f>
        <v>654.20000000000005</v>
      </c>
      <c r="D64" s="24">
        <f>'[8]Purchased Power Model '!D64</f>
        <v>0</v>
      </c>
      <c r="E64" s="292">
        <v>28</v>
      </c>
      <c r="F64" s="162">
        <v>0</v>
      </c>
      <c r="G64" s="162">
        <v>68</v>
      </c>
      <c r="H64" s="288">
        <f t="shared" si="0"/>
        <v>4060745.9757745573</v>
      </c>
      <c r="I64" s="49"/>
    </row>
    <row r="65" spans="1:9" customFormat="1" x14ac:dyDescent="0.25">
      <c r="A65" s="3">
        <v>40603</v>
      </c>
      <c r="B65" s="28">
        <f>'[7]Consumption Data '!L116</f>
        <v>4256728</v>
      </c>
      <c r="C65" s="24">
        <f>'[8]Purchased Power Model '!C65</f>
        <v>572.79999999999995</v>
      </c>
      <c r="D65" s="24">
        <f>'[8]Purchased Power Model '!D65</f>
        <v>0</v>
      </c>
      <c r="E65" s="292">
        <v>31</v>
      </c>
      <c r="F65" s="162">
        <v>1</v>
      </c>
      <c r="G65" s="162">
        <v>68</v>
      </c>
      <c r="H65" s="288">
        <f t="shared" si="0"/>
        <v>4097108.2530039973</v>
      </c>
      <c r="I65" s="49"/>
    </row>
    <row r="66" spans="1:9" customFormat="1" x14ac:dyDescent="0.25">
      <c r="A66" s="3">
        <v>40634</v>
      </c>
      <c r="B66" s="28">
        <f>'[7]Consumption Data '!L117</f>
        <v>3978925</v>
      </c>
      <c r="C66" s="24">
        <f>'[8]Purchased Power Model '!C66</f>
        <v>332.3</v>
      </c>
      <c r="D66" s="24">
        <f>'[8]Purchased Power Model '!D66</f>
        <v>0</v>
      </c>
      <c r="E66" s="292">
        <v>30</v>
      </c>
      <c r="F66" s="162">
        <v>1</v>
      </c>
      <c r="G66" s="162">
        <v>68</v>
      </c>
      <c r="H66" s="288">
        <f t="shared" si="0"/>
        <v>3983838.8389773974</v>
      </c>
      <c r="I66" s="49"/>
    </row>
    <row r="67" spans="1:9" customFormat="1" x14ac:dyDescent="0.25">
      <c r="A67" s="3">
        <v>40664</v>
      </c>
      <c r="B67" s="28">
        <f>'[7]Consumption Data '!L118</f>
        <v>4091845</v>
      </c>
      <c r="C67" s="24">
        <f>'[8]Purchased Power Model '!C67</f>
        <v>134.1</v>
      </c>
      <c r="D67" s="24">
        <f>'[8]Purchased Power Model '!D67</f>
        <v>13</v>
      </c>
      <c r="E67" s="292">
        <v>31</v>
      </c>
      <c r="F67" s="162">
        <v>1</v>
      </c>
      <c r="G67" s="162">
        <v>68</v>
      </c>
      <c r="H67" s="288">
        <f t="shared" si="0"/>
        <v>3942921.8932735571</v>
      </c>
      <c r="I67" s="49"/>
    </row>
    <row r="68" spans="1:9" customFormat="1" x14ac:dyDescent="0.25">
      <c r="A68" s="3">
        <v>40695</v>
      </c>
      <c r="B68" s="28">
        <f>'[7]Consumption Data '!L119</f>
        <v>4026185</v>
      </c>
      <c r="C68" s="24">
        <f>'[8]Purchased Power Model '!C68</f>
        <v>19</v>
      </c>
      <c r="D68" s="24">
        <f>'[8]Purchased Power Model '!D68</f>
        <v>52.2</v>
      </c>
      <c r="E68" s="292">
        <v>30</v>
      </c>
      <c r="F68" s="162">
        <v>0</v>
      </c>
      <c r="G68" s="162">
        <v>67</v>
      </c>
      <c r="H68" s="288">
        <f t="shared" ref="H68:H122" si="1">$L$18+C68*$L$19+D68*$L$20+E68*$L$21</f>
        <v>3912068.8986447677</v>
      </c>
      <c r="I68" s="49"/>
    </row>
    <row r="69" spans="1:9" customFormat="1" x14ac:dyDescent="0.25">
      <c r="A69" s="3">
        <v>40725</v>
      </c>
      <c r="B69" s="28">
        <f>'[7]Consumption Data '!L120</f>
        <v>4195592</v>
      </c>
      <c r="C69" s="24">
        <f>'[8]Purchased Power Model '!C69</f>
        <v>0</v>
      </c>
      <c r="D69" s="24">
        <f>'[8]Purchased Power Model '!D69</f>
        <v>198.5</v>
      </c>
      <c r="E69" s="292">
        <v>31</v>
      </c>
      <c r="F69" s="162">
        <v>0</v>
      </c>
      <c r="G69" s="162">
        <v>67</v>
      </c>
      <c r="H69" s="288">
        <f t="shared" si="1"/>
        <v>4057974.6318965042</v>
      </c>
      <c r="I69" s="49"/>
    </row>
    <row r="70" spans="1:9" customFormat="1" x14ac:dyDescent="0.25">
      <c r="A70" s="3">
        <v>40756</v>
      </c>
      <c r="B70" s="28">
        <f>'[7]Consumption Data '!L121</f>
        <v>4267059</v>
      </c>
      <c r="C70" s="24">
        <f>'[8]Purchased Power Model '!C70</f>
        <v>0</v>
      </c>
      <c r="D70" s="24">
        <f>'[8]Purchased Power Model '!D70</f>
        <v>122.2</v>
      </c>
      <c r="E70" s="292">
        <v>31</v>
      </c>
      <c r="F70" s="162">
        <v>0</v>
      </c>
      <c r="G70" s="162">
        <v>68</v>
      </c>
      <c r="H70" s="288">
        <f t="shared" si="1"/>
        <v>3989804.7369063115</v>
      </c>
      <c r="I70" s="49"/>
    </row>
    <row r="71" spans="1:9" customFormat="1" x14ac:dyDescent="0.25">
      <c r="A71" s="3">
        <v>40787</v>
      </c>
      <c r="B71" s="28">
        <f>'[7]Consumption Data '!L122</f>
        <v>4093999</v>
      </c>
      <c r="C71" s="24">
        <f>'[8]Purchased Power Model '!C71</f>
        <v>48.2</v>
      </c>
      <c r="D71" s="24">
        <f>'[8]Purchased Power Model '!D71</f>
        <v>39.700000000000003</v>
      </c>
      <c r="E71" s="292">
        <v>30</v>
      </c>
      <c r="F71" s="162">
        <v>1</v>
      </c>
      <c r="G71" s="162">
        <v>67</v>
      </c>
      <c r="H71" s="288">
        <f t="shared" si="1"/>
        <v>3911936.6023873226</v>
      </c>
      <c r="I71" s="49"/>
    </row>
    <row r="72" spans="1:9" customFormat="1" x14ac:dyDescent="0.25">
      <c r="A72" s="3">
        <v>40817</v>
      </c>
      <c r="B72" s="28">
        <f>'[7]Consumption Data '!L123</f>
        <v>4238340</v>
      </c>
      <c r="C72" s="24">
        <f>'[8]Purchased Power Model '!C72</f>
        <v>235.5</v>
      </c>
      <c r="D72" s="24">
        <f>'[8]Purchased Power Model '!D72</f>
        <v>2.4</v>
      </c>
      <c r="E72" s="292">
        <v>31</v>
      </c>
      <c r="F72" s="162">
        <v>1</v>
      </c>
      <c r="G72" s="162">
        <v>67</v>
      </c>
      <c r="H72" s="288">
        <f t="shared" si="1"/>
        <v>3971774.2262024167</v>
      </c>
      <c r="I72" s="49"/>
    </row>
    <row r="73" spans="1:9" customFormat="1" x14ac:dyDescent="0.25">
      <c r="A73" s="3">
        <v>40848</v>
      </c>
      <c r="B73" s="28">
        <f>'[7]Consumption Data '!L124</f>
        <v>4324842</v>
      </c>
      <c r="C73" s="24">
        <f>'[8]Purchased Power Model '!C73</f>
        <v>342.1</v>
      </c>
      <c r="D73" s="24">
        <f>'[8]Purchased Power Model '!D73</f>
        <v>0</v>
      </c>
      <c r="E73" s="292">
        <v>30</v>
      </c>
      <c r="F73" s="162">
        <v>1</v>
      </c>
      <c r="G73" s="162">
        <v>68</v>
      </c>
      <c r="H73" s="288">
        <f t="shared" si="1"/>
        <v>3987542.6258195117</v>
      </c>
      <c r="I73" s="49"/>
    </row>
    <row r="74" spans="1:9" customFormat="1" x14ac:dyDescent="0.25">
      <c r="A74" s="3">
        <v>40878</v>
      </c>
      <c r="B74" s="28">
        <f>'[7]Consumption Data '!L125</f>
        <v>4305174</v>
      </c>
      <c r="C74" s="24">
        <f>'[8]Purchased Power Model '!C74</f>
        <v>534</v>
      </c>
      <c r="D74" s="24">
        <f>'[8]Purchased Power Model '!D74</f>
        <v>0</v>
      </c>
      <c r="E74" s="292">
        <v>31</v>
      </c>
      <c r="F74" s="162">
        <v>0</v>
      </c>
      <c r="G74" s="162">
        <v>68</v>
      </c>
      <c r="H74" s="288">
        <f t="shared" si="1"/>
        <v>4082444.280608688</v>
      </c>
      <c r="I74" s="49"/>
    </row>
    <row r="75" spans="1:9" customFormat="1" x14ac:dyDescent="0.25">
      <c r="A75" s="3">
        <v>40909</v>
      </c>
      <c r="B75" s="28">
        <v>4408677</v>
      </c>
      <c r="C75" s="24">
        <f>'[8]Purchased Power Model '!C75</f>
        <v>611.1</v>
      </c>
      <c r="D75" s="24">
        <f>'[8]Purchased Power Model '!D75</f>
        <v>0</v>
      </c>
      <c r="E75" s="162">
        <v>31</v>
      </c>
      <c r="F75" s="162">
        <v>0</v>
      </c>
      <c r="G75" s="162">
        <f>'[6]Customer Numbers'!E6</f>
        <v>68</v>
      </c>
      <c r="H75" s="288">
        <f t="shared" si="1"/>
        <v>4111583.2566828723</v>
      </c>
      <c r="I75" s="49"/>
    </row>
    <row r="76" spans="1:9" customFormat="1" x14ac:dyDescent="0.25">
      <c r="A76" s="3">
        <v>40940</v>
      </c>
      <c r="B76" s="28">
        <v>4391689</v>
      </c>
      <c r="C76" s="24">
        <f>'[8]Purchased Power Model '!C76</f>
        <v>531.70000000000005</v>
      </c>
      <c r="D76" s="24">
        <f>'[8]Purchased Power Model '!D76</f>
        <v>0</v>
      </c>
      <c r="E76" s="162">
        <v>29</v>
      </c>
      <c r="F76" s="162">
        <v>0</v>
      </c>
      <c r="G76" s="162">
        <f>'[6]Customer Numbers'!E7</f>
        <v>68</v>
      </c>
      <c r="H76" s="288">
        <f t="shared" si="1"/>
        <v>4036824.1016697828</v>
      </c>
      <c r="I76" s="49"/>
    </row>
    <row r="77" spans="1:9" customFormat="1" x14ac:dyDescent="0.25">
      <c r="A77" s="3">
        <v>40969</v>
      </c>
      <c r="B77" s="28">
        <v>4119900</v>
      </c>
      <c r="C77" s="24">
        <f>'[8]Purchased Power Model '!C77</f>
        <v>349.40000000000009</v>
      </c>
      <c r="D77" s="24">
        <f>'[8]Purchased Power Model '!D77</f>
        <v>0.2</v>
      </c>
      <c r="E77" s="162">
        <v>31</v>
      </c>
      <c r="F77" s="162">
        <v>1</v>
      </c>
      <c r="G77" s="162">
        <f>'[6]Customer Numbers'!E8</f>
        <v>68</v>
      </c>
      <c r="H77" s="288">
        <f t="shared" si="1"/>
        <v>4012855.7196098631</v>
      </c>
      <c r="I77" s="49"/>
    </row>
    <row r="78" spans="1:9" customFormat="1" x14ac:dyDescent="0.25">
      <c r="A78" s="3">
        <v>41000</v>
      </c>
      <c r="B78" s="28">
        <v>4274757</v>
      </c>
      <c r="C78" s="24">
        <f>'[8]Purchased Power Model '!C78</f>
        <v>321.70000000000005</v>
      </c>
      <c r="D78" s="24">
        <f>'[8]Purchased Power Model '!D78</f>
        <v>0</v>
      </c>
      <c r="E78" s="162">
        <v>30</v>
      </c>
      <c r="F78" s="162">
        <v>1</v>
      </c>
      <c r="G78" s="162">
        <f>'[6]Customer Numbers'!E9</f>
        <v>69</v>
      </c>
      <c r="H78" s="288">
        <f t="shared" si="1"/>
        <v>3979832.7021889882</v>
      </c>
      <c r="I78" s="49"/>
    </row>
    <row r="79" spans="1:9" customFormat="1" x14ac:dyDescent="0.25">
      <c r="A79" s="3">
        <v>41030</v>
      </c>
      <c r="B79" s="28">
        <v>3790260</v>
      </c>
      <c r="C79" s="24">
        <f>'[8]Purchased Power Model '!C79</f>
        <v>80.7</v>
      </c>
      <c r="D79" s="24">
        <f>'[8]Purchased Power Model '!D79</f>
        <v>36.700000000000003</v>
      </c>
      <c r="E79" s="162">
        <v>31</v>
      </c>
      <c r="F79" s="162">
        <v>1</v>
      </c>
      <c r="G79" s="162">
        <f>'[6]Customer Numbers'!E10</f>
        <v>69</v>
      </c>
      <c r="H79" s="288">
        <f t="shared" si="1"/>
        <v>3943914.6937458813</v>
      </c>
      <c r="I79" s="49"/>
    </row>
    <row r="80" spans="1:9" customFormat="1" x14ac:dyDescent="0.25">
      <c r="A80" s="3">
        <v>41061</v>
      </c>
      <c r="B80" s="28">
        <v>4258545</v>
      </c>
      <c r="C80" s="24">
        <f>'[8]Purchased Power Model '!C80</f>
        <v>23.2</v>
      </c>
      <c r="D80" s="24">
        <f>'[8]Purchased Power Model '!D80</f>
        <v>101.60000000000001</v>
      </c>
      <c r="E80" s="162">
        <v>30</v>
      </c>
      <c r="F80" s="162">
        <v>0</v>
      </c>
      <c r="G80" s="162">
        <f>'[6]Customer Numbers'!E11</f>
        <v>69</v>
      </c>
      <c r="H80" s="288">
        <f t="shared" si="1"/>
        <v>3957792.4457254056</v>
      </c>
      <c r="I80" s="49"/>
    </row>
    <row r="81" spans="1:9" customFormat="1" x14ac:dyDescent="0.25">
      <c r="A81" s="3">
        <v>41091</v>
      </c>
      <c r="B81" s="28">
        <v>4305966</v>
      </c>
      <c r="C81" s="24">
        <f>'[8]Purchased Power Model '!C81</f>
        <v>0</v>
      </c>
      <c r="D81" s="24">
        <f>'[8]Purchased Power Model '!D81</f>
        <v>195.39999999999998</v>
      </c>
      <c r="E81" s="162">
        <v>31</v>
      </c>
      <c r="F81" s="162">
        <v>0</v>
      </c>
      <c r="G81" s="162">
        <f>'[6]Customer Numbers'!E12</f>
        <v>68</v>
      </c>
      <c r="H81" s="288">
        <f t="shared" si="1"/>
        <v>4055204.9507107954</v>
      </c>
      <c r="I81" s="49"/>
    </row>
    <row r="82" spans="1:9" customFormat="1" x14ac:dyDescent="0.25">
      <c r="A82" s="3">
        <v>41122</v>
      </c>
      <c r="B82" s="28">
        <v>4273773</v>
      </c>
      <c r="C82" s="24">
        <f>'[8]Purchased Power Model '!C82</f>
        <v>2</v>
      </c>
      <c r="D82" s="24">
        <f>'[8]Purchased Power Model '!D82</f>
        <v>112.10000000000001</v>
      </c>
      <c r="E82" s="162">
        <v>31</v>
      </c>
      <c r="F82" s="162">
        <v>0</v>
      </c>
      <c r="G82" s="162">
        <f>'[6]Customer Numbers'!E13</f>
        <v>68</v>
      </c>
      <c r="H82" s="288">
        <f t="shared" si="1"/>
        <v>3981536.8117799005</v>
      </c>
      <c r="I82" s="49"/>
    </row>
    <row r="83" spans="1:9" customFormat="1" x14ac:dyDescent="0.25">
      <c r="A83" s="3">
        <v>41153</v>
      </c>
      <c r="B83" s="28">
        <v>4455584</v>
      </c>
      <c r="C83" s="24">
        <f>'[8]Purchased Power Model '!C83</f>
        <v>85</v>
      </c>
      <c r="D83" s="24">
        <f>'[8]Purchased Power Model '!D83</f>
        <v>35.6</v>
      </c>
      <c r="E83" s="162">
        <v>30</v>
      </c>
      <c r="F83" s="162">
        <v>1</v>
      </c>
      <c r="G83" s="162">
        <f>'[6]Customer Numbers'!E14</f>
        <v>68</v>
      </c>
      <c r="H83" s="288">
        <f t="shared" si="1"/>
        <v>3922181.5731874085</v>
      </c>
      <c r="I83" s="49"/>
    </row>
    <row r="84" spans="1:9" customFormat="1" x14ac:dyDescent="0.25">
      <c r="A84" s="3">
        <v>41183</v>
      </c>
      <c r="B84" s="28">
        <v>3873871</v>
      </c>
      <c r="C84" s="24">
        <f>'[8]Purchased Power Model '!C84</f>
        <v>242.50000000000003</v>
      </c>
      <c r="D84" s="24">
        <f>'[8]Purchased Power Model '!D84</f>
        <v>1.1000000000000001</v>
      </c>
      <c r="E84" s="162">
        <v>31</v>
      </c>
      <c r="F84" s="162">
        <v>1</v>
      </c>
      <c r="G84" s="162">
        <f>'[6]Customer Numbers'!E15</f>
        <v>62</v>
      </c>
      <c r="H84" s="288">
        <f t="shared" si="1"/>
        <v>3973258.309025588</v>
      </c>
      <c r="I84" s="49"/>
    </row>
    <row r="85" spans="1:9" customFormat="1" x14ac:dyDescent="0.25">
      <c r="A85" s="3">
        <v>41214</v>
      </c>
      <c r="B85" s="28">
        <v>4175824</v>
      </c>
      <c r="C85" s="24">
        <f>'[8]Purchased Power Model '!C85</f>
        <v>433.99999999999994</v>
      </c>
      <c r="D85" s="24">
        <f>'[8]Purchased Power Model '!D85</f>
        <v>0</v>
      </c>
      <c r="E85" s="162">
        <v>30</v>
      </c>
      <c r="F85" s="162">
        <v>1</v>
      </c>
      <c r="G85" s="162">
        <f>'[6]Customer Numbers'!E16</f>
        <v>69</v>
      </c>
      <c r="H85" s="288">
        <f t="shared" si="1"/>
        <v>4022275.0759001542</v>
      </c>
      <c r="I85" s="49"/>
    </row>
    <row r="86" spans="1:9" customFormat="1" x14ac:dyDescent="0.25">
      <c r="A86" s="3">
        <v>41244</v>
      </c>
      <c r="B86" s="28">
        <v>4809264</v>
      </c>
      <c r="C86" s="24">
        <f>'[8]Purchased Power Model '!C86</f>
        <v>533.50000000000011</v>
      </c>
      <c r="D86" s="24">
        <f>'[8]Purchased Power Model '!D86</f>
        <v>0</v>
      </c>
      <c r="E86" s="162">
        <v>31</v>
      </c>
      <c r="F86" s="162">
        <v>0</v>
      </c>
      <c r="G86" s="162">
        <f>'[6]Customer Numbers'!E17</f>
        <v>69</v>
      </c>
      <c r="H86" s="288">
        <f t="shared" si="1"/>
        <v>4082255.3118922533</v>
      </c>
      <c r="I86" s="49"/>
    </row>
    <row r="87" spans="1:9" customFormat="1" x14ac:dyDescent="0.25">
      <c r="A87" s="3">
        <v>41275</v>
      </c>
      <c r="B87" s="28">
        <v>4310080</v>
      </c>
      <c r="C87" s="24">
        <f>'[8]Purchased Power Model '!C87</f>
        <v>624.40000000000009</v>
      </c>
      <c r="D87" s="24">
        <f>'[8]Purchased Power Model '!D87</f>
        <v>0</v>
      </c>
      <c r="E87" s="162">
        <v>31</v>
      </c>
      <c r="F87" s="162">
        <v>0</v>
      </c>
      <c r="G87" s="162">
        <f>'[6]Customer Numbers'!E23</f>
        <v>69</v>
      </c>
      <c r="H87" s="288">
        <f t="shared" si="1"/>
        <v>4116609.8245400274</v>
      </c>
      <c r="I87" s="49"/>
    </row>
    <row r="88" spans="1:9" customFormat="1" x14ac:dyDescent="0.25">
      <c r="A88" s="3">
        <v>41306</v>
      </c>
      <c r="B88" s="28">
        <v>4557931</v>
      </c>
      <c r="C88" s="24">
        <f>'[8]Purchased Power Model '!C88</f>
        <v>631.49999999999989</v>
      </c>
      <c r="D88" s="24">
        <f>'[8]Purchased Power Model '!D88</f>
        <v>0</v>
      </c>
      <c r="E88" s="162">
        <v>28</v>
      </c>
      <c r="F88" s="162">
        <v>0</v>
      </c>
      <c r="G88" s="162">
        <f>'[6]Customer Numbers'!E24</f>
        <v>69</v>
      </c>
      <c r="H88" s="288">
        <f t="shared" si="1"/>
        <v>4052166.7960484354</v>
      </c>
      <c r="I88" s="49"/>
    </row>
    <row r="89" spans="1:9" customFormat="1" x14ac:dyDescent="0.25">
      <c r="A89" s="3">
        <v>41334</v>
      </c>
      <c r="B89" s="28">
        <v>4026120</v>
      </c>
      <c r="C89" s="24">
        <f>'[8]Purchased Power Model '!C89</f>
        <v>554.79999999999995</v>
      </c>
      <c r="D89" s="24">
        <f>'[8]Purchased Power Model '!D89</f>
        <v>0</v>
      </c>
      <c r="E89" s="162">
        <v>31</v>
      </c>
      <c r="F89" s="162">
        <v>1</v>
      </c>
      <c r="G89" s="162">
        <f>'[6]Customer Numbers'!E25</f>
        <v>68</v>
      </c>
      <c r="H89" s="288">
        <f t="shared" si="1"/>
        <v>4090305.379212359</v>
      </c>
      <c r="I89" s="49"/>
    </row>
    <row r="90" spans="1:9" customFormat="1" x14ac:dyDescent="0.25">
      <c r="A90" s="3">
        <v>41365</v>
      </c>
      <c r="B90" s="28">
        <v>4223484</v>
      </c>
      <c r="C90" s="24">
        <f>'[8]Purchased Power Model '!C90</f>
        <v>358.6</v>
      </c>
      <c r="D90" s="24">
        <f>'[8]Purchased Power Model '!D90</f>
        <v>0</v>
      </c>
      <c r="E90" s="162">
        <v>30</v>
      </c>
      <c r="F90" s="162">
        <v>1</v>
      </c>
      <c r="G90" s="162">
        <f>'[6]Customer Numbers'!E26</f>
        <v>68</v>
      </c>
      <c r="H90" s="288">
        <f t="shared" si="1"/>
        <v>3993778.5934618469</v>
      </c>
      <c r="I90" s="49"/>
    </row>
    <row r="91" spans="1:9" customFormat="1" x14ac:dyDescent="0.25">
      <c r="A91" s="3">
        <v>41395</v>
      </c>
      <c r="B91" s="28">
        <v>4095207</v>
      </c>
      <c r="C91" s="24">
        <f>'[8]Purchased Power Model '!C91</f>
        <v>109.10000000000001</v>
      </c>
      <c r="D91" s="24">
        <f>'[8]Purchased Power Model '!D91</f>
        <v>23.1</v>
      </c>
      <c r="E91" s="162">
        <v>31</v>
      </c>
      <c r="F91" s="162">
        <v>1</v>
      </c>
      <c r="G91" s="162">
        <f>'[6]Customer Numbers'!E27</f>
        <v>68</v>
      </c>
      <c r="H91" s="288">
        <f t="shared" si="1"/>
        <v>3942497.2574439859</v>
      </c>
      <c r="I91" s="49"/>
    </row>
    <row r="92" spans="1:9" customFormat="1" x14ac:dyDescent="0.25">
      <c r="A92" s="3">
        <v>41426</v>
      </c>
      <c r="B92" s="28">
        <v>4235433</v>
      </c>
      <c r="C92" s="24">
        <f>'[8]Purchased Power Model '!C92</f>
        <v>32.999999999999993</v>
      </c>
      <c r="D92" s="24">
        <f>'[8]Purchased Power Model '!D92</f>
        <v>59.6</v>
      </c>
      <c r="E92" s="162">
        <v>30</v>
      </c>
      <c r="F92" s="162">
        <v>0</v>
      </c>
      <c r="G92" s="162">
        <f>'[6]Customer Numbers'!E28</f>
        <v>69</v>
      </c>
      <c r="H92" s="288">
        <f t="shared" si="1"/>
        <v>3923971.5197288813</v>
      </c>
      <c r="I92" s="49"/>
    </row>
    <row r="93" spans="1:9" customFormat="1" x14ac:dyDescent="0.25">
      <c r="A93" s="3">
        <v>41456</v>
      </c>
      <c r="B93" s="28">
        <v>4170619</v>
      </c>
      <c r="C93" s="24">
        <f>'[8]Purchased Power Model '!C93</f>
        <v>1.2999999999999998</v>
      </c>
      <c r="D93" s="24">
        <f>'[8]Purchased Power Model '!D93</f>
        <v>120.80000000000003</v>
      </c>
      <c r="E93" s="162">
        <v>31</v>
      </c>
      <c r="F93" s="162">
        <v>0</v>
      </c>
      <c r="G93" s="162">
        <f>'[6]Customer Numbers'!E29</f>
        <v>66</v>
      </c>
      <c r="H93" s="288">
        <f t="shared" si="1"/>
        <v>3989045.231807753</v>
      </c>
      <c r="I93" s="49"/>
    </row>
    <row r="94" spans="1:9" customFormat="1" x14ac:dyDescent="0.25">
      <c r="A94" s="3">
        <v>41487</v>
      </c>
      <c r="B94" s="28">
        <v>4290304</v>
      </c>
      <c r="C94" s="24">
        <f>'[8]Purchased Power Model '!C94</f>
        <v>4.4000000000000004</v>
      </c>
      <c r="D94" s="24">
        <f>'[8]Purchased Power Model '!D94</f>
        <v>93.799999999999983</v>
      </c>
      <c r="E94" s="162">
        <v>31</v>
      </c>
      <c r="F94" s="162">
        <v>0</v>
      </c>
      <c r="G94" s="162">
        <f>'[6]Customer Numbers'!E30</f>
        <v>66</v>
      </c>
      <c r="H94" s="288">
        <f t="shared" si="1"/>
        <v>3966093.8081676643</v>
      </c>
      <c r="I94" s="49"/>
    </row>
    <row r="95" spans="1:9" customFormat="1" x14ac:dyDescent="0.25">
      <c r="A95" s="3">
        <v>41518</v>
      </c>
      <c r="B95" s="28">
        <v>4398606</v>
      </c>
      <c r="C95" s="24">
        <f>'[8]Purchased Power Model '!C95</f>
        <v>82.999999999999986</v>
      </c>
      <c r="D95" s="24">
        <f>'[8]Purchased Power Model '!D95</f>
        <v>28.099999999999998</v>
      </c>
      <c r="E95" s="162">
        <v>30</v>
      </c>
      <c r="F95" s="162">
        <v>1</v>
      </c>
      <c r="G95" s="162">
        <f>'[6]Customer Numbers'!E31</f>
        <v>66</v>
      </c>
      <c r="H95" s="288">
        <f t="shared" si="1"/>
        <v>3914724.8567433422</v>
      </c>
      <c r="I95" s="49"/>
    </row>
    <row r="96" spans="1:9" customFormat="1" x14ac:dyDescent="0.25">
      <c r="A96" s="3">
        <v>41548</v>
      </c>
      <c r="B96" s="28">
        <v>4043829</v>
      </c>
      <c r="C96" s="24">
        <f>'[8]Purchased Power Model '!C96</f>
        <v>208.5</v>
      </c>
      <c r="D96" s="24">
        <f>'[8]Purchased Power Model '!D96</f>
        <v>0.4</v>
      </c>
      <c r="E96" s="162">
        <v>31</v>
      </c>
      <c r="F96" s="162">
        <v>1</v>
      </c>
      <c r="G96" s="162">
        <f>'[6]Customer Numbers'!E32</f>
        <v>65</v>
      </c>
      <c r="H96" s="288">
        <f t="shared" si="1"/>
        <v>3959783.0244274046</v>
      </c>
      <c r="I96" s="49"/>
    </row>
    <row r="97" spans="1:22" customFormat="1" x14ac:dyDescent="0.25">
      <c r="A97" s="3">
        <v>41579</v>
      </c>
      <c r="B97" s="28">
        <v>4404977</v>
      </c>
      <c r="C97" s="24">
        <f>'[8]Purchased Power Model '!C97</f>
        <v>478.20000000000005</v>
      </c>
      <c r="D97" s="24">
        <f>'[8]Purchased Power Model '!D97</f>
        <v>0</v>
      </c>
      <c r="E97" s="162">
        <v>30</v>
      </c>
      <c r="F97" s="162">
        <v>1</v>
      </c>
      <c r="G97" s="162">
        <f>'[6]Customer Numbers'!E33</f>
        <v>65</v>
      </c>
      <c r="H97" s="288">
        <f t="shared" si="1"/>
        <v>4038979.9104329553</v>
      </c>
      <c r="I97" s="49"/>
      <c r="J97" s="1"/>
    </row>
    <row r="98" spans="1:22" s="208" customFormat="1" x14ac:dyDescent="0.25">
      <c r="A98" s="3">
        <v>41609</v>
      </c>
      <c r="B98" s="28">
        <v>4165132</v>
      </c>
      <c r="C98" s="24">
        <f>'[8]Purchased Power Model '!C98</f>
        <v>687.9</v>
      </c>
      <c r="D98" s="24">
        <f>'[8]Purchased Power Model '!D98</f>
        <v>0</v>
      </c>
      <c r="E98" s="162">
        <v>31</v>
      </c>
      <c r="F98" s="162">
        <v>0</v>
      </c>
      <c r="G98" s="162">
        <f>'[6]Customer Numbers'!E34</f>
        <v>65</v>
      </c>
      <c r="H98" s="288">
        <f t="shared" si="1"/>
        <v>4140608.8515271959</v>
      </c>
      <c r="I98" s="49"/>
      <c r="J98" s="1"/>
      <c r="K98"/>
      <c r="L98"/>
      <c r="M98"/>
      <c r="N98"/>
      <c r="O98"/>
      <c r="P98"/>
      <c r="Q98"/>
      <c r="R98"/>
      <c r="S98"/>
      <c r="T98"/>
      <c r="U98"/>
      <c r="V98"/>
    </row>
    <row r="99" spans="1:22" s="208" customFormat="1" x14ac:dyDescent="0.25">
      <c r="A99" s="3">
        <v>41640</v>
      </c>
      <c r="B99" s="28">
        <v>4211268</v>
      </c>
      <c r="C99" s="24">
        <f>'[8]Purchased Power Model '!C99</f>
        <v>825.90000000000009</v>
      </c>
      <c r="D99" s="24">
        <f>'[8]Purchased Power Model '!D99</f>
        <v>0</v>
      </c>
      <c r="E99" s="162">
        <v>31</v>
      </c>
      <c r="F99" s="162">
        <v>0</v>
      </c>
      <c r="G99" s="208">
        <f>'[6]Customer Numbers'!E41</f>
        <v>66</v>
      </c>
      <c r="H99" s="288">
        <f t="shared" si="1"/>
        <v>4192764.2172630904</v>
      </c>
      <c r="I99" s="49"/>
      <c r="J99" s="1"/>
      <c r="K99"/>
      <c r="L99"/>
      <c r="M99"/>
      <c r="N99"/>
      <c r="O99"/>
      <c r="P99"/>
      <c r="Q99"/>
      <c r="R99"/>
      <c r="S99"/>
      <c r="T99"/>
      <c r="U99"/>
      <c r="V99"/>
    </row>
    <row r="100" spans="1:22" s="208" customFormat="1" x14ac:dyDescent="0.25">
      <c r="A100" s="3">
        <v>41671</v>
      </c>
      <c r="B100" s="28">
        <v>4507639</v>
      </c>
      <c r="C100" s="24">
        <f>'[8]Purchased Power Model '!C100</f>
        <v>737.09999999999991</v>
      </c>
      <c r="D100" s="24">
        <f>'[8]Purchased Power Model '!D100</f>
        <v>0</v>
      </c>
      <c r="E100" s="162">
        <v>28</v>
      </c>
      <c r="F100" s="162">
        <v>0</v>
      </c>
      <c r="G100" s="208">
        <f>'[6]Customer Numbers'!E42</f>
        <v>66</v>
      </c>
      <c r="H100" s="288">
        <f t="shared" si="1"/>
        <v>4092076.9889593804</v>
      </c>
      <c r="I100" s="49"/>
      <c r="J100" s="1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s="208" customFormat="1" x14ac:dyDescent="0.25">
      <c r="A101" s="3">
        <v>41699</v>
      </c>
      <c r="B101" s="28">
        <v>4043999</v>
      </c>
      <c r="C101" s="24">
        <f>'[8]Purchased Power Model '!C101</f>
        <v>690.6</v>
      </c>
      <c r="D101" s="24">
        <f>'[8]Purchased Power Model '!D101</f>
        <v>0</v>
      </c>
      <c r="E101" s="162">
        <v>31</v>
      </c>
      <c r="F101" s="162">
        <v>1</v>
      </c>
      <c r="G101" s="208">
        <f>'[6]Customer Numbers'!E43</f>
        <v>66</v>
      </c>
      <c r="H101" s="288">
        <f t="shared" si="1"/>
        <v>4141629.2825959418</v>
      </c>
      <c r="I101" s="49"/>
      <c r="J101" s="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s="208" customFormat="1" x14ac:dyDescent="0.25">
      <c r="A102" s="3">
        <v>41730</v>
      </c>
      <c r="B102" s="28">
        <v>4288137.88</v>
      </c>
      <c r="C102" s="24">
        <f>'[8]Purchased Power Model '!C102</f>
        <v>356.90000000000003</v>
      </c>
      <c r="D102" s="24">
        <f>'[8]Purchased Power Model '!D102</f>
        <v>0</v>
      </c>
      <c r="E102" s="162">
        <v>30</v>
      </c>
      <c r="F102" s="162">
        <v>1</v>
      </c>
      <c r="G102" s="208">
        <f>'[6]Customer Numbers'!E44</f>
        <v>66</v>
      </c>
      <c r="H102" s="288">
        <f t="shared" si="1"/>
        <v>3993136.0998259699</v>
      </c>
      <c r="I102" s="49"/>
      <c r="J102" s="1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s="208" customFormat="1" x14ac:dyDescent="0.25">
      <c r="A103" s="3">
        <v>41760</v>
      </c>
      <c r="B103" s="28">
        <v>4013116.72</v>
      </c>
      <c r="C103" s="24">
        <f>'[8]Purchased Power Model '!C103</f>
        <v>132.10000000000005</v>
      </c>
      <c r="D103" s="24">
        <f>'[8]Purchased Power Model '!D103</f>
        <v>11.9</v>
      </c>
      <c r="E103" s="162">
        <v>31</v>
      </c>
      <c r="F103" s="162">
        <v>1</v>
      </c>
      <c r="G103" s="208">
        <f>'[6]Customer Numbers'!E45</f>
        <v>66</v>
      </c>
      <c r="H103" s="288">
        <f t="shared" si="1"/>
        <v>3941183.2283096653</v>
      </c>
      <c r="I103" s="49"/>
      <c r="J103" s="1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s="208" customFormat="1" x14ac:dyDescent="0.25">
      <c r="A104" s="3">
        <v>41791</v>
      </c>
      <c r="B104" s="28">
        <v>4219052.79</v>
      </c>
      <c r="C104" s="24">
        <f>'[8]Purchased Power Model '!C104</f>
        <v>14.1</v>
      </c>
      <c r="D104" s="24">
        <f>'[8]Purchased Power Model '!D104</f>
        <v>68.099999999999994</v>
      </c>
      <c r="E104" s="162">
        <v>30</v>
      </c>
      <c r="F104" s="162">
        <v>0</v>
      </c>
      <c r="G104" s="208">
        <f>'[6]Customer Numbers'!E46</f>
        <v>67</v>
      </c>
      <c r="H104" s="288">
        <f t="shared" si="1"/>
        <v>3924422.7893697661</v>
      </c>
      <c r="I104" s="49"/>
      <c r="J104" s="1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s="208" customFormat="1" x14ac:dyDescent="0.25">
      <c r="A105" s="3">
        <v>41821</v>
      </c>
      <c r="B105" s="28">
        <v>4080609</v>
      </c>
      <c r="C105" s="24">
        <f>'[8]Purchased Power Model '!C105</f>
        <v>4</v>
      </c>
      <c r="D105" s="24">
        <f>'[8]Purchased Power Model '!D105</f>
        <v>71</v>
      </c>
      <c r="E105" s="162">
        <v>31</v>
      </c>
      <c r="F105" s="162">
        <v>0</v>
      </c>
      <c r="G105" s="208">
        <f>'[6]Customer Numbers'!E47</f>
        <v>68</v>
      </c>
      <c r="H105" s="288">
        <f t="shared" si="1"/>
        <v>3945572.0747963986</v>
      </c>
      <c r="I105" s="49"/>
      <c r="J105" s="1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s="208" customFormat="1" x14ac:dyDescent="0.25">
      <c r="A106" s="3">
        <v>41852</v>
      </c>
      <c r="B106" s="28">
        <v>4135125.53</v>
      </c>
      <c r="C106" s="24">
        <f>'[8]Purchased Power Model '!C106</f>
        <v>8.7999999999999989</v>
      </c>
      <c r="D106" s="24">
        <f>'[8]Purchased Power Model '!D106</f>
        <v>81.799999999999983</v>
      </c>
      <c r="E106" s="162">
        <v>31</v>
      </c>
      <c r="F106" s="162">
        <v>0</v>
      </c>
      <c r="G106" s="208">
        <f>'[6]Customer Numbers'!E48</f>
        <v>68</v>
      </c>
      <c r="H106" s="288">
        <f t="shared" si="1"/>
        <v>3957035.3863469618</v>
      </c>
      <c r="I106" s="49"/>
      <c r="J106" s="1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s="208" customFormat="1" x14ac:dyDescent="0.25">
      <c r="A107" s="3">
        <v>41883</v>
      </c>
      <c r="B107" s="28">
        <v>4211479.6900000004</v>
      </c>
      <c r="C107" s="24">
        <f>'[8]Purchased Power Model '!C107</f>
        <v>69.700000000000017</v>
      </c>
      <c r="D107" s="24">
        <f>'[8]Purchased Power Model '!D107</f>
        <v>30.099999999999998</v>
      </c>
      <c r="E107" s="162">
        <v>30</v>
      </c>
      <c r="F107" s="162">
        <v>1</v>
      </c>
      <c r="G107" s="208">
        <f>'[6]Customer Numbers'!E49</f>
        <v>68</v>
      </c>
      <c r="H107" s="288">
        <f t="shared" si="1"/>
        <v>3911485.1799737415</v>
      </c>
      <c r="I107" s="49"/>
      <c r="J107" s="1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s="208" customFormat="1" x14ac:dyDescent="0.25">
      <c r="A108" s="3">
        <v>41913</v>
      </c>
      <c r="B108" s="28">
        <v>4339620.2300000004</v>
      </c>
      <c r="C108" s="24">
        <f>'[8]Purchased Power Model '!C108</f>
        <v>224.30000000000004</v>
      </c>
      <c r="D108" s="24">
        <f>'[8]Purchased Power Model '!D108</f>
        <v>1.3</v>
      </c>
      <c r="E108" s="162">
        <v>31</v>
      </c>
      <c r="F108" s="162">
        <v>1</v>
      </c>
      <c r="G108" s="208">
        <f>'[6]Customer Numbers'!E50</f>
        <v>67</v>
      </c>
      <c r="H108" s="288">
        <f t="shared" si="1"/>
        <v>3966558.5368561312</v>
      </c>
      <c r="I108" s="49"/>
      <c r="J108" s="1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s="208" customFormat="1" x14ac:dyDescent="0.25">
      <c r="A109" s="3">
        <v>41944</v>
      </c>
      <c r="B109" s="28">
        <v>4225073.07</v>
      </c>
      <c r="C109" s="24">
        <f>'[8]Purchased Power Model '!C109</f>
        <v>482.1</v>
      </c>
      <c r="D109" s="24">
        <f>'[8]Purchased Power Model '!D109</f>
        <v>0</v>
      </c>
      <c r="E109" s="162">
        <v>30</v>
      </c>
      <c r="F109" s="162">
        <v>1</v>
      </c>
      <c r="G109" s="208">
        <f>'[6]Customer Numbers'!E51</f>
        <v>69</v>
      </c>
      <c r="H109" s="288">
        <f t="shared" si="1"/>
        <v>4040453.8664211435</v>
      </c>
      <c r="I109" s="49"/>
      <c r="J109" s="1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s="208" customFormat="1" x14ac:dyDescent="0.25">
      <c r="A110" s="3">
        <v>41974</v>
      </c>
      <c r="B110" s="28">
        <v>4317145.9400000004</v>
      </c>
      <c r="C110" s="24">
        <f>'[8]Purchased Power Model '!C110</f>
        <v>557.29999999999995</v>
      </c>
      <c r="D110" s="24">
        <f>'[8]Purchased Power Model '!D110</f>
        <v>0</v>
      </c>
      <c r="E110" s="162">
        <v>31</v>
      </c>
      <c r="F110" s="162">
        <v>0</v>
      </c>
      <c r="G110" s="208">
        <f>'[6]Customer Numbers'!E52</f>
        <v>69</v>
      </c>
      <c r="H110" s="288">
        <f t="shared" si="1"/>
        <v>4091250.2227945309</v>
      </c>
      <c r="I110" s="49"/>
      <c r="J110" s="1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s="208" customFormat="1" x14ac:dyDescent="0.25">
      <c r="A111" s="3">
        <v>42005</v>
      </c>
      <c r="B111" s="28">
        <v>4254903.32</v>
      </c>
      <c r="C111" s="24">
        <f>'[8]Purchased Power Model '!C111</f>
        <v>792.39999999999975</v>
      </c>
      <c r="D111" s="24">
        <f>'[8]Purchased Power Model '!D111</f>
        <v>0</v>
      </c>
      <c r="E111" s="162">
        <v>31</v>
      </c>
      <c r="F111" s="162">
        <v>0</v>
      </c>
      <c r="G111" s="208">
        <f>'[6]Customer Numbers'!E60</f>
        <v>69</v>
      </c>
      <c r="H111" s="288">
        <f t="shared" si="1"/>
        <v>4180103.3132619853</v>
      </c>
      <c r="I111" s="49"/>
      <c r="J111" s="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s="208" customFormat="1" x14ac:dyDescent="0.25">
      <c r="A112" s="3">
        <v>42036</v>
      </c>
      <c r="B112" s="28">
        <v>4899442.7699999996</v>
      </c>
      <c r="C112" s="24">
        <f>'[8]Purchased Power Model '!C112</f>
        <v>856.8</v>
      </c>
      <c r="D112" s="24">
        <f>'[8]Purchased Power Model '!D112</f>
        <v>0</v>
      </c>
      <c r="E112" s="162">
        <v>28</v>
      </c>
      <c r="F112" s="162">
        <v>0</v>
      </c>
      <c r="G112" s="208">
        <f>'[6]Customer Numbers'!E61</f>
        <v>69</v>
      </c>
      <c r="H112" s="288">
        <f t="shared" si="1"/>
        <v>4137316.099673776</v>
      </c>
      <c r="I112" s="49"/>
      <c r="J112" s="1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s="208" customFormat="1" x14ac:dyDescent="0.25">
      <c r="A113" s="3">
        <v>42064</v>
      </c>
      <c r="B113" s="28">
        <v>4402986.3</v>
      </c>
      <c r="C113" s="24">
        <f>'[8]Purchased Power Model '!C113</f>
        <v>615.49999999999989</v>
      </c>
      <c r="D113" s="24">
        <f>'[8]Purchased Power Model '!D113</f>
        <v>0</v>
      </c>
      <c r="E113" s="162">
        <v>31</v>
      </c>
      <c r="F113" s="162">
        <v>1</v>
      </c>
      <c r="G113" s="208">
        <f>'[6]Customer Numbers'!E62</f>
        <v>69</v>
      </c>
      <c r="H113" s="288">
        <f t="shared" si="1"/>
        <v>4113246.1813874948</v>
      </c>
      <c r="I113" s="49"/>
      <c r="J113" s="1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s="208" customFormat="1" x14ac:dyDescent="0.25">
      <c r="A114" s="3">
        <v>42095</v>
      </c>
      <c r="B114" s="28">
        <v>4672619.66</v>
      </c>
      <c r="C114" s="24">
        <f>'[8]Purchased Power Model '!C114</f>
        <v>313.7</v>
      </c>
      <c r="D114" s="24">
        <f>'[8]Purchased Power Model '!D114</f>
        <v>0</v>
      </c>
      <c r="E114" s="162">
        <v>30</v>
      </c>
      <c r="F114" s="162">
        <v>1</v>
      </c>
      <c r="G114" s="208">
        <f>'[6]Customer Numbers'!E63</f>
        <v>70</v>
      </c>
      <c r="H114" s="288">
        <f t="shared" si="1"/>
        <v>3976809.2027260377</v>
      </c>
      <c r="I114" s="49"/>
      <c r="J114" s="1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s="208" customFormat="1" x14ac:dyDescent="0.25">
      <c r="A115" s="3">
        <v>42125</v>
      </c>
      <c r="B115" s="28">
        <v>4059115.06</v>
      </c>
      <c r="C115" s="24">
        <f>'[8]Purchased Power Model '!C115</f>
        <v>89.3</v>
      </c>
      <c r="D115" s="24">
        <f>'[8]Purchased Power Model '!D115</f>
        <v>34.1</v>
      </c>
      <c r="E115" s="162">
        <v>31</v>
      </c>
      <c r="F115" s="162">
        <v>1</v>
      </c>
      <c r="G115" s="208">
        <f>'[6]Customer Numbers'!E64</f>
        <v>70</v>
      </c>
      <c r="H115" s="288">
        <f t="shared" si="1"/>
        <v>3944841.9972547321</v>
      </c>
      <c r="I115" s="49"/>
      <c r="J115" s="1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s="208" customFormat="1" x14ac:dyDescent="0.25">
      <c r="A116" s="3">
        <v>42156</v>
      </c>
      <c r="B116" s="28">
        <v>4270098.17</v>
      </c>
      <c r="C116" s="24">
        <f>'[8]Purchased Power Model '!C116</f>
        <v>33.800000000000004</v>
      </c>
      <c r="D116" s="24">
        <f>'[8]Purchased Power Model '!D116</f>
        <v>32.299999999999997</v>
      </c>
      <c r="E116" s="162">
        <v>30</v>
      </c>
      <c r="F116" s="162">
        <v>0</v>
      </c>
      <c r="G116" s="208">
        <f>'[6]Customer Numbers'!E65</f>
        <v>70</v>
      </c>
      <c r="H116" s="288">
        <f t="shared" si="1"/>
        <v>3899882.8063300615</v>
      </c>
      <c r="I116" s="49"/>
      <c r="J116" s="1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s="208" customFormat="1" x14ac:dyDescent="0.25">
      <c r="A117" s="3">
        <v>42186</v>
      </c>
      <c r="B117" s="28">
        <v>4471001.67</v>
      </c>
      <c r="C117" s="24">
        <f>'[8]Purchased Power Model '!C117</f>
        <v>4</v>
      </c>
      <c r="D117" s="24">
        <f>'[8]Purchased Power Model '!D117</f>
        <v>114.29999999999998</v>
      </c>
      <c r="E117" s="162">
        <v>31</v>
      </c>
      <c r="F117" s="162">
        <v>0</v>
      </c>
      <c r="G117" s="208">
        <f>'[6]Customer Numbers'!E66</f>
        <v>71</v>
      </c>
      <c r="H117" s="288">
        <f t="shared" si="1"/>
        <v>3984258.2668419471</v>
      </c>
      <c r="I117" s="49"/>
      <c r="J117" s="1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s="208" customFormat="1" x14ac:dyDescent="0.25">
      <c r="A118" s="3">
        <v>42217</v>
      </c>
      <c r="B118" s="28">
        <v>4635022.8600000003</v>
      </c>
      <c r="C118" s="24">
        <f>'[8]Purchased Power Model '!C118</f>
        <v>4.4000000000000004</v>
      </c>
      <c r="D118" s="24">
        <f>'[8]Purchased Power Model '!D118</f>
        <v>88.6</v>
      </c>
      <c r="E118" s="162">
        <v>31</v>
      </c>
      <c r="F118" s="162">
        <v>0</v>
      </c>
      <c r="G118" s="208">
        <f>'[6]Customer Numbers'!E67</f>
        <v>72</v>
      </c>
      <c r="H118" s="288">
        <f t="shared" si="1"/>
        <v>3961447.8913400234</v>
      </c>
      <c r="I118" s="49"/>
      <c r="J118" s="1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s="208" customFormat="1" x14ac:dyDescent="0.25">
      <c r="A119" s="3">
        <v>42248</v>
      </c>
      <c r="B119" s="28">
        <v>4812113.58</v>
      </c>
      <c r="C119" s="24">
        <f>'[8]Purchased Power Model '!C119</f>
        <v>31.099999999999994</v>
      </c>
      <c r="D119" s="24">
        <f>'[8]Purchased Power Model '!D119</f>
        <v>81.900000000000006</v>
      </c>
      <c r="E119" s="162">
        <v>30</v>
      </c>
      <c r="F119" s="162">
        <v>1</v>
      </c>
      <c r="G119" s="208">
        <f>'[6]Customer Numbers'!E68</f>
        <v>75</v>
      </c>
      <c r="H119" s="288">
        <f t="shared" si="1"/>
        <v>3943177.27423266</v>
      </c>
      <c r="I119" s="49"/>
      <c r="J119" s="1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s="208" customFormat="1" x14ac:dyDescent="0.25">
      <c r="A120" s="3">
        <v>42278</v>
      </c>
      <c r="B120" s="28">
        <v>4707295.7699999996</v>
      </c>
      <c r="C120" s="24">
        <f>'[8]Purchased Power Model '!C120</f>
        <v>249.8</v>
      </c>
      <c r="D120" s="24">
        <f>'[8]Purchased Power Model '!D120</f>
        <v>0</v>
      </c>
      <c r="E120" s="162">
        <v>31</v>
      </c>
      <c r="F120" s="162">
        <v>1</v>
      </c>
      <c r="G120" s="208">
        <f>'[6]Customer Numbers'!E69</f>
        <v>75</v>
      </c>
      <c r="H120" s="288">
        <f t="shared" si="1"/>
        <v>3975034.4621873749</v>
      </c>
      <c r="I120" s="49"/>
      <c r="J120" s="1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s="208" customFormat="1" x14ac:dyDescent="0.25">
      <c r="A121" s="3">
        <v>42309</v>
      </c>
      <c r="B121" s="28">
        <v>4627639.76</v>
      </c>
      <c r="C121" s="24">
        <f>'[8]Purchased Power Model '!C121</f>
        <v>345</v>
      </c>
      <c r="D121" s="24">
        <f>'[8]Purchased Power Model '!D121</f>
        <v>0</v>
      </c>
      <c r="E121" s="162">
        <v>30</v>
      </c>
      <c r="F121" s="162">
        <v>1</v>
      </c>
      <c r="G121" s="208">
        <f>'[6]Customer Numbers'!E70</f>
        <v>74</v>
      </c>
      <c r="H121" s="288">
        <f t="shared" si="1"/>
        <v>3988638.6443748311</v>
      </c>
      <c r="I121" s="49"/>
      <c r="J121" s="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s="208" customFormat="1" x14ac:dyDescent="0.25">
      <c r="A122" s="3">
        <v>42339</v>
      </c>
      <c r="B122" s="28">
        <v>4824037.3099999996</v>
      </c>
      <c r="C122" s="24">
        <f>'[8]Purchased Power Model '!C122</f>
        <v>429.70000000000005</v>
      </c>
      <c r="D122" s="24">
        <f>'[8]Purchased Power Model '!D122</f>
        <v>0</v>
      </c>
      <c r="E122" s="162">
        <v>31</v>
      </c>
      <c r="F122" s="162">
        <v>0</v>
      </c>
      <c r="G122" s="208">
        <f>'[6]Customer Numbers'!E71</f>
        <v>74</v>
      </c>
      <c r="H122" s="288">
        <f t="shared" si="1"/>
        <v>4043025.4063604721</v>
      </c>
      <c r="I122" s="49"/>
      <c r="J122" s="1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s="208" customFormat="1" x14ac:dyDescent="0.25">
      <c r="A123" s="3"/>
      <c r="B123" s="28"/>
      <c r="C123" s="24"/>
      <c r="D123" s="24"/>
      <c r="E123" s="162"/>
      <c r="F123" s="162"/>
      <c r="H123" s="288"/>
      <c r="I123" s="49"/>
      <c r="J123" s="1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s="208" customFormat="1" x14ac:dyDescent="0.25">
      <c r="A124" s="3"/>
      <c r="B124" s="28"/>
      <c r="C124" s="24"/>
      <c r="D124" s="24" t="s">
        <v>244</v>
      </c>
      <c r="E124" s="24"/>
      <c r="F124" s="24"/>
      <c r="G124" s="24"/>
      <c r="H124" s="49">
        <f>SUM(H3:H123)</f>
        <v>481254330.08000004</v>
      </c>
      <c r="I124" s="1"/>
      <c r="J124" s="1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s="208" customFormat="1" x14ac:dyDescent="0.25">
      <c r="A125" s="3"/>
      <c r="B125" s="28"/>
      <c r="C125" s="24"/>
      <c r="D125" s="24"/>
      <c r="E125" s="24"/>
      <c r="F125" s="24"/>
      <c r="G125" s="24"/>
      <c r="H125" s="1"/>
      <c r="I125" s="1"/>
      <c r="J125" s="1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s="208" customFormat="1" x14ac:dyDescent="0.25">
      <c r="A126">
        <v>2006</v>
      </c>
      <c r="B126" s="28">
        <f>SUM(B3:B14)</f>
        <v>39727255</v>
      </c>
      <c r="C126" s="24"/>
      <c r="D126" s="24"/>
      <c r="E126" s="24"/>
      <c r="F126" s="24"/>
      <c r="G126" s="24"/>
      <c r="H126" s="28">
        <f>SUM(H3:H14)</f>
        <v>48029484.604971394</v>
      </c>
      <c r="I126" s="35">
        <f>H126-B126</f>
        <v>8302229.6049713939</v>
      </c>
      <c r="J126" s="5">
        <f>I126/B126</f>
        <v>0.20898070115771639</v>
      </c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s="208" customFormat="1" x14ac:dyDescent="0.25">
      <c r="A127" s="17">
        <v>2007</v>
      </c>
      <c r="B127" s="28">
        <f>SUM(B15:B26)</f>
        <v>40166825</v>
      </c>
      <c r="C127" s="24"/>
      <c r="D127" s="24"/>
      <c r="E127" s="24"/>
      <c r="F127" s="24"/>
      <c r="G127" s="24"/>
      <c r="H127" s="28">
        <f>SUM(H15:H26)</f>
        <v>48206122.812428452</v>
      </c>
      <c r="I127" s="35">
        <f t="shared" ref="I127:I135" si="2">H127-B127</f>
        <v>8039297.8124284521</v>
      </c>
      <c r="J127" s="5">
        <f t="shared" ref="J127:J135" si="3">I127/B127</f>
        <v>0.20014770429150056</v>
      </c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s="208" customFormat="1" x14ac:dyDescent="0.25">
      <c r="A128">
        <v>2008</v>
      </c>
      <c r="B128" s="28">
        <f>SUM(B27:B38)</f>
        <v>45515823</v>
      </c>
      <c r="C128" s="24"/>
      <c r="D128" s="24"/>
      <c r="E128" s="24"/>
      <c r="F128" s="24"/>
      <c r="G128" s="24"/>
      <c r="H128" s="28">
        <f>SUM(H27:H38)</f>
        <v>48129346.45785512</v>
      </c>
      <c r="I128" s="35">
        <f t="shared" si="2"/>
        <v>2613523.4578551203</v>
      </c>
      <c r="J128" s="5">
        <f t="shared" si="3"/>
        <v>5.7420107681127076E-2</v>
      </c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5" s="208" customFormat="1" x14ac:dyDescent="0.25">
      <c r="A129" s="17">
        <v>2009</v>
      </c>
      <c r="B129" s="28">
        <f>SUM(B39:B50)</f>
        <v>47444453</v>
      </c>
      <c r="C129" s="24"/>
      <c r="D129" s="24"/>
      <c r="E129" s="24"/>
      <c r="F129" s="24"/>
      <c r="G129" s="24"/>
      <c r="H129" s="28">
        <f>SUM(H39:H50)</f>
        <v>48037385.345641047</v>
      </c>
      <c r="I129" s="35">
        <f t="shared" si="2"/>
        <v>592932.34564104676</v>
      </c>
      <c r="J129" s="5">
        <f t="shared" si="3"/>
        <v>1.2497400816087958E-2</v>
      </c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5" s="208" customFormat="1" x14ac:dyDescent="0.25">
      <c r="A130">
        <v>2010</v>
      </c>
      <c r="B130" s="28">
        <f>SUM(B51:B62)</f>
        <v>51106041</v>
      </c>
      <c r="C130" s="24"/>
      <c r="D130" s="24"/>
      <c r="E130" s="24"/>
      <c r="F130" s="24"/>
      <c r="G130" s="24"/>
      <c r="H130" s="28">
        <f>SUM(H51:H62)</f>
        <v>48126759.887304217</v>
      </c>
      <c r="I130" s="35">
        <f t="shared" si="2"/>
        <v>-2979281.1126957834</v>
      </c>
      <c r="J130" s="5">
        <f t="shared" si="3"/>
        <v>-5.8296065482665416E-2</v>
      </c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5" s="208" customFormat="1" x14ac:dyDescent="0.25">
      <c r="A131">
        <v>2011</v>
      </c>
      <c r="B131" s="28">
        <f>SUM(B63:B74)</f>
        <v>50005558</v>
      </c>
      <c r="C131" s="24"/>
      <c r="D131" s="24"/>
      <c r="E131" s="24"/>
      <c r="F131" s="24"/>
      <c r="G131" s="24"/>
      <c r="H131" s="28">
        <f>SUM(H63:H74)</f>
        <v>48171801.546654962</v>
      </c>
      <c r="I131" s="35">
        <f t="shared" si="2"/>
        <v>-1833756.453345038</v>
      </c>
      <c r="J131" s="5">
        <f t="shared" si="3"/>
        <v>-3.6671052712681215E-2</v>
      </c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5" s="208" customFormat="1" x14ac:dyDescent="0.25">
      <c r="A132">
        <v>2012</v>
      </c>
      <c r="B132" s="208">
        <f>SUM(B75:B86)</f>
        <v>51138110</v>
      </c>
      <c r="C132" s="24"/>
      <c r="D132" s="24"/>
      <c r="E132" s="24"/>
      <c r="F132" s="24"/>
      <c r="G132" s="24"/>
      <c r="H132" s="208">
        <f>SUM(H75:H86)</f>
        <v>48079514.952118896</v>
      </c>
      <c r="I132" s="35">
        <f t="shared" si="2"/>
        <v>-3058595.0478811041</v>
      </c>
      <c r="J132" s="5">
        <f t="shared" si="3"/>
        <v>-5.9810482786342788E-2</v>
      </c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5" s="208" customFormat="1" x14ac:dyDescent="0.25">
      <c r="A133">
        <v>2013</v>
      </c>
      <c r="B133" s="208">
        <f>SUM(B87:B98)</f>
        <v>50921722</v>
      </c>
      <c r="C133" s="24"/>
      <c r="D133" s="24"/>
      <c r="E133" s="24"/>
      <c r="F133" s="24"/>
      <c r="G133" s="24"/>
      <c r="H133" s="208">
        <f>SUM(H87:H98)</f>
        <v>48128565.053541861</v>
      </c>
      <c r="I133" s="35">
        <f t="shared" si="2"/>
        <v>-2793156.9464581385</v>
      </c>
      <c r="J133" s="5">
        <f t="shared" si="3"/>
        <v>-5.485197351452762E-2</v>
      </c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5" s="208" customFormat="1" x14ac:dyDescent="0.25">
      <c r="A134">
        <v>2014</v>
      </c>
      <c r="B134" s="28">
        <f>SUM(B99:B110)</f>
        <v>50592266.850000001</v>
      </c>
      <c r="C134" s="24"/>
      <c r="D134" s="24"/>
      <c r="E134" s="24"/>
      <c r="F134" s="24"/>
      <c r="G134" s="24"/>
      <c r="H134" s="28">
        <f>SUM(H99:H110)</f>
        <v>48197567.873512715</v>
      </c>
      <c r="I134" s="35">
        <f t="shared" si="2"/>
        <v>-2394698.9764872864</v>
      </c>
      <c r="J134" s="5">
        <f t="shared" si="3"/>
        <v>-4.7333300632432254E-2</v>
      </c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5" s="208" customFormat="1" x14ac:dyDescent="0.25">
      <c r="A135" s="17">
        <v>2015</v>
      </c>
      <c r="B135" s="28">
        <f>SUM(B111:B122)</f>
        <v>54636276.229999997</v>
      </c>
      <c r="C135" s="24"/>
      <c r="D135" s="24"/>
      <c r="E135" s="24"/>
      <c r="F135" s="24"/>
      <c r="G135" s="24"/>
      <c r="H135" s="28">
        <f>SUM(H111:H122)</f>
        <v>48147781.545971401</v>
      </c>
      <c r="I135" s="35">
        <f t="shared" si="2"/>
        <v>-6488494.6840285957</v>
      </c>
      <c r="J135" s="5">
        <f t="shared" si="3"/>
        <v>-0.11875799618396864</v>
      </c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5" customFormat="1" x14ac:dyDescent="0.25">
      <c r="B136" s="28"/>
      <c r="C136" s="24"/>
      <c r="D136" s="24"/>
      <c r="E136" s="24"/>
      <c r="F136" s="24"/>
      <c r="G136" s="24"/>
      <c r="H136" s="208"/>
      <c r="I136" s="1"/>
      <c r="J136" s="1"/>
      <c r="W136" s="208"/>
      <c r="X136" s="208"/>
      <c r="Y136" s="208"/>
    </row>
    <row r="137" spans="1:25" s="208" customFormat="1" x14ac:dyDescent="0.25">
      <c r="A137" t="s">
        <v>245</v>
      </c>
      <c r="B137" s="28">
        <f>SUM(B126:B135)</f>
        <v>481254330.08000004</v>
      </c>
      <c r="C137" s="24"/>
      <c r="D137" s="24"/>
      <c r="E137" s="24"/>
      <c r="F137" s="24"/>
      <c r="G137" s="24"/>
      <c r="H137" s="28">
        <f>SUM(H126:H135)</f>
        <v>481254330.08000004</v>
      </c>
      <c r="I137" s="208">
        <f>H137-B137</f>
        <v>0</v>
      </c>
      <c r="J137" s="1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5" s="208" customFormat="1" x14ac:dyDescent="0.25">
      <c r="A138"/>
      <c r="B138" s="28"/>
      <c r="C138" s="24"/>
      <c r="D138" s="24"/>
      <c r="E138" s="24"/>
      <c r="F138" s="24"/>
      <c r="G138" s="24"/>
      <c r="H138" s="1"/>
      <c r="I138" s="1"/>
      <c r="J138" s="1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5" customFormat="1" x14ac:dyDescent="0.25">
      <c r="B139" s="28"/>
      <c r="C139" s="24"/>
      <c r="D139" s="24"/>
      <c r="E139" s="24"/>
      <c r="F139" s="24"/>
      <c r="G139" s="24"/>
      <c r="H139" s="208"/>
      <c r="I139" s="49"/>
      <c r="J139" s="1"/>
      <c r="W139" s="208"/>
      <c r="X139" s="208"/>
      <c r="Y139" s="208"/>
    </row>
    <row r="140" spans="1:25" s="208" customFormat="1" x14ac:dyDescent="0.25">
      <c r="A140"/>
      <c r="B140" s="28"/>
      <c r="C140" s="24"/>
      <c r="D140" s="24"/>
      <c r="E140" s="24"/>
      <c r="F140" s="24"/>
      <c r="G140" s="24"/>
      <c r="H140" s="206"/>
      <c r="I140" s="206" t="s">
        <v>246</v>
      </c>
      <c r="J140" s="206"/>
      <c r="K140"/>
      <c r="L140"/>
      <c r="M140"/>
      <c r="N140"/>
      <c r="O140"/>
      <c r="P140"/>
      <c r="Q140"/>
      <c r="R140"/>
      <c r="S140"/>
      <c r="T140"/>
      <c r="U140"/>
      <c r="V140"/>
      <c r="W140" s="207"/>
      <c r="X140" s="207"/>
      <c r="Y140" s="207"/>
    </row>
    <row r="152" spans="1:25" s="208" customFormat="1" x14ac:dyDescent="0.25">
      <c r="A152"/>
      <c r="B152" s="28"/>
      <c r="C152" s="24"/>
      <c r="D152" s="24"/>
      <c r="E152" s="24"/>
      <c r="F152" s="24"/>
      <c r="G152" s="24"/>
      <c r="H152" s="1"/>
      <c r="I152" s="1"/>
      <c r="J152" s="1"/>
      <c r="K152"/>
      <c r="L152"/>
      <c r="M152"/>
      <c r="N152"/>
      <c r="O152"/>
      <c r="P152"/>
      <c r="Q152"/>
      <c r="R152"/>
      <c r="S152"/>
      <c r="T152"/>
      <c r="U152"/>
      <c r="V152"/>
      <c r="W152" s="207"/>
      <c r="X152" s="207"/>
      <c r="Y152" s="207"/>
    </row>
    <row r="154" spans="1:25" s="208" customFormat="1" x14ac:dyDescent="0.25">
      <c r="A154"/>
      <c r="B154" s="28"/>
      <c r="C154" s="24"/>
      <c r="D154" s="24"/>
      <c r="E154" s="28"/>
      <c r="F154" s="28"/>
      <c r="G154" s="24"/>
      <c r="H154" s="1"/>
      <c r="I154" s="1"/>
      <c r="J154" s="1"/>
      <c r="K154"/>
      <c r="L154"/>
      <c r="M154"/>
      <c r="N154"/>
      <c r="O154"/>
      <c r="P154"/>
      <c r="Q154"/>
      <c r="R154"/>
      <c r="S154"/>
      <c r="T154"/>
      <c r="U154"/>
      <c r="V154"/>
    </row>
  </sheetData>
  <mergeCells count="1">
    <mergeCell ref="F1:G1"/>
  </mergeCells>
  <printOptions horizontalCentered="1"/>
  <pageMargins left="0.11811023622047245" right="0.11811023622047245" top="0.35433070866141736" bottom="0.35433070866141736" header="0.31496062992125984" footer="0.15748031496062992"/>
  <pageSetup paperSize="17" scale="83" fitToHeight="3" orientation="landscape" r:id="rId1"/>
  <headerFooter>
    <oddFooter>&amp;L&amp;A&amp;R&amp;P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6"/>
  <sheetViews>
    <sheetView zoomScaleNormal="100" workbookViewId="0">
      <selection activeCell="C3" sqref="C3"/>
    </sheetView>
  </sheetViews>
  <sheetFormatPr defaultRowHeight="13.2" x14ac:dyDescent="0.25"/>
  <cols>
    <col min="1" max="1" width="11" customWidth="1"/>
    <col min="2" max="2" width="18" style="1" customWidth="1"/>
    <col min="3" max="3" width="17.109375" style="1" customWidth="1"/>
    <col min="4" max="4" width="15.6640625" style="1" customWidth="1"/>
    <col min="5" max="5" width="15.33203125" style="1" customWidth="1"/>
    <col min="6" max="6" width="13.33203125" style="1" customWidth="1"/>
    <col min="7" max="7" width="15.6640625" style="6" customWidth="1"/>
    <col min="8" max="8" width="15" style="6" customWidth="1"/>
    <col min="9" max="10" width="14.109375" style="6" bestFit="1" customWidth="1"/>
    <col min="11" max="11" width="14.109375" style="6" customWidth="1"/>
    <col min="12" max="12" width="14.6640625" style="6" customWidth="1"/>
    <col min="13" max="13" width="12.5546875" style="6" customWidth="1"/>
    <col min="14" max="14" width="12.6640625" bestFit="1" customWidth="1"/>
    <col min="15" max="15" width="13.6640625" customWidth="1"/>
    <col min="16" max="16" width="12.6640625" customWidth="1"/>
    <col min="17" max="17" width="10.6640625" bestFit="1" customWidth="1"/>
    <col min="18" max="18" width="6.33203125" customWidth="1"/>
    <col min="19" max="19" width="11.109375" bestFit="1" customWidth="1"/>
  </cols>
  <sheetData>
    <row r="1" spans="1:17" x14ac:dyDescent="0.25">
      <c r="G1" s="163"/>
      <c r="H1" s="163"/>
      <c r="I1" s="163"/>
      <c r="J1" s="163"/>
      <c r="K1" s="163"/>
      <c r="L1" s="163"/>
      <c r="M1" s="163"/>
    </row>
    <row r="3" spans="1:17" ht="42" customHeight="1" x14ac:dyDescent="0.25">
      <c r="B3" s="2" t="s">
        <v>6</v>
      </c>
      <c r="C3" s="2" t="s">
        <v>7</v>
      </c>
      <c r="D3" s="2" t="s">
        <v>39</v>
      </c>
      <c r="E3" s="2" t="s">
        <v>8</v>
      </c>
      <c r="F3" s="2" t="s">
        <v>1</v>
      </c>
      <c r="G3" s="7" t="s">
        <v>2</v>
      </c>
      <c r="H3" s="46" t="s">
        <v>58</v>
      </c>
      <c r="I3" s="47" t="s">
        <v>59</v>
      </c>
      <c r="J3" s="47" t="s">
        <v>60</v>
      </c>
      <c r="K3" s="47" t="s">
        <v>69</v>
      </c>
      <c r="L3" s="47" t="s">
        <v>63</v>
      </c>
      <c r="M3" s="48" t="s">
        <v>61</v>
      </c>
      <c r="N3" s="48" t="s">
        <v>117</v>
      </c>
    </row>
    <row r="5" spans="1:17" x14ac:dyDescent="0.25">
      <c r="A5" s="19"/>
      <c r="B5" s="39" t="s">
        <v>41</v>
      </c>
    </row>
    <row r="6" spans="1:17" x14ac:dyDescent="0.25">
      <c r="B6"/>
      <c r="C6"/>
      <c r="D6"/>
      <c r="E6"/>
      <c r="F6"/>
      <c r="G6"/>
      <c r="H6"/>
      <c r="I6"/>
      <c r="J6"/>
      <c r="K6"/>
      <c r="L6"/>
      <c r="M6"/>
    </row>
    <row r="7" spans="1:17" x14ac:dyDescent="0.25">
      <c r="N7" s="28"/>
    </row>
    <row r="8" spans="1:17" x14ac:dyDescent="0.25">
      <c r="A8">
        <f>'Purchased Power Model '!A200</f>
        <v>2006</v>
      </c>
      <c r="B8" s="6">
        <f>'Purchased Power Model '!B200</f>
        <v>234398898.69999999</v>
      </c>
      <c r="C8" s="6">
        <f>'Purchased Power Model '!H200</f>
        <v>236716533.66990495</v>
      </c>
      <c r="D8" s="35">
        <f t="shared" ref="D8:D17" si="0">C8-B8</f>
        <v>2317634.9699049592</v>
      </c>
      <c r="E8" s="5">
        <f t="shared" ref="E8:E17" si="1">D8/B8</f>
        <v>9.887567658204869E-3</v>
      </c>
      <c r="F8" s="52">
        <f t="shared" ref="F8:F17" si="2">1 +(B8-G8)/G8</f>
        <v>1.0684534911936781</v>
      </c>
      <c r="G8" s="28">
        <f t="shared" ref="G8:G17" si="3">SUM(H8:N8)</f>
        <v>219381471.09999999</v>
      </c>
      <c r="H8" s="37">
        <f>SUM('[5]Consumption Data '!E54:E65)</f>
        <v>149103951</v>
      </c>
      <c r="I8" s="37">
        <f>SUM('[5]Consumption Data '!I54:I65)</f>
        <v>27191374</v>
      </c>
      <c r="J8" s="37">
        <f>SUM('[5]Consumption Data '!M54:M65)</f>
        <v>39830915</v>
      </c>
      <c r="K8" s="37">
        <v>131869</v>
      </c>
      <c r="L8" s="37">
        <v>1445518</v>
      </c>
      <c r="M8" s="37">
        <v>291777</v>
      </c>
      <c r="N8" s="37">
        <v>1386067.1</v>
      </c>
      <c r="P8" s="173"/>
      <c r="Q8" s="173"/>
    </row>
    <row r="9" spans="1:17" x14ac:dyDescent="0.25">
      <c r="A9">
        <f>'Purchased Power Model '!A201</f>
        <v>2007</v>
      </c>
      <c r="B9" s="6">
        <f>'Purchased Power Model '!B201</f>
        <v>241154636.09999999</v>
      </c>
      <c r="C9" s="6">
        <f>'Purchased Power Model '!H201</f>
        <v>243492052.03077695</v>
      </c>
      <c r="D9" s="35">
        <f t="shared" si="0"/>
        <v>2337415.9307769537</v>
      </c>
      <c r="E9" s="5">
        <f t="shared" si="1"/>
        <v>9.692602093735795E-3</v>
      </c>
      <c r="F9" s="52">
        <f t="shared" si="2"/>
        <v>1.0973907673656689</v>
      </c>
      <c r="G9" s="28">
        <f t="shared" si="3"/>
        <v>219752747.40000001</v>
      </c>
      <c r="H9" s="37">
        <f>SUM('[5]Consumption Data '!E66:E77)</f>
        <v>148690902</v>
      </c>
      <c r="I9" s="37">
        <f>SUM('[5]Consumption Data '!I66:I77)</f>
        <v>28463422</v>
      </c>
      <c r="J9" s="37">
        <f>SUM('[5]Consumption Data '!M66:M77)</f>
        <v>39320570</v>
      </c>
      <c r="K9" s="37">
        <v>126371</v>
      </c>
      <c r="L9" s="37">
        <v>1495947</v>
      </c>
      <c r="M9" s="37">
        <v>519694</v>
      </c>
      <c r="N9" s="37">
        <v>1135841.3999999999</v>
      </c>
      <c r="P9" s="173"/>
      <c r="Q9" s="173"/>
    </row>
    <row r="10" spans="1:17" x14ac:dyDescent="0.25">
      <c r="A10">
        <f>'Purchased Power Model '!A202</f>
        <v>2008</v>
      </c>
      <c r="B10" s="6">
        <f>'Purchased Power Model '!B202</f>
        <v>245623027.80000001</v>
      </c>
      <c r="C10" s="6">
        <f>'Purchased Power Model '!H202</f>
        <v>242687773.94966653</v>
      </c>
      <c r="D10" s="35">
        <f t="shared" si="0"/>
        <v>-2935253.850333482</v>
      </c>
      <c r="E10" s="5">
        <f t="shared" si="1"/>
        <v>-1.1950238854328958E-2</v>
      </c>
      <c r="F10" s="52">
        <f t="shared" si="2"/>
        <v>1.0828211855675489</v>
      </c>
      <c r="G10" s="28">
        <f t="shared" si="3"/>
        <v>226836185.95000002</v>
      </c>
      <c r="H10" s="37">
        <f>SUM('[5]Consumption Data '!E78:E89)</f>
        <v>149960621</v>
      </c>
      <c r="I10" s="37">
        <f>SUM('[5]Consumption Data '!I78:I89)</f>
        <v>28399681</v>
      </c>
      <c r="J10" s="37">
        <f>SUM('[5]Consumption Data '!M78:M89)</f>
        <v>45269405.57</v>
      </c>
      <c r="K10" s="37">
        <v>124211.62</v>
      </c>
      <c r="L10" s="37">
        <v>1533898.8</v>
      </c>
      <c r="M10" s="37">
        <v>508215</v>
      </c>
      <c r="N10" s="37">
        <v>1040152.96</v>
      </c>
      <c r="P10" s="173"/>
      <c r="Q10" s="173"/>
    </row>
    <row r="11" spans="1:17" x14ac:dyDescent="0.25">
      <c r="A11">
        <f>'Purchased Power Model '!A203</f>
        <v>2009</v>
      </c>
      <c r="B11" s="6">
        <f>'Purchased Power Model '!B203</f>
        <v>247239189.20000002</v>
      </c>
      <c r="C11" s="6">
        <f>'Purchased Power Model '!H203</f>
        <v>242876077.28270113</v>
      </c>
      <c r="D11" s="35">
        <f t="shared" si="0"/>
        <v>-4363111.9172988832</v>
      </c>
      <c r="E11" s="5">
        <f t="shared" si="1"/>
        <v>-1.7647331442142113E-2</v>
      </c>
      <c r="F11" s="52">
        <f t="shared" si="2"/>
        <v>1.0790107548037402</v>
      </c>
      <c r="G11" s="28">
        <f t="shared" si="3"/>
        <v>229135055.51199999</v>
      </c>
      <c r="H11" s="37">
        <f>SUM('[5]Consumption Data '!E90:E101)</f>
        <v>150373777</v>
      </c>
      <c r="I11" s="37">
        <f>SUM('[5]Consumption Data '!I90:I101)</f>
        <v>28113433</v>
      </c>
      <c r="J11" s="37">
        <f>SUM('[5]Consumption Data '!M90:M101)</f>
        <v>47473258.210000001</v>
      </c>
      <c r="K11" s="37">
        <v>122021.1</v>
      </c>
      <c r="L11" s="37">
        <v>1576911.6</v>
      </c>
      <c r="M11" s="37">
        <v>493680</v>
      </c>
      <c r="N11" s="37">
        <v>981974.60200000007</v>
      </c>
      <c r="P11" s="173"/>
      <c r="Q11" s="173"/>
    </row>
    <row r="12" spans="1:17" x14ac:dyDescent="0.25">
      <c r="A12">
        <f>'Purchased Power Model '!A204</f>
        <v>2010</v>
      </c>
      <c r="B12" s="6">
        <f>'Purchased Power Model '!B204</f>
        <v>250239378.79999998</v>
      </c>
      <c r="C12" s="6">
        <f>'Purchased Power Model '!H204</f>
        <v>245540747.45753264</v>
      </c>
      <c r="D12" s="35">
        <f>C12-B12</f>
        <v>-4698631.3424673378</v>
      </c>
      <c r="E12" s="5">
        <f>D12/B12</f>
        <v>-1.877654654115269E-2</v>
      </c>
      <c r="F12" s="52">
        <f t="shared" si="2"/>
        <v>1.079314686856939</v>
      </c>
      <c r="G12" s="28">
        <f t="shared" si="3"/>
        <v>231850248.90999997</v>
      </c>
      <c r="H12" s="37">
        <f>SUM('[5]Consumption Data '!E102:E113)</f>
        <v>148340356.22999996</v>
      </c>
      <c r="I12" s="37">
        <f>SUM('[5]Consumption Data '!I102:I113)</f>
        <v>29188874</v>
      </c>
      <c r="J12" s="37">
        <f>SUM('[5]Consumption Data '!M102:M113)</f>
        <v>51128771.11999999</v>
      </c>
      <c r="K12" s="37">
        <v>116702.72</v>
      </c>
      <c r="L12" s="37">
        <v>1580058</v>
      </c>
      <c r="M12" s="37">
        <v>493680</v>
      </c>
      <c r="N12" s="37">
        <v>1001806.8400000001</v>
      </c>
      <c r="P12" s="173"/>
      <c r="Q12" s="173"/>
    </row>
    <row r="13" spans="1:17" x14ac:dyDescent="0.25">
      <c r="A13">
        <f>'Purchased Power Model '!A205</f>
        <v>2011</v>
      </c>
      <c r="B13" s="6">
        <f>'Purchased Power Model '!B205</f>
        <v>246758167.20000002</v>
      </c>
      <c r="C13" s="6">
        <f>'Purchased Power Model '!H205</f>
        <v>248011801.80632263</v>
      </c>
      <c r="D13" s="35">
        <f t="shared" si="0"/>
        <v>1253634.6063226163</v>
      </c>
      <c r="E13" s="5">
        <f t="shared" si="1"/>
        <v>5.0804178866612048E-3</v>
      </c>
      <c r="F13" s="52">
        <f t="shared" si="2"/>
        <v>1.0564312019100242</v>
      </c>
      <c r="G13" s="28">
        <f t="shared" si="3"/>
        <v>233577129.06799996</v>
      </c>
      <c r="H13" s="37">
        <f>SUM('[5]Consumption Data '!E114:E125)</f>
        <v>150098109.56999999</v>
      </c>
      <c r="I13" s="37">
        <f>SUM('[5]Consumption Data '!I114:I125)</f>
        <v>30548695.32</v>
      </c>
      <c r="J13" s="37">
        <f>SUM('[5]Consumption Data '!M114:M125)</f>
        <v>49921685.450000003</v>
      </c>
      <c r="K13" s="37">
        <v>110240.82</v>
      </c>
      <c r="L13" s="37">
        <v>1457369.41</v>
      </c>
      <c r="M13" s="37">
        <v>489312</v>
      </c>
      <c r="N13" s="37">
        <v>951716.49800000002</v>
      </c>
      <c r="P13" s="173"/>
      <c r="Q13" s="173"/>
    </row>
    <row r="14" spans="1:17" x14ac:dyDescent="0.25">
      <c r="A14">
        <f>'Purchased Power Model '!A206</f>
        <v>2012</v>
      </c>
      <c r="B14" s="6">
        <f>'Purchased Power Model '!B206</f>
        <v>245129838.40000004</v>
      </c>
      <c r="C14" s="6">
        <f>'Purchased Power Model '!H206</f>
        <v>245994875.49027348</v>
      </c>
      <c r="D14" s="35">
        <f t="shared" si="0"/>
        <v>865037.09027343988</v>
      </c>
      <c r="E14" s="5">
        <f t="shared" si="1"/>
        <v>3.5288934873031752E-3</v>
      </c>
      <c r="F14" s="52">
        <f t="shared" si="2"/>
        <v>1.0667757642103652</v>
      </c>
      <c r="G14" s="28">
        <f t="shared" si="3"/>
        <v>229785721.25834411</v>
      </c>
      <c r="H14" s="172">
        <f>SUM([6]Residential!$B$75:$B$86)</f>
        <v>144943095</v>
      </c>
      <c r="I14" s="172">
        <f>SUM('[6]GS LT 50'!$B$75:$B$86)</f>
        <v>30723398</v>
      </c>
      <c r="J14" s="172">
        <f>SUM('[6]GS GT 50'!$B$75:$B$86)</f>
        <v>51138110</v>
      </c>
      <c r="K14" s="172">
        <v>113359.85597714041</v>
      </c>
      <c r="L14" s="172">
        <v>1569708.8405002926</v>
      </c>
      <c r="M14" s="172">
        <v>478326.5</v>
      </c>
      <c r="N14" s="172">
        <v>819723.06186666701</v>
      </c>
      <c r="P14" s="173"/>
      <c r="Q14" s="173"/>
    </row>
    <row r="15" spans="1:17" x14ac:dyDescent="0.25">
      <c r="A15">
        <f>'Purchased Power Model '!A207</f>
        <v>2013</v>
      </c>
      <c r="B15" s="6">
        <f>'Purchased Power Model '!B207</f>
        <v>245129838.10000002</v>
      </c>
      <c r="C15" s="6">
        <f>'Purchased Power Model '!H207</f>
        <v>249473504.49720371</v>
      </c>
      <c r="D15" s="35">
        <f t="shared" si="0"/>
        <v>4343666.3972036839</v>
      </c>
      <c r="E15" s="5">
        <f t="shared" si="1"/>
        <v>1.7719859935744327E-2</v>
      </c>
      <c r="F15" s="52">
        <f t="shared" si="2"/>
        <v>1.054238860802809</v>
      </c>
      <c r="G15" s="28">
        <f t="shared" si="3"/>
        <v>232518309.85753286</v>
      </c>
      <c r="H15" s="172">
        <f>SUM([6]Residential!$B$87:$B$98)</f>
        <v>147964296</v>
      </c>
      <c r="I15" s="172">
        <f>SUM('[6]GS LT 50'!$B$87:$B$98)</f>
        <v>30842995</v>
      </c>
      <c r="J15" s="172">
        <f>SUM('[6]GS GT 50'!$B$87:$B$98)</f>
        <v>50921722</v>
      </c>
      <c r="K15" s="172">
        <v>101843.93410009757</v>
      </c>
      <c r="L15" s="172">
        <v>1472134.2629375483</v>
      </c>
      <c r="M15" s="172">
        <v>470796.6</v>
      </c>
      <c r="N15" s="172">
        <v>744522.06049523805</v>
      </c>
      <c r="P15" s="173"/>
      <c r="Q15" s="173"/>
    </row>
    <row r="16" spans="1:17" x14ac:dyDescent="0.25">
      <c r="A16">
        <f>'Purchased Power Model '!A208</f>
        <v>2014</v>
      </c>
      <c r="B16" s="6">
        <f>'Purchased Power Model '!B208</f>
        <v>253254985</v>
      </c>
      <c r="C16" s="6">
        <f>'Purchased Power Model '!H208</f>
        <v>254225266.15011215</v>
      </c>
      <c r="D16" s="35">
        <f t="shared" si="0"/>
        <v>970281.1501121521</v>
      </c>
      <c r="E16" s="5">
        <f t="shared" si="1"/>
        <v>3.8312420587186154E-3</v>
      </c>
      <c r="F16" s="52">
        <f t="shared" si="2"/>
        <v>1.0647301054256997</v>
      </c>
      <c r="G16" s="28">
        <f t="shared" si="3"/>
        <v>237858386.56148806</v>
      </c>
      <c r="H16" s="172">
        <f>SUM([6]Residential!$B$99:$B$110)</f>
        <v>152377958.31999999</v>
      </c>
      <c r="I16" s="172">
        <f>SUM('[6]GS LT 50'!$B$99:$B$110)</f>
        <v>32022040.200000003</v>
      </c>
      <c r="J16" s="172">
        <f>SUM('[6]GS GT 50'!$B$99:$B$110)</f>
        <v>50592266.850000001</v>
      </c>
      <c r="K16" s="172">
        <v>107980</v>
      </c>
      <c r="L16" s="172">
        <v>1625553.4323642934</v>
      </c>
      <c r="M16" s="172">
        <v>463266.7</v>
      </c>
      <c r="N16" s="172">
        <v>669321.05912381003</v>
      </c>
      <c r="O16" s="165"/>
      <c r="P16" s="173"/>
      <c r="Q16" s="173"/>
    </row>
    <row r="17" spans="1:17" x14ac:dyDescent="0.25">
      <c r="A17">
        <f>'Purchased Power Model '!A209</f>
        <v>2015</v>
      </c>
      <c r="B17" s="6">
        <f>'Purchased Power Model '!B209</f>
        <v>255186387</v>
      </c>
      <c r="C17" s="6">
        <f>'Purchased Power Model '!H209</f>
        <v>255095713.96550572</v>
      </c>
      <c r="D17" s="35">
        <f t="shared" si="0"/>
        <v>-90673.034494280815</v>
      </c>
      <c r="E17" s="5">
        <f t="shared" si="1"/>
        <v>-3.5532081299572148E-4</v>
      </c>
      <c r="F17" s="52">
        <f t="shared" si="2"/>
        <v>1.0537704349938826</v>
      </c>
      <c r="G17" s="28">
        <f t="shared" si="3"/>
        <v>242165066.05775237</v>
      </c>
      <c r="H17" s="172">
        <v>151042923</v>
      </c>
      <c r="I17" s="172">
        <v>34218675</v>
      </c>
      <c r="J17" s="172">
        <v>54636276</v>
      </c>
      <c r="K17" s="172">
        <v>103536</v>
      </c>
      <c r="L17" s="172">
        <v>1106444</v>
      </c>
      <c r="M17" s="172">
        <v>463092</v>
      </c>
      <c r="N17" s="172">
        <v>594120.05775238096</v>
      </c>
      <c r="O17" s="165"/>
      <c r="P17" s="173"/>
      <c r="Q17" s="173"/>
    </row>
    <row r="18" spans="1:17" x14ac:dyDescent="0.25">
      <c r="A18">
        <f>'Purchased Power Model '!A210</f>
        <v>2016</v>
      </c>
      <c r="B18" s="6"/>
      <c r="C18" s="6">
        <f>'Purchased Power Model '!H210</f>
        <v>258773135.43857595</v>
      </c>
      <c r="G18" s="22">
        <f>C18/$F$26</f>
        <v>241363659.97628912</v>
      </c>
      <c r="H18"/>
      <c r="I18"/>
      <c r="J18"/>
      <c r="K18"/>
      <c r="L18"/>
      <c r="M18"/>
    </row>
    <row r="19" spans="1:17" x14ac:dyDescent="0.25">
      <c r="A19">
        <f>'Purchased Power Model '!A211</f>
        <v>0</v>
      </c>
      <c r="B19" s="6"/>
      <c r="C19" s="6">
        <f>'Purchased Power Model '!H211</f>
        <v>0</v>
      </c>
      <c r="G19" s="22">
        <f t="shared" ref="G19:G23" si="4">C19/$F$26</f>
        <v>0</v>
      </c>
      <c r="H19"/>
      <c r="I19"/>
      <c r="J19"/>
      <c r="K19"/>
      <c r="L19"/>
      <c r="M19"/>
    </row>
    <row r="20" spans="1:17" x14ac:dyDescent="0.25">
      <c r="A20">
        <f>'Purchased Power Model '!A212</f>
        <v>0</v>
      </c>
      <c r="B20" s="168"/>
      <c r="C20" s="168">
        <f>'Purchased Power Model '!H212</f>
        <v>0</v>
      </c>
      <c r="G20" s="22">
        <f t="shared" si="4"/>
        <v>0</v>
      </c>
      <c r="H20"/>
      <c r="I20"/>
      <c r="J20"/>
      <c r="K20"/>
      <c r="L20"/>
      <c r="M20"/>
    </row>
    <row r="21" spans="1:17" x14ac:dyDescent="0.25">
      <c r="A21">
        <f>'Purchased Power Model '!A213</f>
        <v>0</v>
      </c>
      <c r="B21" s="168"/>
      <c r="C21" s="168">
        <f>'Purchased Power Model '!H213</f>
        <v>0</v>
      </c>
      <c r="G21" s="22">
        <f t="shared" si="4"/>
        <v>0</v>
      </c>
      <c r="H21"/>
      <c r="I21"/>
      <c r="J21"/>
      <c r="K21"/>
      <c r="L21"/>
      <c r="M21"/>
    </row>
    <row r="22" spans="1:17" x14ac:dyDescent="0.25">
      <c r="A22">
        <f>'Purchased Power Model '!A214</f>
        <v>0</v>
      </c>
      <c r="B22" s="168"/>
      <c r="C22" s="168">
        <f>'Purchased Power Model '!H214</f>
        <v>0</v>
      </c>
      <c r="G22" s="22">
        <f t="shared" si="4"/>
        <v>0</v>
      </c>
      <c r="H22"/>
      <c r="I22"/>
      <c r="J22"/>
      <c r="K22"/>
      <c r="L22"/>
      <c r="M22"/>
    </row>
    <row r="23" spans="1:17" x14ac:dyDescent="0.25">
      <c r="A23">
        <f>'Purchased Power Model '!A215</f>
        <v>0</v>
      </c>
      <c r="B23" s="168"/>
      <c r="C23" s="168">
        <f>'Purchased Power Model '!H215</f>
        <v>0</v>
      </c>
      <c r="G23" s="22">
        <f t="shared" si="4"/>
        <v>0</v>
      </c>
      <c r="H23"/>
      <c r="I23"/>
      <c r="J23"/>
      <c r="K23"/>
      <c r="L23"/>
      <c r="M23"/>
    </row>
    <row r="24" spans="1:17" x14ac:dyDescent="0.25">
      <c r="B24" s="6"/>
      <c r="C24" s="6"/>
      <c r="G24" s="28"/>
      <c r="H24"/>
      <c r="I24"/>
      <c r="J24"/>
      <c r="K24"/>
      <c r="L24"/>
      <c r="M24"/>
    </row>
    <row r="26" spans="1:17" x14ac:dyDescent="0.25">
      <c r="A26" s="20" t="s">
        <v>13</v>
      </c>
      <c r="F26" s="164">
        <f>AVERAGE(F8:F16)</f>
        <v>1.0721296464596082</v>
      </c>
    </row>
    <row r="27" spans="1:17" x14ac:dyDescent="0.25">
      <c r="E27" s="24"/>
      <c r="F27" s="24"/>
      <c r="G27" s="28"/>
    </row>
    <row r="29" spans="1:17" x14ac:dyDescent="0.25">
      <c r="A29" s="23" t="s">
        <v>15</v>
      </c>
      <c r="B29" s="13"/>
    </row>
    <row r="30" spans="1:17" ht="13.5" customHeight="1" x14ac:dyDescent="0.25"/>
    <row r="31" spans="1:17" x14ac:dyDescent="0.25">
      <c r="A31">
        <f t="shared" ref="A31:A46" si="5">A8</f>
        <v>2006</v>
      </c>
      <c r="H31" s="28">
        <f>H8/'Rate Class Customer Model'!B3</f>
        <v>11588.089764513872</v>
      </c>
      <c r="I31" s="28">
        <f>I8/'Rate Class Customer Model'!C3</f>
        <v>34117.156838143033</v>
      </c>
      <c r="J31" s="28">
        <f>J8/'Rate Class Customer Model'!D3</f>
        <v>497886.4375</v>
      </c>
      <c r="K31" s="28">
        <f>K8/'Rate Class Customer Model'!E3</f>
        <v>697.71957671957671</v>
      </c>
      <c r="L31" s="28">
        <f>L8/'Rate Class Customer Model'!F3</f>
        <v>609.66596372838467</v>
      </c>
      <c r="M31" s="28">
        <f>M8/'Rate Class Customer Model'!G3</f>
        <v>3241.9666666666667</v>
      </c>
      <c r="N31" s="28">
        <f>N8</f>
        <v>1386067.1</v>
      </c>
    </row>
    <row r="32" spans="1:17" x14ac:dyDescent="0.25">
      <c r="A32">
        <f t="shared" si="5"/>
        <v>2007</v>
      </c>
      <c r="H32" s="28">
        <f>H9/'Rate Class Customer Model'!B4</f>
        <v>11445.685628512047</v>
      </c>
      <c r="I32" s="28">
        <f>I9/'Rate Class Customer Model'!C4</f>
        <v>34753.873015873018</v>
      </c>
      <c r="J32" s="28">
        <f>J9/'Rate Class Customer Model'!D4</f>
        <v>553810.84507042251</v>
      </c>
      <c r="K32" s="28">
        <f>K9/'Rate Class Customer Model'!E4</f>
        <v>679.41397849462362</v>
      </c>
      <c r="L32" s="28">
        <f>L9/'Rate Class Customer Model'!F4</f>
        <v>601.02330253113701</v>
      </c>
      <c r="M32" s="28">
        <f>M9/'Rate Class Customer Model'!G4</f>
        <v>5839.2584269662921</v>
      </c>
      <c r="N32" s="28">
        <f t="shared" ref="N32:N40" si="6">N9</f>
        <v>1135841.3999999999</v>
      </c>
    </row>
    <row r="33" spans="1:14" x14ac:dyDescent="0.25">
      <c r="A33">
        <f t="shared" si="5"/>
        <v>2008</v>
      </c>
      <c r="H33" s="28">
        <f>H10/'Rate Class Customer Model'!B5</f>
        <v>11294.766965428937</v>
      </c>
      <c r="I33" s="28">
        <f>I10/'Rate Class Customer Model'!C5</f>
        <v>33970.910287081337</v>
      </c>
      <c r="J33" s="28">
        <f>J10/'Rate Class Customer Model'!D5</f>
        <v>620128.84342465759</v>
      </c>
      <c r="K33" s="28">
        <f>K10/'Rate Class Customer Model'!E5</f>
        <v>667.80440860215049</v>
      </c>
      <c r="L33" s="28">
        <f>L10/'Rate Class Customer Model'!F5</f>
        <v>592.69659969088104</v>
      </c>
      <c r="M33" s="28">
        <f>M10/'Rate Class Customer Model'!G5</f>
        <v>6050.1785714285716</v>
      </c>
      <c r="N33" s="28">
        <f t="shared" si="6"/>
        <v>1040152.96</v>
      </c>
    </row>
    <row r="34" spans="1:14" x14ac:dyDescent="0.25">
      <c r="A34">
        <f t="shared" si="5"/>
        <v>2009</v>
      </c>
      <c r="H34" s="28">
        <f>H11/'Rate Class Customer Model'!B6</f>
        <v>11111.63651814084</v>
      </c>
      <c r="I34" s="28">
        <f>I11/'Rate Class Customer Model'!C6</f>
        <v>32881.2081871345</v>
      </c>
      <c r="J34" s="28">
        <f>J11/'Rate Class Customer Model'!D6</f>
        <v>659350.80847222218</v>
      </c>
      <c r="K34" s="28">
        <f>K11/'Rate Class Customer Model'!E6</f>
        <v>632.23367875647671</v>
      </c>
      <c r="L34" s="28">
        <f>L11/'Rate Class Customer Model'!F6</f>
        <v>600.72822857142864</v>
      </c>
      <c r="M34" s="28">
        <f>M11/'Rate Class Customer Model'!G6</f>
        <v>5947.9518072289156</v>
      </c>
      <c r="N34" s="28">
        <f t="shared" si="6"/>
        <v>981974.60200000007</v>
      </c>
    </row>
    <row r="35" spans="1:14" x14ac:dyDescent="0.25">
      <c r="A35">
        <f t="shared" si="5"/>
        <v>2010</v>
      </c>
      <c r="H35" s="28">
        <f>H12/'Rate Class Customer Model'!B7</f>
        <v>10866.629274778401</v>
      </c>
      <c r="I35" s="28">
        <f>I12/'Rate Class Customer Model'!C7</f>
        <v>33744.363005780346</v>
      </c>
      <c r="J35" s="28">
        <f>J12/'Rate Class Customer Model'!D7</f>
        <v>751893.69294117636</v>
      </c>
      <c r="K35" s="28">
        <f>K12/'Rate Class Customer Model'!E7</f>
        <v>580.61054726368161</v>
      </c>
      <c r="L35" s="28">
        <f>L12/'Rate Class Customer Model'!F7</f>
        <v>588.47597765363128</v>
      </c>
      <c r="M35" s="28">
        <f>M12/'Rate Class Customer Model'!G7</f>
        <v>6020.4878048780483</v>
      </c>
      <c r="N35" s="28">
        <f t="shared" si="6"/>
        <v>1001806.8400000001</v>
      </c>
    </row>
    <row r="36" spans="1:14" x14ac:dyDescent="0.25">
      <c r="A36">
        <f t="shared" si="5"/>
        <v>2011</v>
      </c>
      <c r="H36" s="28">
        <f>H13/'Rate Class Customer Model'!B8</f>
        <v>10893.251293272371</v>
      </c>
      <c r="I36" s="28">
        <f>I13/'Rate Class Customer Model'!C8</f>
        <v>34094.526026785716</v>
      </c>
      <c r="J36" s="28">
        <f>J13/'Rate Class Customer Model'!D8</f>
        <v>745099.78283582092</v>
      </c>
      <c r="K36" s="28">
        <f>K13/'Rate Class Customer Model'!E8</f>
        <v>489.95920000000001</v>
      </c>
      <c r="L36" s="28">
        <f>L13/'Rate Class Customer Model'!F8</f>
        <v>534.22632331378293</v>
      </c>
      <c r="M36" s="28">
        <f>M13/'Rate Class Customer Model'!G8</f>
        <v>6040.8888888888887</v>
      </c>
      <c r="N36" s="28">
        <f t="shared" si="6"/>
        <v>951716.49800000002</v>
      </c>
    </row>
    <row r="37" spans="1:14" x14ac:dyDescent="0.25">
      <c r="A37">
        <f t="shared" si="5"/>
        <v>2012</v>
      </c>
      <c r="H37" s="28">
        <f>H14/'Rate Class Customer Model'!B9</f>
        <v>10395.464483160506</v>
      </c>
      <c r="I37" s="28">
        <f>I14/'Rate Class Customer Model'!C9</f>
        <v>33623.417783857731</v>
      </c>
      <c r="J37" s="28">
        <f>J14/'Rate Class Customer Model'!D9</f>
        <v>752953.7668711656</v>
      </c>
      <c r="K37" s="28">
        <f>K14/'Rate Class Customer Model'!E9</f>
        <v>658.7497683901621</v>
      </c>
      <c r="L37" s="28">
        <f>L14/'Rate Class Customer Model'!F9</f>
        <v>575.40646645905156</v>
      </c>
      <c r="M37" s="28">
        <f>M14/'Rate Class Customer Model'!G9</f>
        <v>6080.421610169491</v>
      </c>
      <c r="N37" s="28">
        <f t="shared" si="6"/>
        <v>819723.06186666701</v>
      </c>
    </row>
    <row r="38" spans="1:14" x14ac:dyDescent="0.25">
      <c r="A38">
        <f t="shared" si="5"/>
        <v>2013</v>
      </c>
      <c r="H38" s="28">
        <f>H15/'Rate Class Customer Model'!B10</f>
        <v>10433.981806642691</v>
      </c>
      <c r="I38" s="28">
        <f>I15/'Rate Class Customer Model'!C10</f>
        <v>32491.962075322623</v>
      </c>
      <c r="J38" s="28">
        <f>J15/'Rate Class Customer Model'!D10</f>
        <v>760025.70149253728</v>
      </c>
      <c r="K38" s="28">
        <f>K15/'Rate Class Customer Model'!E10</f>
        <v>606.21389345296177</v>
      </c>
      <c r="L38" s="28">
        <f>L15/'Rate Class Customer Model'!F10</f>
        <v>517.74944769198646</v>
      </c>
      <c r="M38" s="28">
        <f>M15/'Rate Class Customer Model'!G10</f>
        <v>6068.2698174006446</v>
      </c>
      <c r="N38" s="28">
        <f t="shared" si="6"/>
        <v>744522.06049523805</v>
      </c>
    </row>
    <row r="39" spans="1:14" x14ac:dyDescent="0.25">
      <c r="A39">
        <f t="shared" si="5"/>
        <v>2014</v>
      </c>
      <c r="H39" s="28">
        <f>H16/'Rate Class Customer Model'!B11</f>
        <v>10502.185399115502</v>
      </c>
      <c r="I39" s="28">
        <f>I16/'Rate Class Customer Model'!C11</f>
        <v>32304.706380832286</v>
      </c>
      <c r="J39" s="28">
        <f>J16/'Rate Class Customer Model'!D11</f>
        <v>753234.74218362279</v>
      </c>
      <c r="K39" s="28">
        <f>K16/'Rate Class Customer Model'!E11</f>
        <v>637.36350221347766</v>
      </c>
      <c r="L39" s="28">
        <f>L16/'Rate Class Customer Model'!F11</f>
        <v>556.06160742222119</v>
      </c>
      <c r="M39" s="28">
        <f>M16/'Rate Class Customer Model'!G11</f>
        <v>6129.2176405733189</v>
      </c>
      <c r="N39" s="28">
        <f t="shared" si="6"/>
        <v>669321.05912381003</v>
      </c>
    </row>
    <row r="40" spans="1:14" x14ac:dyDescent="0.25">
      <c r="A40">
        <f t="shared" si="5"/>
        <v>2015</v>
      </c>
      <c r="H40" s="28">
        <f>H17/'Rate Class Customer Model'!B12</f>
        <v>10163.312993792721</v>
      </c>
      <c r="I40" s="28">
        <f>I17/'Rate Class Customer Model'!C12</f>
        <v>34198.725743316398</v>
      </c>
      <c r="J40" s="28">
        <f>J17/'Rate Class Customer Model'!D12</f>
        <v>764143.72027972026</v>
      </c>
      <c r="K40" s="28">
        <f>K17/'Rate Class Customer Model'!E12</f>
        <v>624.65158371040729</v>
      </c>
      <c r="L40" s="28">
        <f>L17/'Rate Class Customer Model'!F12</f>
        <v>381.83964109053261</v>
      </c>
      <c r="M40" s="28">
        <f>M17/'Rate Class Customer Model'!G12</f>
        <v>6093.3157894736842</v>
      </c>
      <c r="N40" s="28">
        <f t="shared" si="6"/>
        <v>594120.05775238096</v>
      </c>
    </row>
    <row r="41" spans="1:14" x14ac:dyDescent="0.25">
      <c r="A41">
        <f t="shared" si="5"/>
        <v>2016</v>
      </c>
      <c r="H41" s="22">
        <f>H40*$H$58</f>
        <v>10039.076860605934</v>
      </c>
      <c r="I41" s="22">
        <f>I40*$I$58</f>
        <v>33966.167360027692</v>
      </c>
      <c r="J41" s="22">
        <f>J40*$J$58</f>
        <v>804729.74497082806</v>
      </c>
      <c r="K41" s="22">
        <f>K40*$K$58</f>
        <v>617.62679721151972</v>
      </c>
      <c r="L41" s="22">
        <f>L40*$L$58</f>
        <v>377.47212258742843</v>
      </c>
      <c r="M41" s="22">
        <f>M40*$M$58</f>
        <v>6598.2421305570315</v>
      </c>
      <c r="N41" s="22">
        <f>N40*$N$58</f>
        <v>542444.72954968503</v>
      </c>
    </row>
    <row r="42" spans="1:14" x14ac:dyDescent="0.25">
      <c r="A42">
        <f t="shared" si="5"/>
        <v>0</v>
      </c>
      <c r="H42" s="22">
        <f t="shared" ref="H42:H46" si="7">H41*$H$58</f>
        <v>9916.3593874071485</v>
      </c>
      <c r="I42" s="22">
        <f t="shared" ref="I42:I46" si="8">I41*$I$58</f>
        <v>33735.190421674793</v>
      </c>
      <c r="J42" s="22">
        <f t="shared" ref="J42:J46" si="9">J41*$J$58</f>
        <v>847471.41833967972</v>
      </c>
      <c r="K42" s="22">
        <f t="shared" ref="K42:K46" si="10">K41*$K$58</f>
        <v>610.68101095315308</v>
      </c>
      <c r="L42" s="22">
        <f t="shared" ref="L42:L46" si="11">L41*$L$58</f>
        <v>373.15456018060718</v>
      </c>
      <c r="M42" s="22">
        <f t="shared" ref="M42:M46" si="12">M41*$M$58</f>
        <v>7145.0095018328802</v>
      </c>
      <c r="N42" s="22">
        <f t="shared" ref="N42:N46" si="13">N41*$N$58</f>
        <v>495264.01402672008</v>
      </c>
    </row>
    <row r="43" spans="1:14" x14ac:dyDescent="0.25">
      <c r="A43">
        <f t="shared" si="5"/>
        <v>0</v>
      </c>
      <c r="G43" s="168"/>
      <c r="H43" s="22">
        <f t="shared" si="7"/>
        <v>9795.1420101272797</v>
      </c>
      <c r="I43" s="22">
        <f t="shared" si="8"/>
        <v>33505.784174106208</v>
      </c>
      <c r="J43" s="22">
        <f t="shared" si="9"/>
        <v>892483.23352171341</v>
      </c>
      <c r="K43" s="22">
        <f t="shared" si="10"/>
        <v>603.81333650432055</v>
      </c>
      <c r="L43" s="22">
        <f t="shared" si="11"/>
        <v>368.8863824674396</v>
      </c>
      <c r="M43" s="22">
        <f t="shared" si="12"/>
        <v>7737.0850858685217</v>
      </c>
      <c r="N43" s="22">
        <f t="shared" si="13"/>
        <v>452186.97911119118</v>
      </c>
    </row>
    <row r="44" spans="1:14" x14ac:dyDescent="0.25">
      <c r="A44">
        <f t="shared" si="5"/>
        <v>0</v>
      </c>
      <c r="G44" s="168"/>
      <c r="H44" s="22">
        <f t="shared" si="7"/>
        <v>9675.406391624052</v>
      </c>
      <c r="I44" s="22">
        <f t="shared" si="8"/>
        <v>33277.937936300892</v>
      </c>
      <c r="J44" s="22">
        <f t="shared" si="9"/>
        <v>939885.76473515132</v>
      </c>
      <c r="K44" s="22">
        <f t="shared" si="10"/>
        <v>597.02289542526569</v>
      </c>
      <c r="L44" s="22">
        <f t="shared" si="11"/>
        <v>364.6670245810547</v>
      </c>
      <c r="M44" s="22">
        <f t="shared" si="12"/>
        <v>8378.223375436075</v>
      </c>
      <c r="N44" s="22">
        <f t="shared" si="13"/>
        <v>412856.6951902007</v>
      </c>
    </row>
    <row r="45" spans="1:14" x14ac:dyDescent="0.25">
      <c r="A45">
        <f t="shared" si="5"/>
        <v>0</v>
      </c>
      <c r="G45" s="168"/>
      <c r="H45" s="22">
        <f t="shared" si="7"/>
        <v>9557.1344189080446</v>
      </c>
      <c r="I45" s="22">
        <f t="shared" si="8"/>
        <v>33051.64109987094</v>
      </c>
      <c r="J45" s="22">
        <f t="shared" si="9"/>
        <v>989805.99026602122</v>
      </c>
      <c r="K45" s="22">
        <f t="shared" si="10"/>
        <v>590.30881915510201</v>
      </c>
      <c r="L45" s="22">
        <f t="shared" si="11"/>
        <v>360.49592811558301</v>
      </c>
      <c r="M45" s="22">
        <f t="shared" si="12"/>
        <v>9072.4899816484067</v>
      </c>
      <c r="N45" s="22">
        <f t="shared" si="13"/>
        <v>376947.27764697769</v>
      </c>
    </row>
    <row r="46" spans="1:14" x14ac:dyDescent="0.25">
      <c r="A46">
        <f t="shared" si="5"/>
        <v>0</v>
      </c>
      <c r="G46" s="168"/>
      <c r="H46" s="22">
        <f t="shared" si="7"/>
        <v>9440.3082004026564</v>
      </c>
      <c r="I46" s="22">
        <f t="shared" si="8"/>
        <v>32826.883128567672</v>
      </c>
      <c r="J46" s="22">
        <f t="shared" si="9"/>
        <v>1042377.6326079066</v>
      </c>
      <c r="K46" s="22">
        <f t="shared" si="10"/>
        <v>583.67024890071593</v>
      </c>
      <c r="L46" s="22">
        <f t="shared" si="11"/>
        <v>356.37254105225497</v>
      </c>
      <c r="M46" s="22">
        <f t="shared" si="12"/>
        <v>9824.2874149707877</v>
      </c>
      <c r="N46" s="22">
        <f t="shared" si="13"/>
        <v>344161.18663161801</v>
      </c>
    </row>
    <row r="48" spans="1:14" x14ac:dyDescent="0.25">
      <c r="A48" s="36">
        <v>2006</v>
      </c>
      <c r="D48" s="6"/>
      <c r="H48" s="26"/>
      <c r="I48" s="26"/>
      <c r="J48" s="26"/>
      <c r="K48" s="26"/>
      <c r="L48" s="26"/>
      <c r="M48" s="26"/>
      <c r="N48" s="26"/>
    </row>
    <row r="49" spans="1:25" x14ac:dyDescent="0.25">
      <c r="A49" s="36">
        <v>2007</v>
      </c>
      <c r="D49" s="6"/>
      <c r="H49" s="26">
        <f t="shared" ref="H49:H56" si="14">H32/H31</f>
        <v>0.98771116388501679</v>
      </c>
      <c r="I49" s="26">
        <f t="shared" ref="I49:N49" si="15">I32/I31</f>
        <v>1.0186626388813893</v>
      </c>
      <c r="J49" s="26">
        <f t="shared" si="15"/>
        <v>1.1123236211278049</v>
      </c>
      <c r="K49" s="26">
        <f t="shared" si="15"/>
        <v>0.97376367406656505</v>
      </c>
      <c r="L49" s="26">
        <f t="shared" si="15"/>
        <v>0.98582394013863939</v>
      </c>
      <c r="M49" s="26">
        <f t="shared" si="15"/>
        <v>1.8011469664400082</v>
      </c>
      <c r="N49" s="26">
        <f t="shared" si="15"/>
        <v>0.81947071682171801</v>
      </c>
    </row>
    <row r="50" spans="1:25" x14ac:dyDescent="0.25">
      <c r="A50" s="36">
        <v>2008</v>
      </c>
      <c r="D50" s="6"/>
      <c r="H50" s="26">
        <f t="shared" si="14"/>
        <v>0.98681436237361264</v>
      </c>
      <c r="I50" s="26">
        <f t="shared" ref="I50:N56" si="16">I33/I32</f>
        <v>0.97747120936897935</v>
      </c>
      <c r="J50" s="26">
        <f t="shared" si="16"/>
        <v>1.1197484645606788</v>
      </c>
      <c r="K50" s="26">
        <f t="shared" si="16"/>
        <v>0.98291237704853174</v>
      </c>
      <c r="L50" s="26">
        <f t="shared" si="16"/>
        <v>0.98614579034591665</v>
      </c>
      <c r="M50" s="26">
        <f t="shared" si="16"/>
        <v>1.0361210498045827</v>
      </c>
      <c r="N50" s="26">
        <f t="shared" si="16"/>
        <v>0.91575545670372649</v>
      </c>
    </row>
    <row r="51" spans="1:25" x14ac:dyDescent="0.25">
      <c r="A51" s="36">
        <v>2009</v>
      </c>
      <c r="D51" s="6"/>
      <c r="H51" s="26">
        <f t="shared" si="14"/>
        <v>0.983786257135838</v>
      </c>
      <c r="I51" s="26">
        <f t="shared" si="16"/>
        <v>0.96792249337041658</v>
      </c>
      <c r="J51" s="26">
        <f t="shared" si="16"/>
        <v>1.0632480902371215</v>
      </c>
      <c r="K51" s="26">
        <f t="shared" si="16"/>
        <v>0.94673480829494594</v>
      </c>
      <c r="L51" s="26">
        <f t="shared" si="16"/>
        <v>1.0135509953739172</v>
      </c>
      <c r="M51" s="26">
        <f t="shared" si="16"/>
        <v>0.98310351289755105</v>
      </c>
      <c r="N51" s="26">
        <f t="shared" si="16"/>
        <v>0.94406749753420893</v>
      </c>
    </row>
    <row r="52" spans="1:25" x14ac:dyDescent="0.25">
      <c r="A52" s="36">
        <v>2010</v>
      </c>
      <c r="D52" s="6"/>
      <c r="H52" s="26">
        <f t="shared" si="14"/>
        <v>0.9779503907491538</v>
      </c>
      <c r="I52" s="26">
        <f t="shared" si="16"/>
        <v>1.026250702642477</v>
      </c>
      <c r="J52" s="26">
        <f t="shared" si="16"/>
        <v>1.1403545476548134</v>
      </c>
      <c r="K52" s="26">
        <f t="shared" si="16"/>
        <v>0.91834802031690055</v>
      </c>
      <c r="L52" s="26">
        <f t="shared" si="16"/>
        <v>0.97960433631205579</v>
      </c>
      <c r="M52" s="26">
        <f t="shared" si="16"/>
        <v>1.0121951219512195</v>
      </c>
      <c r="N52" s="26">
        <f t="shared" si="16"/>
        <v>1.0201962840582715</v>
      </c>
    </row>
    <row r="53" spans="1:25" x14ac:dyDescent="0.25">
      <c r="A53" s="36">
        <v>2011</v>
      </c>
      <c r="D53" s="6"/>
      <c r="H53" s="26">
        <f t="shared" si="14"/>
        <v>1.002449887432505</v>
      </c>
      <c r="I53" s="26">
        <f t="shared" si="16"/>
        <v>1.0103769337991471</v>
      </c>
      <c r="J53" s="26">
        <f t="shared" si="16"/>
        <v>0.99096426772941826</v>
      </c>
      <c r="K53" s="26">
        <f t="shared" si="16"/>
        <v>0.84386892781933442</v>
      </c>
      <c r="L53" s="26">
        <f t="shared" si="16"/>
        <v>0.90781330691500384</v>
      </c>
      <c r="M53" s="26">
        <f t="shared" si="16"/>
        <v>1.0033886098057221</v>
      </c>
      <c r="N53" s="26">
        <f t="shared" si="16"/>
        <v>0.95</v>
      </c>
    </row>
    <row r="54" spans="1:25" x14ac:dyDescent="0.25">
      <c r="A54" s="36">
        <v>2012</v>
      </c>
      <c r="D54" s="6"/>
      <c r="H54" s="26">
        <f t="shared" si="14"/>
        <v>0.95430319225084825</v>
      </c>
      <c r="I54" s="26">
        <f t="shared" si="16"/>
        <v>0.98618229088863507</v>
      </c>
      <c r="J54" s="26">
        <f t="shared" si="16"/>
        <v>1.0105408486437248</v>
      </c>
      <c r="K54" s="26">
        <f t="shared" si="16"/>
        <v>1.3444992325690834</v>
      </c>
      <c r="L54" s="26">
        <f t="shared" si="16"/>
        <v>1.0770837028206135</v>
      </c>
      <c r="M54" s="26">
        <f t="shared" si="16"/>
        <v>1.0065441894409473</v>
      </c>
      <c r="N54" s="26">
        <f t="shared" si="16"/>
        <v>0.86131013131461653</v>
      </c>
    </row>
    <row r="55" spans="1:25" x14ac:dyDescent="0.25">
      <c r="A55" s="36">
        <v>2013</v>
      </c>
      <c r="D55" s="6"/>
      <c r="H55" s="26">
        <f t="shared" si="14"/>
        <v>1.0037052046634933</v>
      </c>
      <c r="I55" s="26">
        <f t="shared" si="16"/>
        <v>0.96634917616619243</v>
      </c>
      <c r="J55" s="26">
        <f t="shared" si="16"/>
        <v>1.0093922561152173</v>
      </c>
      <c r="K55" s="26">
        <f t="shared" si="16"/>
        <v>0.92024911816578503</v>
      </c>
      <c r="L55" s="26">
        <f t="shared" si="16"/>
        <v>0.89979775666777595</v>
      </c>
      <c r="M55" s="26">
        <f t="shared" si="16"/>
        <v>0.9980014884578855</v>
      </c>
      <c r="N55" s="26">
        <f t="shared" si="16"/>
        <v>0.90826047860580883</v>
      </c>
    </row>
    <row r="56" spans="1:25" x14ac:dyDescent="0.25">
      <c r="A56" s="36">
        <v>2014</v>
      </c>
      <c r="D56" s="6"/>
      <c r="H56" s="26">
        <f t="shared" si="14"/>
        <v>1.0065366792598192</v>
      </c>
      <c r="I56" s="26">
        <f t="shared" si="16"/>
        <v>0.99423686097945574</v>
      </c>
      <c r="J56" s="26">
        <f t="shared" si="16"/>
        <v>0.99106482939250817</v>
      </c>
      <c r="K56" s="26">
        <f t="shared" si="16"/>
        <v>1.0513838582337489</v>
      </c>
      <c r="L56" s="26">
        <f t="shared" si="16"/>
        <v>1.0739974902938514</v>
      </c>
      <c r="M56" s="26">
        <f t="shared" si="16"/>
        <v>1.0100436903774297</v>
      </c>
      <c r="N56" s="26">
        <f t="shared" si="16"/>
        <v>0.89899426039652053</v>
      </c>
    </row>
    <row r="57" spans="1:25" x14ac:dyDescent="0.25">
      <c r="A57" s="36">
        <v>2015</v>
      </c>
      <c r="D57" s="6"/>
      <c r="E57" s="6"/>
      <c r="F57" s="6"/>
      <c r="H57" s="26"/>
      <c r="N57" s="6"/>
    </row>
    <row r="58" spans="1:25" x14ac:dyDescent="0.25">
      <c r="A58" t="s">
        <v>16</v>
      </c>
      <c r="D58" s="6"/>
      <c r="H58" s="26">
        <f t="shared" ref="H58:M58" si="17">H60</f>
        <v>0.98777602015576371</v>
      </c>
      <c r="I58" s="26">
        <f t="shared" si="17"/>
        <v>0.99319979390360302</v>
      </c>
      <c r="J58" s="26">
        <f t="shared" si="17"/>
        <v>1.0531130775716524</v>
      </c>
      <c r="K58" s="26">
        <f t="shared" si="17"/>
        <v>0.9887540723787801</v>
      </c>
      <c r="L58" s="26">
        <f t="shared" si="17"/>
        <v>0.98856190391696741</v>
      </c>
      <c r="M58" s="26">
        <f t="shared" si="17"/>
        <v>1.0828656118489077</v>
      </c>
      <c r="N58" s="26">
        <f>N60</f>
        <v>0.91302207772922339</v>
      </c>
    </row>
    <row r="59" spans="1:25" x14ac:dyDescent="0.25">
      <c r="A59" s="3"/>
      <c r="D59" s="6"/>
      <c r="H59" s="13"/>
      <c r="I59" s="13"/>
      <c r="L59" s="11"/>
      <c r="M59" s="11"/>
      <c r="N59" s="11"/>
    </row>
    <row r="60" spans="1:25" x14ac:dyDescent="0.25">
      <c r="A60" t="s">
        <v>14</v>
      </c>
      <c r="D60" s="6"/>
      <c r="H60" s="26">
        <f>GEOMEAN(H49:H56)</f>
        <v>0.98777602015576371</v>
      </c>
      <c r="I60" s="26">
        <f t="shared" ref="I60:N60" si="18">GEOMEAN(I49:I56)</f>
        <v>0.99319979390360302</v>
      </c>
      <c r="J60" s="26">
        <f t="shared" si="18"/>
        <v>1.0531130775716524</v>
      </c>
      <c r="K60" s="26">
        <f t="shared" si="18"/>
        <v>0.9887540723787801</v>
      </c>
      <c r="L60" s="26">
        <f t="shared" si="18"/>
        <v>0.98856190391696741</v>
      </c>
      <c r="M60" s="26">
        <f t="shared" si="18"/>
        <v>1.0828656118489077</v>
      </c>
      <c r="N60" s="26">
        <f t="shared" si="18"/>
        <v>0.91302207772922339</v>
      </c>
    </row>
    <row r="61" spans="1:25" x14ac:dyDescent="0.25">
      <c r="D61" s="6"/>
      <c r="H61" s="26"/>
      <c r="I61" s="26"/>
      <c r="J61" s="26"/>
      <c r="K61" s="26"/>
      <c r="L61" s="26"/>
      <c r="M61" s="26"/>
    </row>
    <row r="62" spans="1:25" ht="39.6" x14ac:dyDescent="0.25">
      <c r="A62" s="20" t="s">
        <v>43</v>
      </c>
      <c r="S62" s="46" t="s">
        <v>58</v>
      </c>
      <c r="T62" s="47" t="s">
        <v>59</v>
      </c>
      <c r="U62" s="47" t="s">
        <v>60</v>
      </c>
      <c r="V62" s="47" t="s">
        <v>69</v>
      </c>
      <c r="W62" s="47" t="s">
        <v>63</v>
      </c>
      <c r="X62" s="48" t="s">
        <v>61</v>
      </c>
      <c r="Y62" s="48" t="s">
        <v>117</v>
      </c>
    </row>
    <row r="63" spans="1:25" x14ac:dyDescent="0.25">
      <c r="A63">
        <v>2016</v>
      </c>
      <c r="B63"/>
      <c r="C63"/>
      <c r="G63" s="35">
        <f>SUM(H63:N63)</f>
        <v>249436426.54699898</v>
      </c>
      <c r="H63" s="35">
        <f>H41*'Rate Class Customer Model'!B13</f>
        <v>154792526.1136829</v>
      </c>
      <c r="I63" s="35">
        <f>I41*'Rate Class Customer Model'!C13</f>
        <v>34849287.711388409</v>
      </c>
      <c r="J63" s="35">
        <f>J41*'Rate Class Customer Model'!D13</f>
        <v>57538176.765414208</v>
      </c>
      <c r="K63" s="35">
        <f>K41*'Rate Class Customer Model'!E13</f>
        <v>100673.16794547772</v>
      </c>
      <c r="L63" s="35">
        <f>L41*'Rate Class Customer Model'!F13</f>
        <v>1118449.8992265505</v>
      </c>
      <c r="M63" s="35">
        <f>M41*'Rate Class Customer Model'!G13</f>
        <v>494868.15979177738</v>
      </c>
      <c r="N63" s="35">
        <f>N41</f>
        <v>542444.72954968503</v>
      </c>
      <c r="O63" s="108">
        <f>SUM(H63:N63)</f>
        <v>249436426.54699898</v>
      </c>
      <c r="P63" s="108"/>
      <c r="S63" s="179">
        <f>H63/O63</f>
        <v>0.62056904942276658</v>
      </c>
      <c r="T63" s="179">
        <f>I63/O63</f>
        <v>0.1397121029747517</v>
      </c>
      <c r="U63" s="179">
        <f>J63/O63</f>
        <v>0.23067271112694851</v>
      </c>
      <c r="V63" s="179">
        <f>K63/O63</f>
        <v>4.0360251042366826E-4</v>
      </c>
      <c r="W63" s="179">
        <f>L63/O63</f>
        <v>4.4839076421575152E-3</v>
      </c>
      <c r="X63" s="179">
        <f>M63/O63</f>
        <v>1.98394503418102E-3</v>
      </c>
      <c r="Y63" s="179">
        <f>N63/O63</f>
        <v>2.1746812887710977E-3</v>
      </c>
    </row>
    <row r="64" spans="1:25" x14ac:dyDescent="0.25">
      <c r="A64">
        <v>2017</v>
      </c>
      <c r="D64" s="1" t="s">
        <v>174</v>
      </c>
      <c r="G64" s="35">
        <f t="shared" ref="G64:G68" si="19">SUM(H64:N64)</f>
        <v>256304204.45355791</v>
      </c>
      <c r="H64" s="35">
        <f>H42*'Rate Class Customer Model'!B14</f>
        <v>157967605.04139587</v>
      </c>
      <c r="I64" s="35">
        <f>I42*'Rate Class Customer Model'!C14</f>
        <v>35489420.323601879</v>
      </c>
      <c r="J64" s="35">
        <f>J42*'Rate Class Customer Model'!D14</f>
        <v>60594206.411287099</v>
      </c>
      <c r="K64" s="35">
        <f>K42*'Rate Class Customer Model'!E14</f>
        <v>98319.642763457639</v>
      </c>
      <c r="L64" s="35">
        <f>L42*'Rate Class Customer Model'!F14</f>
        <v>1130658.3173472397</v>
      </c>
      <c r="M64" s="35">
        <f>M42*'Rate Class Customer Model'!G14</f>
        <v>528730.70313563314</v>
      </c>
      <c r="N64" s="35">
        <f t="shared" ref="N64:N68" si="20">N42</f>
        <v>495264.01402672008</v>
      </c>
      <c r="O64" s="108">
        <f t="shared" ref="O64:O68" si="21">SUM(H64:N64)</f>
        <v>256304204.45355791</v>
      </c>
      <c r="P64" s="108"/>
      <c r="S64" s="179">
        <f t="shared" ref="S64:S68" si="22">H64/O64</f>
        <v>0.61632857478161063</v>
      </c>
      <c r="T64" s="179">
        <f t="shared" ref="T64:T68" si="23">I64/O64</f>
        <v>0.13846600916776039</v>
      </c>
      <c r="U64" s="179">
        <f t="shared" ref="U64:U68" si="24">J64/O64</f>
        <v>0.23641518694737884</v>
      </c>
      <c r="V64" s="179">
        <f t="shared" ref="V64:V68" si="25">K64/O64</f>
        <v>3.8360526692519812E-4</v>
      </c>
      <c r="W64" s="179">
        <f t="shared" ref="W64:W68" si="26">L64/O64</f>
        <v>4.4113920009927659E-3</v>
      </c>
      <c r="X64" s="179">
        <f t="shared" ref="X64:X68" si="27">M64/O64</f>
        <v>2.0629029643227672E-3</v>
      </c>
      <c r="Y64" s="179">
        <f t="shared" ref="Y64:Y68" si="28">N64/O64</f>
        <v>1.932328871009455E-3</v>
      </c>
    </row>
    <row r="65" spans="1:26" x14ac:dyDescent="0.25">
      <c r="A65">
        <v>2018</v>
      </c>
      <c r="D65" s="1" t="s">
        <v>175</v>
      </c>
      <c r="G65" s="35">
        <f t="shared" si="19"/>
        <v>265564891.00531355</v>
      </c>
      <c r="H65" s="35">
        <f>H43*'Rate Class Customer Model'!B15</f>
        <v>163343788.1608825</v>
      </c>
      <c r="I65" s="35">
        <f>I43*'Rate Class Customer Model'!C15</f>
        <v>36152741.123860598</v>
      </c>
      <c r="J65" s="35">
        <f>J43*'Rate Class Customer Model'!D15</f>
        <v>63812551.196802512</v>
      </c>
      <c r="K65" s="35">
        <f>K43*'Rate Class Customer Model'!E15</f>
        <v>96006.320504186966</v>
      </c>
      <c r="L65" s="35">
        <f>L43*'Rate Class Customer Model'!F15</f>
        <v>1142810.0128841279</v>
      </c>
      <c r="M65" s="35">
        <f>M43*'Rate Class Customer Model'!G15</f>
        <v>564807.21126840205</v>
      </c>
      <c r="N65" s="35">
        <f t="shared" si="20"/>
        <v>452186.97911119118</v>
      </c>
      <c r="O65" s="108">
        <f t="shared" si="21"/>
        <v>265564891.00531355</v>
      </c>
      <c r="P65" s="108"/>
      <c r="S65" s="179">
        <f t="shared" si="22"/>
        <v>0.61508050835535422</v>
      </c>
      <c r="T65" s="179">
        <f t="shared" si="23"/>
        <v>0.13613524358209397</v>
      </c>
      <c r="U65" s="179">
        <f t="shared" si="24"/>
        <v>0.2402898626969697</v>
      </c>
      <c r="V65" s="179">
        <f t="shared" si="25"/>
        <v>3.6151736828143454E-4</v>
      </c>
      <c r="W65" s="179">
        <f t="shared" si="26"/>
        <v>4.3033173871664457E-3</v>
      </c>
      <c r="X65" s="179">
        <f t="shared" si="27"/>
        <v>2.126814313180808E-3</v>
      </c>
      <c r="Y65" s="179">
        <f t="shared" si="28"/>
        <v>1.7027362969532882E-3</v>
      </c>
    </row>
    <row r="66" spans="1:26" x14ac:dyDescent="0.25">
      <c r="A66">
        <v>2019</v>
      </c>
      <c r="G66" s="35">
        <f t="shared" si="19"/>
        <v>278760039.5050317</v>
      </c>
      <c r="H66" s="35">
        <f>H44*'Rate Class Customer Model'!B16</f>
        <v>172454443.5243071</v>
      </c>
      <c r="I66" s="35">
        <f>I44*'Rate Class Customer Model'!C16</f>
        <v>36838677.295485087</v>
      </c>
      <c r="J66" s="35">
        <f>J44*'Rate Class Customer Model'!D16</f>
        <v>67201832.178563312</v>
      </c>
      <c r="K66" s="35">
        <f>K44*'Rate Class Customer Model'!E16</f>
        <v>93732.594581766709</v>
      </c>
      <c r="L66" s="35">
        <f>L44*'Rate Class Customer Model'!F16</f>
        <v>1155265.1338727814</v>
      </c>
      <c r="M66" s="35">
        <f>M44*'Rate Class Customer Model'!G16</f>
        <v>603232.08303139743</v>
      </c>
      <c r="N66" s="35">
        <f t="shared" si="20"/>
        <v>412856.6951902007</v>
      </c>
      <c r="O66" s="108">
        <f t="shared" si="21"/>
        <v>278760039.5050317</v>
      </c>
      <c r="P66" s="108"/>
      <c r="S66" s="179">
        <f t="shared" si="22"/>
        <v>0.61864836807498824</v>
      </c>
      <c r="T66" s="179">
        <f t="shared" si="23"/>
        <v>0.13215193024400521</v>
      </c>
      <c r="U66" s="179">
        <f t="shared" si="24"/>
        <v>0.24107412345717613</v>
      </c>
      <c r="V66" s="179">
        <f t="shared" si="25"/>
        <v>3.362483186191212E-4</v>
      </c>
      <c r="W66" s="179">
        <f t="shared" si="26"/>
        <v>4.1442996489887089E-3</v>
      </c>
      <c r="X66" s="179">
        <f t="shared" si="27"/>
        <v>2.1639833460437895E-3</v>
      </c>
      <c r="Y66" s="179">
        <f t="shared" si="28"/>
        <v>1.4810469101786323E-3</v>
      </c>
    </row>
    <row r="67" spans="1:26" x14ac:dyDescent="0.25">
      <c r="A67">
        <v>2020</v>
      </c>
      <c r="G67" s="35">
        <f t="shared" si="19"/>
        <v>290975005.62258065</v>
      </c>
      <c r="H67" s="35">
        <f>H45*'Rate Class Customer Model'!B17</f>
        <v>180410026.42572716</v>
      </c>
      <c r="I67" s="35">
        <f>I45*'Rate Class Customer Model'!C17</f>
        <v>37513612.648353517</v>
      </c>
      <c r="J67" s="35">
        <f>J45*'Rate Class Customer Model'!D17</f>
        <v>70771128.304020524</v>
      </c>
      <c r="K67" s="35">
        <f>K45*'Rate Class Customer Model'!E17</f>
        <v>91497.866969040813</v>
      </c>
      <c r="L67" s="35">
        <f>L45*'Rate Class Customer Model'!F17</f>
        <v>1167646.3111663733</v>
      </c>
      <c r="M67" s="35">
        <f>M45*'Rate Class Customer Model'!G17</f>
        <v>644146.78869703691</v>
      </c>
      <c r="N67" s="35">
        <f t="shared" si="20"/>
        <v>376947.27764697769</v>
      </c>
      <c r="O67" s="108">
        <f t="shared" si="21"/>
        <v>290975005.62258065</v>
      </c>
      <c r="P67" s="108"/>
      <c r="S67" s="179">
        <f t="shared" si="22"/>
        <v>0.62001898080460671</v>
      </c>
      <c r="T67" s="179">
        <f t="shared" si="23"/>
        <v>0.12892383168130897</v>
      </c>
      <c r="U67" s="179">
        <f t="shared" si="24"/>
        <v>0.24322064416700004</v>
      </c>
      <c r="V67" s="179">
        <f t="shared" si="25"/>
        <v>3.1445266844576104E-4</v>
      </c>
      <c r="W67" s="179">
        <f t="shared" si="26"/>
        <v>4.0128749500942017E-3</v>
      </c>
      <c r="X67" s="179">
        <f t="shared" si="27"/>
        <v>2.2137529899477005E-3</v>
      </c>
      <c r="Y67" s="179">
        <f t="shared" si="28"/>
        <v>1.2954627385965596E-3</v>
      </c>
    </row>
    <row r="68" spans="1:26" x14ac:dyDescent="0.25">
      <c r="A68">
        <v>2021</v>
      </c>
      <c r="G68" s="35">
        <f t="shared" si="19"/>
        <v>302460400.10543853</v>
      </c>
      <c r="H68" s="35">
        <f>H46*'Rate Class Customer Model'!B18</f>
        <v>187418438.70259395</v>
      </c>
      <c r="I68" s="35">
        <f>I46*'Rate Class Customer Model'!C18</f>
        <v>38210491.961652771</v>
      </c>
      <c r="J68" s="35">
        <f>J46*'Rate Class Customer Model'!D18</f>
        <v>74530000.731465325</v>
      </c>
      <c r="K68" s="35">
        <f>K46*'Rate Class Customer Model'!E18</f>
        <v>89301.548081809538</v>
      </c>
      <c r="L68" s="35">
        <f>L46*'Rate Class Customer Model'!F18</f>
        <v>1180305.8559650686</v>
      </c>
      <c r="M68" s="35">
        <f>M46*'Rate Class Customer Model'!G18</f>
        <v>687700.11904795514</v>
      </c>
      <c r="N68" s="35">
        <f t="shared" si="20"/>
        <v>344161.18663161801</v>
      </c>
      <c r="O68" s="108">
        <f t="shared" si="21"/>
        <v>302460400.10543853</v>
      </c>
      <c r="P68" s="108"/>
      <c r="S68" s="179">
        <f t="shared" si="22"/>
        <v>0.61964620372537815</v>
      </c>
      <c r="T68" s="179">
        <f t="shared" si="23"/>
        <v>0.12633221389753002</v>
      </c>
      <c r="U68" s="179">
        <f t="shared" si="24"/>
        <v>0.24641242524801249</v>
      </c>
      <c r="V68" s="179">
        <f t="shared" si="25"/>
        <v>2.9525038005199616E-4</v>
      </c>
      <c r="W68" s="179">
        <f t="shared" si="26"/>
        <v>3.9023483919005948E-3</v>
      </c>
      <c r="X68" s="179">
        <f t="shared" si="27"/>
        <v>2.2736864687351501E-3</v>
      </c>
      <c r="Y68" s="179">
        <f t="shared" si="28"/>
        <v>1.1378718883914803E-3</v>
      </c>
    </row>
    <row r="69" spans="1:26" x14ac:dyDescent="0.25">
      <c r="G69" s="35"/>
      <c r="H69" s="177"/>
      <c r="I69" s="177"/>
      <c r="J69" s="177"/>
      <c r="K69" s="177"/>
      <c r="L69" s="177"/>
      <c r="M69" s="177"/>
      <c r="N69" s="177"/>
    </row>
    <row r="70" spans="1:26" x14ac:dyDescent="0.25">
      <c r="A70" s="20" t="s">
        <v>42</v>
      </c>
      <c r="G70" s="35"/>
      <c r="H70" s="35"/>
      <c r="I70" s="35"/>
      <c r="J70" s="35"/>
      <c r="K70" s="35"/>
      <c r="L70" s="35"/>
      <c r="M70" s="35"/>
      <c r="P70" t="s">
        <v>138</v>
      </c>
      <c r="Q70" s="1"/>
      <c r="R70" s="1"/>
    </row>
    <row r="71" spans="1:26" x14ac:dyDescent="0.25">
      <c r="A71">
        <v>2016</v>
      </c>
      <c r="G71" s="56">
        <f>G18</f>
        <v>241363659.97628912</v>
      </c>
      <c r="H71" s="35">
        <f>H63+H88+H97</f>
        <v>149232278.1525664</v>
      </c>
      <c r="I71" s="35">
        <f t="shared" ref="I71:N71" si="29">I63+I88+I97</f>
        <v>33023311.952779528</v>
      </c>
      <c r="J71" s="35">
        <f t="shared" si="29"/>
        <v>54889863.250576422</v>
      </c>
      <c r="K71" s="35">
        <f t="shared" si="29"/>
        <v>100673.16794547772</v>
      </c>
      <c r="L71" s="35">
        <f t="shared" si="29"/>
        <v>657418.89922655048</v>
      </c>
      <c r="M71" s="35">
        <f t="shared" si="29"/>
        <v>494868.15979177738</v>
      </c>
      <c r="N71" s="35">
        <f t="shared" si="29"/>
        <v>542444.72954968503</v>
      </c>
      <c r="O71" s="35">
        <f>SUM(H71:N71)</f>
        <v>238940858.31243581</v>
      </c>
      <c r="P71" s="108">
        <f>G71-O71</f>
        <v>2422801.6638533175</v>
      </c>
      <c r="Q71" s="108">
        <f>P71+G97</f>
        <v>7.4505805969238281E-9</v>
      </c>
      <c r="S71" s="179">
        <f>H71/O71</f>
        <v>0.62455738715658382</v>
      </c>
      <c r="T71" s="179">
        <f>I71/O71</f>
        <v>0.13820705335208386</v>
      </c>
      <c r="U71" s="179">
        <f>J71/O71</f>
        <v>0.22972154548303825</v>
      </c>
      <c r="V71" s="179">
        <f>K71/O71</f>
        <v>4.2133090446104808E-4</v>
      </c>
      <c r="W71" s="179">
        <f>L71/O71</f>
        <v>2.7513875352658127E-3</v>
      </c>
      <c r="X71" s="179">
        <f>M71/O71</f>
        <v>2.0710905756632651E-3</v>
      </c>
      <c r="Y71" s="179">
        <f>N71/O71</f>
        <v>2.2702049929041088E-3</v>
      </c>
      <c r="Z71" s="179"/>
    </row>
    <row r="72" spans="1:26" x14ac:dyDescent="0.25">
      <c r="A72">
        <v>2017</v>
      </c>
      <c r="G72" s="56">
        <f t="shared" ref="G72:G76" si="30">G19</f>
        <v>0</v>
      </c>
      <c r="H72" s="35">
        <f t="shared" ref="H72:N76" si="31">H64+H89+H98</f>
        <v>-10373862.621764101</v>
      </c>
      <c r="I72" s="35">
        <f t="shared" si="31"/>
        <v>-3645854.3028228371</v>
      </c>
      <c r="J72" s="35">
        <f t="shared" si="31"/>
        <v>7663165.010284543</v>
      </c>
      <c r="K72" s="35">
        <f t="shared" si="31"/>
        <v>98319.642763457639</v>
      </c>
      <c r="L72" s="35">
        <f t="shared" si="31"/>
        <v>669627.3173472397</v>
      </c>
      <c r="M72" s="35">
        <f t="shared" si="31"/>
        <v>528730.70313563314</v>
      </c>
      <c r="N72" s="35">
        <f t="shared" si="31"/>
        <v>495264.01402672008</v>
      </c>
      <c r="O72" s="35">
        <f t="shared" ref="O72:O76" si="32">SUM(H72:N72)</f>
        <v>-4564610.2370293457</v>
      </c>
      <c r="P72" s="108">
        <f t="shared" ref="P72:P76" si="33">G72-O72</f>
        <v>4564610.2370293457</v>
      </c>
      <c r="Q72" s="108">
        <f t="shared" ref="Q72:Q76" si="34">P72+G98</f>
        <v>-2.2351741790771484E-8</v>
      </c>
      <c r="R72" s="108"/>
      <c r="S72" s="179">
        <f t="shared" ref="S72:S76" si="35">H72/O72</f>
        <v>2.2726721632459519</v>
      </c>
      <c r="T72" s="179">
        <f t="shared" ref="T72:T76" si="36">I72/O72</f>
        <v>0.79872193100884858</v>
      </c>
      <c r="U72" s="179">
        <f t="shared" ref="U72:U76" si="37">J72/O72</f>
        <v>-1.6788213258864662</v>
      </c>
      <c r="V72" s="179">
        <f t="shared" ref="V72:V76" si="38">K72/O72</f>
        <v>-2.1539548320218507E-2</v>
      </c>
      <c r="W72" s="179">
        <f t="shared" ref="W72:W76" si="39">L72/O72</f>
        <v>-0.14669977995383765</v>
      </c>
      <c r="X72" s="179">
        <f t="shared" ref="X72:X76" si="40">M72/O72</f>
        <v>-0.11583260687767545</v>
      </c>
      <c r="Y72" s="179">
        <f t="shared" ref="Y72:Y76" si="41">N72/O72</f>
        <v>-0.10850083321660307</v>
      </c>
    </row>
    <row r="73" spans="1:26" x14ac:dyDescent="0.25">
      <c r="A73">
        <v>2018</v>
      </c>
      <c r="D73" s="1" t="s">
        <v>176</v>
      </c>
      <c r="G73" s="56">
        <f t="shared" si="30"/>
        <v>0</v>
      </c>
      <c r="H73" s="35">
        <f t="shared" si="31"/>
        <v>-11163556.138882276</v>
      </c>
      <c r="I73" s="35">
        <f t="shared" si="31"/>
        <v>-4879890.7561814934</v>
      </c>
      <c r="J73" s="35">
        <f t="shared" si="31"/>
        <v>8027041.3848009948</v>
      </c>
      <c r="K73" s="35">
        <f t="shared" si="31"/>
        <v>96006.320504186966</v>
      </c>
      <c r="L73" s="35">
        <f t="shared" si="31"/>
        <v>681779.01288412791</v>
      </c>
      <c r="M73" s="35">
        <f t="shared" si="31"/>
        <v>564807.21126840205</v>
      </c>
      <c r="N73" s="35">
        <f t="shared" si="31"/>
        <v>452186.97911119118</v>
      </c>
      <c r="O73" s="35">
        <f t="shared" si="32"/>
        <v>-6221625.9864948671</v>
      </c>
      <c r="P73" s="108">
        <f t="shared" si="33"/>
        <v>6221625.9864948671</v>
      </c>
      <c r="Q73" s="108">
        <f t="shared" si="34"/>
        <v>1.1175870895385742E-8</v>
      </c>
      <c r="R73" s="108"/>
      <c r="S73" s="179">
        <f t="shared" si="35"/>
        <v>1.7943148886022298</v>
      </c>
      <c r="T73" s="179">
        <f t="shared" si="36"/>
        <v>0.78434331584286066</v>
      </c>
      <c r="U73" s="179">
        <f t="shared" si="37"/>
        <v>-1.2901838526174829</v>
      </c>
      <c r="V73" s="179">
        <f t="shared" si="38"/>
        <v>-1.5431065884157222E-2</v>
      </c>
      <c r="W73" s="179">
        <f t="shared" si="39"/>
        <v>-0.10958212762452277</v>
      </c>
      <c r="X73" s="179">
        <f t="shared" si="40"/>
        <v>-9.0781286514878171E-2</v>
      </c>
      <c r="Y73" s="179">
        <f t="shared" si="41"/>
        <v>-7.2679871804049695E-2</v>
      </c>
    </row>
    <row r="74" spans="1:26" x14ac:dyDescent="0.25">
      <c r="A74">
        <v>2019</v>
      </c>
      <c r="G74" s="56">
        <f t="shared" si="30"/>
        <v>0</v>
      </c>
      <c r="H74" s="35">
        <f t="shared" si="31"/>
        <v>-12184869.848605366</v>
      </c>
      <c r="I74" s="35">
        <f t="shared" si="31"/>
        <v>-6501395.9242526013</v>
      </c>
      <c r="J74" s="35">
        <f t="shared" si="31"/>
        <v>8412977.9679432809</v>
      </c>
      <c r="K74" s="35">
        <f t="shared" si="31"/>
        <v>93732.594581766709</v>
      </c>
      <c r="L74" s="35">
        <f t="shared" si="31"/>
        <v>694234.13387278141</v>
      </c>
      <c r="M74" s="35">
        <f t="shared" si="31"/>
        <v>603232.08303139743</v>
      </c>
      <c r="N74" s="35">
        <f t="shared" si="31"/>
        <v>412856.6951902007</v>
      </c>
      <c r="O74" s="35">
        <f t="shared" si="32"/>
        <v>-8469232.2982385419</v>
      </c>
      <c r="P74" s="108">
        <f t="shared" si="33"/>
        <v>8469232.2982385419</v>
      </c>
      <c r="Q74" s="108">
        <f t="shared" si="34"/>
        <v>5.2154064178466797E-8</v>
      </c>
      <c r="R74" s="108"/>
      <c r="S74" s="179">
        <f t="shared" si="35"/>
        <v>1.4387218840531291</v>
      </c>
      <c r="T74" s="179">
        <f t="shared" si="36"/>
        <v>0.76764878979701412</v>
      </c>
      <c r="U74" s="179">
        <f t="shared" si="37"/>
        <v>-0.99335780052851297</v>
      </c>
      <c r="V74" s="179">
        <f t="shared" si="38"/>
        <v>-1.1067425155083008E-2</v>
      </c>
      <c r="W74" s="179">
        <f t="shared" si="39"/>
        <v>-8.1971317992679274E-2</v>
      </c>
      <c r="X74" s="179">
        <f t="shared" si="40"/>
        <v>-7.1226300305502255E-2</v>
      </c>
      <c r="Y74" s="179">
        <f t="shared" si="41"/>
        <v>-4.8747829868365747E-2</v>
      </c>
    </row>
    <row r="75" spans="1:26" x14ac:dyDescent="0.25">
      <c r="A75">
        <v>2020</v>
      </c>
      <c r="G75" s="56">
        <f t="shared" si="30"/>
        <v>0</v>
      </c>
      <c r="H75" s="35">
        <f t="shared" si="31"/>
        <v>-13272016.651055288</v>
      </c>
      <c r="I75" s="35">
        <f t="shared" si="31"/>
        <v>-8235917.941677344</v>
      </c>
      <c r="J75" s="35">
        <f t="shared" si="31"/>
        <v>8795250.3116132841</v>
      </c>
      <c r="K75" s="35">
        <f t="shared" si="31"/>
        <v>91497.866969040813</v>
      </c>
      <c r="L75" s="35">
        <f t="shared" si="31"/>
        <v>706615.31116637331</v>
      </c>
      <c r="M75" s="35">
        <f t="shared" si="31"/>
        <v>644146.78869703691</v>
      </c>
      <c r="N75" s="35">
        <f t="shared" si="31"/>
        <v>376947.27764697769</v>
      </c>
      <c r="O75" s="35">
        <f t="shared" si="32"/>
        <v>-10893477.036639918</v>
      </c>
      <c r="P75" s="108">
        <f t="shared" si="33"/>
        <v>10893477.036639918</v>
      </c>
      <c r="Q75" s="108">
        <f t="shared" si="34"/>
        <v>1.862645149230957E-8</v>
      </c>
      <c r="R75" s="108"/>
      <c r="S75" s="179">
        <f t="shared" si="35"/>
        <v>1.2183453094374932</v>
      </c>
      <c r="T75" s="179">
        <f t="shared" si="36"/>
        <v>0.75604124504747705</v>
      </c>
      <c r="U75" s="179">
        <f t="shared" si="37"/>
        <v>-0.80738686849301611</v>
      </c>
      <c r="V75" s="179">
        <f t="shared" si="38"/>
        <v>-8.3993261895435392E-3</v>
      </c>
      <c r="W75" s="179">
        <f t="shared" si="39"/>
        <v>-6.4865910929053389E-2</v>
      </c>
      <c r="X75" s="179">
        <f t="shared" si="40"/>
        <v>-5.9131422091446693E-2</v>
      </c>
      <c r="Y75" s="179">
        <f t="shared" si="41"/>
        <v>-3.4603026781910462E-2</v>
      </c>
    </row>
    <row r="76" spans="1:26" x14ac:dyDescent="0.25">
      <c r="A76">
        <v>2021</v>
      </c>
      <c r="G76" s="56">
        <f t="shared" si="30"/>
        <v>0</v>
      </c>
      <c r="H76" s="35">
        <f t="shared" si="31"/>
        <v>-14374304.717369603</v>
      </c>
      <c r="I76" s="35">
        <f t="shared" si="31"/>
        <v>-9694814.4995197393</v>
      </c>
      <c r="J76" s="35">
        <f t="shared" si="31"/>
        <v>9220557.203722436</v>
      </c>
      <c r="K76" s="35">
        <f t="shared" si="31"/>
        <v>89301.548081809538</v>
      </c>
      <c r="L76" s="35">
        <f t="shared" si="31"/>
        <v>719274.85596506856</v>
      </c>
      <c r="M76" s="35">
        <f t="shared" si="31"/>
        <v>687700.11904795514</v>
      </c>
      <c r="N76" s="35">
        <f t="shared" si="31"/>
        <v>344161.18663161801</v>
      </c>
      <c r="O76" s="35">
        <f t="shared" si="32"/>
        <v>-13008124.303440457</v>
      </c>
      <c r="P76" s="108">
        <f t="shared" si="33"/>
        <v>13008124.303440457</v>
      </c>
      <c r="Q76" s="108">
        <f t="shared" si="34"/>
        <v>4.2840838432312012E-8</v>
      </c>
      <c r="R76" s="108"/>
      <c r="S76" s="179">
        <f t="shared" si="35"/>
        <v>1.1050251659701478</v>
      </c>
      <c r="T76" s="179">
        <f t="shared" si="36"/>
        <v>0.74528919568792895</v>
      </c>
      <c r="U76" s="179">
        <f t="shared" si="37"/>
        <v>-0.70883064987960909</v>
      </c>
      <c r="V76" s="179">
        <f t="shared" si="38"/>
        <v>-6.8650595580633097E-3</v>
      </c>
      <c r="W76" s="179">
        <f t="shared" si="39"/>
        <v>-5.5294279112541304E-2</v>
      </c>
      <c r="X76" s="179">
        <f t="shared" si="40"/>
        <v>-5.2866970133893063E-2</v>
      </c>
      <c r="Y76" s="179">
        <f t="shared" si="41"/>
        <v>-2.645740297397008E-2</v>
      </c>
    </row>
    <row r="77" spans="1:26" x14ac:dyDescent="0.25">
      <c r="G77"/>
      <c r="H77" s="177"/>
      <c r="I77" s="177"/>
      <c r="J77" s="177"/>
      <c r="K77" s="177"/>
      <c r="L77" s="177"/>
      <c r="M77" s="177"/>
      <c r="N77" s="177"/>
      <c r="O77" s="35"/>
      <c r="P77" s="108"/>
      <c r="Q77" s="115"/>
      <c r="R77" s="108"/>
      <c r="S77" s="35"/>
    </row>
    <row r="78" spans="1:26" x14ac:dyDescent="0.25">
      <c r="G78" s="35"/>
      <c r="H78" s="35"/>
      <c r="I78" s="35"/>
      <c r="J78" s="35"/>
      <c r="K78" s="35"/>
      <c r="L78" s="35"/>
      <c r="M78" s="35"/>
    </row>
    <row r="79" spans="1:26" x14ac:dyDescent="0.25">
      <c r="A79" s="51" t="s">
        <v>44</v>
      </c>
      <c r="G79" s="35"/>
      <c r="H79" s="57">
        <f>(100%+J79)/2</f>
        <v>0.82499999999999996</v>
      </c>
      <c r="I79" s="57">
        <f>H79</f>
        <v>0.82499999999999996</v>
      </c>
      <c r="J79" s="57">
        <v>0.65</v>
      </c>
      <c r="K79" s="57"/>
      <c r="L79" s="57"/>
      <c r="M79" s="57"/>
      <c r="N79" s="57"/>
    </row>
    <row r="80" spans="1:26" x14ac:dyDescent="0.25">
      <c r="A80">
        <v>2016</v>
      </c>
      <c r="G80" s="35">
        <f>G71-G63</f>
        <v>-8072766.5707098544</v>
      </c>
      <c r="H80" s="35">
        <f>H63*$H$79</f>
        <v>127703834.04378839</v>
      </c>
      <c r="I80" s="35">
        <f>I63*$I$79</f>
        <v>28750662.361895435</v>
      </c>
      <c r="J80" s="35">
        <f>J63*$J$79</f>
        <v>37399814.897519238</v>
      </c>
      <c r="K80" s="35">
        <f>K63*$K$79</f>
        <v>0</v>
      </c>
      <c r="L80" s="35">
        <f>L63*$L$79</f>
        <v>0</v>
      </c>
      <c r="M80" s="35">
        <f>M63*$M$79</f>
        <v>0</v>
      </c>
      <c r="N80" s="35">
        <f>N63*$N$79</f>
        <v>0</v>
      </c>
      <c r="O80" s="108">
        <f>SUM(H80:M80)</f>
        <v>193854311.30320305</v>
      </c>
    </row>
    <row r="81" spans="1:15" x14ac:dyDescent="0.25">
      <c r="A81">
        <v>2017</v>
      </c>
      <c r="G81" s="35">
        <f t="shared" ref="G81:G85" si="42">G72-G64</f>
        <v>-256304204.45355791</v>
      </c>
      <c r="H81" s="35">
        <f t="shared" ref="H81:H85" si="43">H64*$H$79</f>
        <v>130323274.15915158</v>
      </c>
      <c r="I81" s="35">
        <f t="shared" ref="I81:I85" si="44">I64*$I$79</f>
        <v>29278771.766971547</v>
      </c>
      <c r="J81" s="35">
        <f t="shared" ref="J81:J85" si="45">J64*$J$79</f>
        <v>39386234.167336613</v>
      </c>
      <c r="K81" s="35">
        <f t="shared" ref="K81:K85" si="46">K64*$K$79</f>
        <v>0</v>
      </c>
      <c r="L81" s="35">
        <f t="shared" ref="L81:L85" si="47">L64*$L$79</f>
        <v>0</v>
      </c>
      <c r="M81" s="35">
        <f t="shared" ref="M81:M85" si="48">M64*$M$79</f>
        <v>0</v>
      </c>
      <c r="N81" s="35">
        <f t="shared" ref="N81:N85" si="49">N64*$N$79</f>
        <v>0</v>
      </c>
      <c r="O81" s="108">
        <f>SUM(H81:M81)</f>
        <v>198988280.09345976</v>
      </c>
    </row>
    <row r="82" spans="1:15" x14ac:dyDescent="0.25">
      <c r="A82">
        <v>2018</v>
      </c>
      <c r="D82" s="1" t="s">
        <v>177</v>
      </c>
      <c r="G82" s="35">
        <f t="shared" si="42"/>
        <v>-265564891.00531355</v>
      </c>
      <c r="H82" s="35">
        <f t="shared" si="43"/>
        <v>134758625.23272806</v>
      </c>
      <c r="I82" s="35">
        <f t="shared" si="44"/>
        <v>29826011.427184992</v>
      </c>
      <c r="J82" s="35">
        <f t="shared" si="45"/>
        <v>41478158.277921632</v>
      </c>
      <c r="K82" s="35">
        <f t="shared" si="46"/>
        <v>0</v>
      </c>
      <c r="L82" s="35">
        <f t="shared" si="47"/>
        <v>0</v>
      </c>
      <c r="M82" s="35">
        <f t="shared" si="48"/>
        <v>0</v>
      </c>
      <c r="N82" s="35">
        <f t="shared" si="49"/>
        <v>0</v>
      </c>
      <c r="O82" s="108">
        <f t="shared" ref="O82:O85" si="50">SUM(H82:M82)</f>
        <v>206062794.93783468</v>
      </c>
    </row>
    <row r="83" spans="1:15" x14ac:dyDescent="0.25">
      <c r="A83">
        <v>2019</v>
      </c>
      <c r="G83" s="35">
        <f t="shared" si="42"/>
        <v>-278760039.5050317</v>
      </c>
      <c r="H83" s="35">
        <f t="shared" si="43"/>
        <v>142274915.90755334</v>
      </c>
      <c r="I83" s="35">
        <f t="shared" si="44"/>
        <v>30391908.768775195</v>
      </c>
      <c r="J83" s="35">
        <f t="shared" si="45"/>
        <v>43681190.916066155</v>
      </c>
      <c r="K83" s="35">
        <f t="shared" si="46"/>
        <v>0</v>
      </c>
      <c r="L83" s="35">
        <f t="shared" si="47"/>
        <v>0</v>
      </c>
      <c r="M83" s="35">
        <f t="shared" si="48"/>
        <v>0</v>
      </c>
      <c r="N83" s="35">
        <f t="shared" si="49"/>
        <v>0</v>
      </c>
      <c r="O83" s="108">
        <f t="shared" si="50"/>
        <v>216348015.59239471</v>
      </c>
    </row>
    <row r="84" spans="1:15" x14ac:dyDescent="0.25">
      <c r="A84">
        <v>2020</v>
      </c>
      <c r="G84" s="35">
        <f t="shared" si="42"/>
        <v>-290975005.62258065</v>
      </c>
      <c r="H84" s="35">
        <f t="shared" si="43"/>
        <v>148838271.80122489</v>
      </c>
      <c r="I84" s="35">
        <f t="shared" si="44"/>
        <v>30948730.434891649</v>
      </c>
      <c r="J84" s="35">
        <f t="shared" si="45"/>
        <v>46001233.397613339</v>
      </c>
      <c r="K84" s="35">
        <f t="shared" si="46"/>
        <v>0</v>
      </c>
      <c r="L84" s="35">
        <f t="shared" si="47"/>
        <v>0</v>
      </c>
      <c r="M84" s="35">
        <f t="shared" si="48"/>
        <v>0</v>
      </c>
      <c r="N84" s="35">
        <f t="shared" si="49"/>
        <v>0</v>
      </c>
      <c r="O84" s="108">
        <f t="shared" si="50"/>
        <v>225788235.63372988</v>
      </c>
    </row>
    <row r="85" spans="1:15" x14ac:dyDescent="0.25">
      <c r="A85">
        <v>2021</v>
      </c>
      <c r="G85" s="35">
        <f t="shared" si="42"/>
        <v>-302460400.10543853</v>
      </c>
      <c r="H85" s="35">
        <f t="shared" si="43"/>
        <v>154620211.92964</v>
      </c>
      <c r="I85" s="35">
        <f t="shared" si="44"/>
        <v>31523655.868363533</v>
      </c>
      <c r="J85" s="35">
        <f t="shared" si="45"/>
        <v>48444500.47545246</v>
      </c>
      <c r="K85" s="35">
        <f t="shared" si="46"/>
        <v>0</v>
      </c>
      <c r="L85" s="35">
        <f t="shared" si="47"/>
        <v>0</v>
      </c>
      <c r="M85" s="35">
        <f t="shared" si="48"/>
        <v>0</v>
      </c>
      <c r="N85" s="35">
        <f t="shared" si="49"/>
        <v>0</v>
      </c>
      <c r="O85" s="108">
        <f t="shared" si="50"/>
        <v>234588368.27345598</v>
      </c>
    </row>
    <row r="86" spans="1:15" x14ac:dyDescent="0.25">
      <c r="G86" s="35"/>
      <c r="H86" s="35"/>
      <c r="I86" s="35"/>
      <c r="J86" s="35"/>
      <c r="K86" s="35"/>
      <c r="L86" s="35"/>
      <c r="M86" s="35"/>
      <c r="N86" s="35"/>
      <c r="O86" s="108"/>
    </row>
    <row r="87" spans="1:15" x14ac:dyDescent="0.25">
      <c r="A87" t="s">
        <v>45</v>
      </c>
      <c r="G87" s="35"/>
      <c r="H87" s="35"/>
      <c r="I87" s="35"/>
      <c r="J87" s="35"/>
      <c r="K87" s="35"/>
      <c r="L87" s="35"/>
      <c r="M87" s="35"/>
    </row>
    <row r="88" spans="1:15" x14ac:dyDescent="0.25">
      <c r="A88">
        <v>2016</v>
      </c>
      <c r="G88" s="35"/>
      <c r="H88" s="35">
        <f t="shared" ref="H88:N88" si="51">H80/$O$80*$G$80</f>
        <v>-5318031.0279905554</v>
      </c>
      <c r="I88" s="35">
        <f t="shared" si="51"/>
        <v>-1197277.4009542523</v>
      </c>
      <c r="J88" s="35">
        <f t="shared" si="51"/>
        <v>-1557458.1417650478</v>
      </c>
      <c r="K88" s="35">
        <f t="shared" si="51"/>
        <v>0</v>
      </c>
      <c r="L88" s="35">
        <f t="shared" si="51"/>
        <v>0</v>
      </c>
      <c r="M88" s="35">
        <f t="shared" si="51"/>
        <v>0</v>
      </c>
      <c r="N88" s="35">
        <f t="shared" si="51"/>
        <v>0</v>
      </c>
      <c r="O88" s="108">
        <f>SUM(H88:M88)</f>
        <v>-8072766.5707098553</v>
      </c>
    </row>
    <row r="89" spans="1:15" x14ac:dyDescent="0.25">
      <c r="A89">
        <v>2017</v>
      </c>
      <c r="H89" s="35">
        <f t="shared" ref="H89:N89" si="52">H81/$O$81*$G$81</f>
        <v>-167861157.90063617</v>
      </c>
      <c r="I89" s="35">
        <f t="shared" si="52"/>
        <v>-37712132.099369712</v>
      </c>
      <c r="J89" s="35">
        <f t="shared" si="52"/>
        <v>-50730914.453552</v>
      </c>
      <c r="K89" s="35">
        <f t="shared" si="52"/>
        <v>0</v>
      </c>
      <c r="L89" s="35">
        <f t="shared" si="52"/>
        <v>0</v>
      </c>
      <c r="M89" s="35">
        <f t="shared" si="52"/>
        <v>0</v>
      </c>
      <c r="N89" s="35">
        <f t="shared" si="52"/>
        <v>0</v>
      </c>
      <c r="O89" s="108">
        <f>SUM(H89:M89)</f>
        <v>-256304204.45355788</v>
      </c>
    </row>
    <row r="90" spans="1:15" x14ac:dyDescent="0.25">
      <c r="A90">
        <v>2018</v>
      </c>
      <c r="G90" s="168"/>
      <c r="H90" s="35">
        <f>H82/$O$82*$G$82</f>
        <v>-173671135.69798779</v>
      </c>
      <c r="I90" s="35">
        <f t="shared" ref="I90:N90" si="53">I82/$O$82*$G$82</f>
        <v>-38438484.133796006</v>
      </c>
      <c r="J90" s="35">
        <f t="shared" si="53"/>
        <v>-53455271.173529729</v>
      </c>
      <c r="K90" s="35">
        <f t="shared" si="53"/>
        <v>0</v>
      </c>
      <c r="L90" s="35">
        <f t="shared" si="53"/>
        <v>0</v>
      </c>
      <c r="M90" s="35">
        <f t="shared" si="53"/>
        <v>0</v>
      </c>
      <c r="N90" s="35">
        <f t="shared" si="53"/>
        <v>0</v>
      </c>
      <c r="O90" s="108">
        <f>SUM(H90:M90)</f>
        <v>-265564891.00531352</v>
      </c>
    </row>
    <row r="91" spans="1:15" x14ac:dyDescent="0.25">
      <c r="A91">
        <v>2019</v>
      </c>
      <c r="G91" s="168"/>
      <c r="H91" s="35">
        <f>H83/$O$83*$G$83</f>
        <v>-183318349.69859934</v>
      </c>
      <c r="I91" s="35">
        <f t="shared" ref="I91:N91" si="54">I83/$O$83*$G$83</f>
        <v>-39159359.358204864</v>
      </c>
      <c r="J91" s="35">
        <f t="shared" si="54"/>
        <v>-56282330.448227495</v>
      </c>
      <c r="K91" s="35">
        <f t="shared" si="54"/>
        <v>0</v>
      </c>
      <c r="L91" s="35">
        <f t="shared" si="54"/>
        <v>0</v>
      </c>
      <c r="M91" s="35">
        <f t="shared" si="54"/>
        <v>0</v>
      </c>
      <c r="N91" s="35">
        <f t="shared" si="54"/>
        <v>0</v>
      </c>
      <c r="O91" s="108">
        <f t="shared" ref="O91:O93" si="55">SUM(H91:M91)</f>
        <v>-278760039.5050317</v>
      </c>
    </row>
    <row r="92" spans="1:15" x14ac:dyDescent="0.25">
      <c r="A92">
        <v>2020</v>
      </c>
      <c r="G92" s="168"/>
      <c r="H92" s="35">
        <f>H84/$O$84*$G$84</f>
        <v>-191809005.69359383</v>
      </c>
      <c r="I92" s="35">
        <f t="shared" ref="I92:N92" si="56">I84/$O$84*$G$84</f>
        <v>-39883862.801924706</v>
      </c>
      <c r="J92" s="35">
        <f t="shared" si="56"/>
        <v>-59282137.127062112</v>
      </c>
      <c r="K92" s="35">
        <f t="shared" si="56"/>
        <v>0</v>
      </c>
      <c r="L92" s="35">
        <f t="shared" si="56"/>
        <v>0</v>
      </c>
      <c r="M92" s="35">
        <f t="shared" si="56"/>
        <v>0</v>
      </c>
      <c r="N92" s="35">
        <f t="shared" si="56"/>
        <v>0</v>
      </c>
      <c r="O92" s="108">
        <f t="shared" si="55"/>
        <v>-290975005.62258065</v>
      </c>
    </row>
    <row r="93" spans="1:15" x14ac:dyDescent="0.25">
      <c r="A93">
        <v>2021</v>
      </c>
      <c r="G93" s="168"/>
      <c r="H93" s="35">
        <f>H85/$O$85*$G$85</f>
        <v>-199355541.40566614</v>
      </c>
      <c r="I93" s="35">
        <f t="shared" ref="I93:N93" si="57">I85/$O$85*$G$85</f>
        <v>-40644204.300943807</v>
      </c>
      <c r="J93" s="35">
        <f t="shared" si="57"/>
        <v>-62460654.398828588</v>
      </c>
      <c r="K93" s="35">
        <f t="shared" si="57"/>
        <v>0</v>
      </c>
      <c r="L93" s="35">
        <f t="shared" si="57"/>
        <v>0</v>
      </c>
      <c r="M93" s="35">
        <f t="shared" si="57"/>
        <v>0</v>
      </c>
      <c r="N93" s="35">
        <f t="shared" si="57"/>
        <v>0</v>
      </c>
      <c r="O93" s="108">
        <f t="shared" si="55"/>
        <v>-302460400.10543853</v>
      </c>
    </row>
    <row r="94" spans="1:15" x14ac:dyDescent="0.25">
      <c r="G94" s="168"/>
      <c r="H94" s="35"/>
      <c r="I94" s="35"/>
      <c r="J94" s="35"/>
      <c r="K94" s="35"/>
      <c r="L94" s="35"/>
      <c r="M94" s="35"/>
      <c r="N94" s="35"/>
      <c r="O94" s="108"/>
    </row>
    <row r="95" spans="1:15" x14ac:dyDescent="0.25">
      <c r="G95" s="168"/>
      <c r="H95" s="35"/>
      <c r="I95" s="35"/>
      <c r="J95" s="35"/>
      <c r="K95" s="35"/>
      <c r="L95" s="35"/>
      <c r="M95" s="35"/>
      <c r="N95" s="35"/>
      <c r="O95" s="108"/>
    </row>
    <row r="96" spans="1:15" x14ac:dyDescent="0.25">
      <c r="F96" s="160" t="s">
        <v>138</v>
      </c>
      <c r="H96" s="113"/>
    </row>
    <row r="97" spans="4:20" x14ac:dyDescent="0.25">
      <c r="F97" s="1">
        <v>2016</v>
      </c>
      <c r="G97" s="113">
        <f>-(H108*0.5+H109*0.5)</f>
        <v>-2422801.66385331</v>
      </c>
      <c r="H97" s="113">
        <f>-(0.5*H120+0.5*H121)</f>
        <v>-242216.93312594556</v>
      </c>
      <c r="I97" s="113">
        <f>-(H130*0.5+H131*0.5)</f>
        <v>-628698.35765462788</v>
      </c>
      <c r="J97" s="113">
        <f>-(H140*0.5+(H142+H141)*0.5)</f>
        <v>-1090855.3730727364</v>
      </c>
      <c r="K97" s="113">
        <v>0</v>
      </c>
      <c r="L97" s="113">
        <f>-(H151*0.5+H152*0.5)</f>
        <v>-461031</v>
      </c>
      <c r="M97" s="113">
        <v>0</v>
      </c>
      <c r="N97" s="113">
        <v>0</v>
      </c>
      <c r="O97" s="113">
        <f>SUM(H97:N97)</f>
        <v>-2422801.66385331</v>
      </c>
      <c r="P97" s="6">
        <f>G97-O97</f>
        <v>0</v>
      </c>
      <c r="Q97" s="6"/>
      <c r="R97" s="6"/>
      <c r="S97" s="6"/>
      <c r="T97" s="6"/>
    </row>
    <row r="98" spans="4:20" x14ac:dyDescent="0.25">
      <c r="D98" s="1" t="s">
        <v>178</v>
      </c>
      <c r="F98" s="1">
        <v>2017</v>
      </c>
      <c r="G98" s="113">
        <f>-(I108*0.5+I109+I110*0.5)</f>
        <v>-4564610.2370293681</v>
      </c>
      <c r="H98" s="113">
        <f>-(I120*0.5+I121+I122*0.5)</f>
        <v>-480309.76252380759</v>
      </c>
      <c r="I98" s="113">
        <f>-(I130*0.5+I131+I132*0.5)</f>
        <v>-1423142.5270550041</v>
      </c>
      <c r="J98" s="113">
        <f>-(I140*0.5+I141+I142+I143*0.5)</f>
        <v>-2200126.9474505563</v>
      </c>
      <c r="K98" s="113">
        <v>0</v>
      </c>
      <c r="L98" s="113">
        <f>-(I151*0.5+I152+I153*0.5)</f>
        <v>-461031</v>
      </c>
      <c r="M98" s="113">
        <v>0</v>
      </c>
      <c r="N98" s="113">
        <v>0</v>
      </c>
      <c r="O98" s="113">
        <f t="shared" ref="O98:O102" si="58">SUM(H98:N98)</f>
        <v>-4564610.2370293681</v>
      </c>
      <c r="P98" s="168">
        <f t="shared" ref="P98:P102" si="59">G98-O98</f>
        <v>0</v>
      </c>
      <c r="Q98" s="6"/>
      <c r="R98" s="6"/>
      <c r="S98" s="6"/>
      <c r="T98" s="6"/>
    </row>
    <row r="99" spans="4:20" x14ac:dyDescent="0.25">
      <c r="D99" s="1" t="s">
        <v>179</v>
      </c>
      <c r="F99" s="1">
        <v>2018</v>
      </c>
      <c r="G99" s="113">
        <f>-(0.5*J108+J109+J110+0.5*J111)</f>
        <v>-6221625.986494856</v>
      </c>
      <c r="H99" s="113">
        <f>-(J120*0.5+J121+J122+0.5*J123)</f>
        <v>-836208.60177698429</v>
      </c>
      <c r="I99" s="113">
        <f>-(J130*0.5+J131+J132+J133*0.5)</f>
        <v>-2594147.7462460846</v>
      </c>
      <c r="J99" s="113">
        <f>-(J140*0.5+J141+J142+J143+J144*0.5)</f>
        <v>-2330238.6384717873</v>
      </c>
      <c r="K99" s="113">
        <v>0</v>
      </c>
      <c r="L99" s="176">
        <f>-J151*0.5</f>
        <v>-461031</v>
      </c>
      <c r="M99" s="113">
        <v>0</v>
      </c>
      <c r="N99" s="113">
        <v>0</v>
      </c>
      <c r="O99" s="113">
        <f t="shared" si="58"/>
        <v>-6221625.986494856</v>
      </c>
      <c r="P99" s="168">
        <f t="shared" si="59"/>
        <v>0</v>
      </c>
      <c r="Q99" s="168"/>
      <c r="R99" s="168"/>
      <c r="S99" s="168"/>
      <c r="T99" s="168"/>
    </row>
    <row r="100" spans="4:20" x14ac:dyDescent="0.25">
      <c r="F100" s="1">
        <v>2019</v>
      </c>
      <c r="G100" s="113">
        <f>-(0.5*K108+K109+K110+K111+0.5*K112)</f>
        <v>-8469232.2982384898</v>
      </c>
      <c r="H100" s="113">
        <f>-(K120*0.5+K121+K122+K123+K124*0.5)</f>
        <v>-1320963.6743131299</v>
      </c>
      <c r="I100" s="113">
        <f>-(K130*0.5+K131+K132+K133+K134*0.5)</f>
        <v>-4180713.8615328241</v>
      </c>
      <c r="J100" s="113">
        <f>-(K140*0.5+K141+K142+K143+K144+K145*0.5)</f>
        <v>-2506523.7623925363</v>
      </c>
      <c r="K100" s="113">
        <v>0</v>
      </c>
      <c r="L100" s="113">
        <f>-K151*0.5</f>
        <v>-461031</v>
      </c>
      <c r="M100" s="113">
        <v>0</v>
      </c>
      <c r="N100" s="113">
        <v>0</v>
      </c>
      <c r="O100" s="113">
        <f t="shared" si="58"/>
        <v>-8469232.2982384898</v>
      </c>
      <c r="P100" s="168">
        <f t="shared" si="59"/>
        <v>0</v>
      </c>
      <c r="Q100" s="168"/>
      <c r="R100" s="168"/>
      <c r="S100" s="168"/>
      <c r="T100" s="168"/>
    </row>
    <row r="101" spans="4:20" x14ac:dyDescent="0.25">
      <c r="F101" s="1">
        <v>2020</v>
      </c>
      <c r="G101" s="113">
        <f>-(L108*0.5+L109+L110+L111+L112+L113*0.5)</f>
        <v>-10893477.036639899</v>
      </c>
      <c r="H101" s="113">
        <f>-(L120*0.5+L121+L122+L123+L124+0.5*L125)</f>
        <v>-1873037.3831886156</v>
      </c>
      <c r="I101" s="113">
        <f>-(L130*0.5+L131+L132+L133+L134+L135*0.5)</f>
        <v>-5865667.7881061556</v>
      </c>
      <c r="J101" s="113">
        <f>-(L140*0.5+L141+L142+L143+L144+L145+L146*0.5)</f>
        <v>-2693740.8653451288</v>
      </c>
      <c r="K101" s="113">
        <v>0</v>
      </c>
      <c r="L101" s="113">
        <f>-L151*0.5</f>
        <v>-461031</v>
      </c>
      <c r="M101" s="113">
        <v>0</v>
      </c>
      <c r="N101" s="113">
        <v>0</v>
      </c>
      <c r="O101" s="113">
        <f t="shared" si="58"/>
        <v>-10893477.036639899</v>
      </c>
      <c r="P101" s="168">
        <f t="shared" si="59"/>
        <v>0</v>
      </c>
      <c r="Q101" s="168"/>
      <c r="R101" s="168"/>
      <c r="S101" s="168"/>
      <c r="T101" s="168"/>
    </row>
    <row r="102" spans="4:20" x14ac:dyDescent="0.25">
      <c r="F102" s="1">
        <v>2021</v>
      </c>
      <c r="G102" s="113">
        <f>-(0.5*M108+M109+M110+M111+M112+M113+M114*0.5)</f>
        <v>-13008124.303440414</v>
      </c>
      <c r="H102" s="113">
        <f>-(M120*0.5+M121+M122+M123+M124+M125+0.5*M126)</f>
        <v>-2437202.0142974132</v>
      </c>
      <c r="I102" s="113">
        <f>-(M130*0.5+M131+M132+M133+M134+M135+M136*0.5)</f>
        <v>-7261102.1602287032</v>
      </c>
      <c r="J102" s="113">
        <f>-(M140*0.5+M141+M142+M143+M144+M145+M146+M147*0.5)</f>
        <v>-2848789.1289143004</v>
      </c>
      <c r="K102" s="113">
        <v>0</v>
      </c>
      <c r="L102" s="113">
        <f>-M151*0.5</f>
        <v>-461031</v>
      </c>
      <c r="M102" s="113">
        <v>0</v>
      </c>
      <c r="N102" s="113">
        <v>0</v>
      </c>
      <c r="O102" s="113">
        <f t="shared" si="58"/>
        <v>-13008124.303440416</v>
      </c>
      <c r="P102" s="168">
        <f t="shared" si="59"/>
        <v>0</v>
      </c>
      <c r="Q102" s="168"/>
      <c r="R102" s="168"/>
      <c r="S102" s="168"/>
      <c r="T102" s="168"/>
    </row>
    <row r="103" spans="4:20" x14ac:dyDescent="0.25">
      <c r="G103" s="113"/>
      <c r="H103" s="113"/>
      <c r="I103" s="113"/>
      <c r="J103" s="113"/>
      <c r="K103" s="113"/>
      <c r="L103" s="113"/>
      <c r="M103" s="113"/>
      <c r="N103" s="113"/>
      <c r="O103" s="115"/>
      <c r="P103" s="168"/>
      <c r="Q103" s="168"/>
      <c r="R103" s="168"/>
      <c r="S103" s="168"/>
      <c r="T103" s="168"/>
    </row>
    <row r="104" spans="4:20" ht="12" customHeight="1" x14ac:dyDescent="0.25">
      <c r="P104" s="6"/>
      <c r="Q104" s="6"/>
      <c r="R104" s="6"/>
      <c r="S104" s="6"/>
      <c r="T104" s="6"/>
    </row>
    <row r="106" spans="4:20" x14ac:dyDescent="0.25">
      <c r="G106" s="420" t="s">
        <v>147</v>
      </c>
      <c r="H106" s="421"/>
      <c r="I106" s="421"/>
      <c r="J106" s="421"/>
      <c r="K106" s="421"/>
      <c r="L106" s="421"/>
    </row>
    <row r="107" spans="4:20" x14ac:dyDescent="0.25">
      <c r="G107" s="1">
        <v>2015</v>
      </c>
      <c r="H107" s="1">
        <v>2016</v>
      </c>
      <c r="I107" s="1">
        <v>2017</v>
      </c>
      <c r="J107" s="1">
        <v>2018</v>
      </c>
      <c r="K107" s="1">
        <v>2019</v>
      </c>
      <c r="L107" s="1">
        <v>2020</v>
      </c>
      <c r="M107" s="1">
        <v>2021</v>
      </c>
      <c r="N107" s="161" t="s">
        <v>157</v>
      </c>
      <c r="O107" s="167" t="s">
        <v>158</v>
      </c>
    </row>
    <row r="108" spans="4:20" x14ac:dyDescent="0.25">
      <c r="F108" s="1" t="s">
        <v>140</v>
      </c>
      <c r="G108" s="28">
        <f>'[9]CDM Plan Summary'!D19*1000</f>
        <v>1701888.8382273095</v>
      </c>
      <c r="H108" s="28">
        <f>G108</f>
        <v>1701888.8382273095</v>
      </c>
      <c r="I108" s="28">
        <f t="shared" ref="I108:L108" si="60">H108</f>
        <v>1701888.8382273095</v>
      </c>
      <c r="J108" s="28">
        <f t="shared" si="60"/>
        <v>1701888.8382273095</v>
      </c>
      <c r="K108" s="28">
        <f t="shared" si="60"/>
        <v>1701888.8382273095</v>
      </c>
      <c r="L108" s="28">
        <f t="shared" si="60"/>
        <v>1701888.8382273095</v>
      </c>
      <c r="M108" s="6">
        <f>L108</f>
        <v>1701888.8382273095</v>
      </c>
      <c r="N108" s="6"/>
    </row>
    <row r="109" spans="4:20" x14ac:dyDescent="0.25">
      <c r="F109" s="1" t="s">
        <v>141</v>
      </c>
      <c r="G109" s="28"/>
      <c r="H109" s="28">
        <f>'[9]CDM Plan Summary'!D20*1000</f>
        <v>3143714.4894793103</v>
      </c>
      <c r="I109" s="28">
        <f>H109</f>
        <v>3143714.4894793103</v>
      </c>
      <c r="J109" s="28">
        <f t="shared" ref="J109:M113" si="61">I109</f>
        <v>3143714.4894793103</v>
      </c>
      <c r="K109" s="28">
        <f t="shared" si="61"/>
        <v>3143714.4894793103</v>
      </c>
      <c r="L109" s="28">
        <f t="shared" si="61"/>
        <v>3143714.4894793103</v>
      </c>
      <c r="M109" s="168">
        <f t="shared" si="61"/>
        <v>3143714.4894793103</v>
      </c>
      <c r="N109" s="6"/>
    </row>
    <row r="110" spans="4:20" x14ac:dyDescent="0.25">
      <c r="F110" s="1" t="s">
        <v>142</v>
      </c>
      <c r="G110" s="28"/>
      <c r="H110" s="28"/>
      <c r="I110" s="28">
        <f>'[9]CDM Plan Summary'!D21*1000</f>
        <v>1139902.6568728054</v>
      </c>
      <c r="J110" s="28">
        <f>I110</f>
        <v>1139902.6568728054</v>
      </c>
      <c r="K110" s="28">
        <f t="shared" ref="K110:L110" si="62">J110</f>
        <v>1139902.6568728054</v>
      </c>
      <c r="L110" s="28">
        <f t="shared" si="62"/>
        <v>1139902.6568728054</v>
      </c>
      <c r="M110" s="168">
        <f t="shared" si="61"/>
        <v>1139902.6568728054</v>
      </c>
      <c r="N110" s="6"/>
    </row>
    <row r="111" spans="4:20" x14ac:dyDescent="0.25">
      <c r="F111" s="1" t="s">
        <v>143</v>
      </c>
      <c r="G111" s="28"/>
      <c r="H111" s="28"/>
      <c r="I111" s="28"/>
      <c r="J111" s="28">
        <f>'[9]CDM Plan Summary'!D22*1000</f>
        <v>2174128.8420581706</v>
      </c>
      <c r="K111" s="28">
        <f>J111</f>
        <v>2174128.8420581706</v>
      </c>
      <c r="L111" s="28">
        <f>K111</f>
        <v>2174128.8420581706</v>
      </c>
      <c r="M111" s="168">
        <f t="shared" si="61"/>
        <v>2174128.8420581706</v>
      </c>
      <c r="N111" s="6"/>
    </row>
    <row r="112" spans="4:20" x14ac:dyDescent="0.25">
      <c r="F112" s="1" t="s">
        <v>144</v>
      </c>
      <c r="G112" s="28"/>
      <c r="H112" s="28"/>
      <c r="I112" s="28"/>
      <c r="J112" s="28"/>
      <c r="K112" s="28">
        <f>'[9]CDM Plan Summary'!D23*1000</f>
        <v>2321083.7814290971</v>
      </c>
      <c r="L112" s="28">
        <f>K112</f>
        <v>2321083.7814290971</v>
      </c>
      <c r="M112" s="168">
        <f t="shared" si="61"/>
        <v>2321083.7814290971</v>
      </c>
      <c r="N112" s="6"/>
    </row>
    <row r="113" spans="6:15" x14ac:dyDescent="0.25">
      <c r="F113" s="1" t="s">
        <v>146</v>
      </c>
      <c r="G113" s="28"/>
      <c r="H113" s="28"/>
      <c r="I113" s="28"/>
      <c r="J113" s="28"/>
      <c r="K113" s="28"/>
      <c r="L113" s="28">
        <f>'[9]CDM Plan Summary'!D24*1000</f>
        <v>2527405.6953737224</v>
      </c>
      <c r="M113" s="168">
        <f t="shared" si="61"/>
        <v>2527405.6953737224</v>
      </c>
      <c r="N113" s="6"/>
    </row>
    <row r="114" spans="6:15" x14ac:dyDescent="0.25">
      <c r="F114" s="1" t="s">
        <v>160</v>
      </c>
      <c r="G114" s="28"/>
      <c r="H114" s="28"/>
      <c r="I114" s="28"/>
      <c r="J114" s="28"/>
      <c r="K114" s="28"/>
      <c r="L114" s="28"/>
      <c r="M114" s="6">
        <f>G108</f>
        <v>1701888.8382273095</v>
      </c>
      <c r="N114" s="168"/>
    </row>
    <row r="115" spans="6:15" x14ac:dyDescent="0.25">
      <c r="F115" s="1" t="s">
        <v>145</v>
      </c>
      <c r="G115" s="6">
        <f>G108</f>
        <v>1701888.8382273095</v>
      </c>
      <c r="H115" s="6">
        <f>H109</f>
        <v>3143714.4894793103</v>
      </c>
      <c r="I115" s="6">
        <f>I110</f>
        <v>1139902.6568728054</v>
      </c>
      <c r="J115" s="6">
        <f>J111</f>
        <v>2174128.8420581706</v>
      </c>
      <c r="K115" s="161">
        <f>K112</f>
        <v>2321083.7814290971</v>
      </c>
      <c r="L115" s="6">
        <f>L113</f>
        <v>2527405.6953737224</v>
      </c>
      <c r="M115" s="6">
        <f>M114</f>
        <v>1701888.8382273095</v>
      </c>
      <c r="N115" s="6">
        <f>SUM(G115:L115)</f>
        <v>13008124.303440414</v>
      </c>
      <c r="O115" s="173">
        <f>M115+N115</f>
        <v>14710013.141667724</v>
      </c>
    </row>
    <row r="116" spans="6:15" x14ac:dyDescent="0.25">
      <c r="G116" s="168"/>
      <c r="H116" s="168"/>
      <c r="I116" s="168"/>
      <c r="J116" s="168"/>
      <c r="K116" s="167"/>
      <c r="L116" s="168"/>
      <c r="M116" s="168"/>
      <c r="N116" s="168"/>
      <c r="O116" s="173"/>
    </row>
    <row r="117" spans="6:15" x14ac:dyDescent="0.25">
      <c r="F117" s="160" t="s">
        <v>159</v>
      </c>
      <c r="G117" s="174">
        <v>0.29677625102910027</v>
      </c>
      <c r="H117" s="174">
        <v>0.22964187470247915</v>
      </c>
      <c r="I117" s="174">
        <v>0.19579380458424031</v>
      </c>
      <c r="J117" s="174">
        <v>0.2247391189562582</v>
      </c>
      <c r="K117" s="175">
        <v>0.20718698241674743</v>
      </c>
      <c r="L117" s="174">
        <v>0.24659637124385958</v>
      </c>
      <c r="M117" s="174">
        <f>G117</f>
        <v>0.29677625102910027</v>
      </c>
      <c r="N117" s="168"/>
      <c r="O117" s="173"/>
    </row>
    <row r="119" spans="6:15" x14ac:dyDescent="0.25">
      <c r="F119"/>
      <c r="G119" s="420" t="s">
        <v>148</v>
      </c>
      <c r="H119" s="421"/>
      <c r="I119" s="421"/>
      <c r="J119" s="421"/>
      <c r="K119" s="421"/>
      <c r="L119" s="421"/>
    </row>
    <row r="120" spans="6:15" x14ac:dyDescent="0.25">
      <c r="F120" s="1" t="s">
        <v>140</v>
      </c>
      <c r="G120" s="6">
        <f>(G108-G151)*G117</f>
        <v>231434.08550097758</v>
      </c>
      <c r="H120" s="6">
        <f>G120</f>
        <v>231434.08550097758</v>
      </c>
      <c r="I120" s="6">
        <f t="shared" ref="I120:M120" si="63">H120</f>
        <v>231434.08550097758</v>
      </c>
      <c r="J120" s="6">
        <f t="shared" si="63"/>
        <v>231434.08550097758</v>
      </c>
      <c r="K120" s="6">
        <f t="shared" si="63"/>
        <v>231434.08550097758</v>
      </c>
      <c r="L120" s="6">
        <f t="shared" si="63"/>
        <v>231434.08550097758</v>
      </c>
      <c r="M120" s="168">
        <f t="shared" si="63"/>
        <v>231434.08550097758</v>
      </c>
    </row>
    <row r="121" spans="6:15" x14ac:dyDescent="0.25">
      <c r="F121" s="1" t="s">
        <v>141</v>
      </c>
      <c r="H121" s="6">
        <f>(H109-H142) * H117</f>
        <v>252999.78075091357</v>
      </c>
      <c r="I121" s="6">
        <f>H121</f>
        <v>252999.78075091357</v>
      </c>
      <c r="J121" s="6">
        <f t="shared" ref="J121:M121" si="64">I121</f>
        <v>252999.78075091357</v>
      </c>
      <c r="K121" s="6">
        <f t="shared" si="64"/>
        <v>252999.78075091357</v>
      </c>
      <c r="L121" s="6">
        <f t="shared" si="64"/>
        <v>252999.78075091357</v>
      </c>
      <c r="M121" s="168">
        <f t="shared" si="64"/>
        <v>252999.78075091357</v>
      </c>
    </row>
    <row r="122" spans="6:15" x14ac:dyDescent="0.25">
      <c r="F122" s="1" t="s">
        <v>142</v>
      </c>
      <c r="I122" s="6">
        <f>I110*I117</f>
        <v>223185.87804481041</v>
      </c>
      <c r="J122" s="6">
        <f>I122</f>
        <v>223185.87804481041</v>
      </c>
      <c r="K122" s="6">
        <f t="shared" ref="K122:M122" si="65">J122</f>
        <v>223185.87804481041</v>
      </c>
      <c r="L122" s="6">
        <f t="shared" si="65"/>
        <v>223185.87804481041</v>
      </c>
      <c r="M122" s="168">
        <f t="shared" si="65"/>
        <v>223185.87804481041</v>
      </c>
    </row>
    <row r="123" spans="6:15" x14ac:dyDescent="0.25">
      <c r="F123" s="1" t="s">
        <v>143</v>
      </c>
      <c r="J123" s="6">
        <f>J111*J117</f>
        <v>488611.80046154308</v>
      </c>
      <c r="K123" s="6">
        <f>J123</f>
        <v>488611.80046154308</v>
      </c>
      <c r="L123" s="6">
        <f>K123</f>
        <v>488611.80046154308</v>
      </c>
      <c r="M123" s="168">
        <f>L123</f>
        <v>488611.80046154308</v>
      </c>
    </row>
    <row r="124" spans="6:15" x14ac:dyDescent="0.25">
      <c r="F124" s="1" t="s">
        <v>144</v>
      </c>
      <c r="K124" s="6">
        <f>K112*K117</f>
        <v>480898.344610748</v>
      </c>
      <c r="L124" s="6">
        <f>K124</f>
        <v>480898.344610748</v>
      </c>
      <c r="M124" s="168">
        <f>L124</f>
        <v>480898.344610748</v>
      </c>
    </row>
    <row r="125" spans="6:15" x14ac:dyDescent="0.25">
      <c r="F125" s="1" t="s">
        <v>146</v>
      </c>
      <c r="L125" s="6">
        <f>L113*L117</f>
        <v>623249.07314022351</v>
      </c>
      <c r="M125" s="168">
        <f>L125</f>
        <v>623249.07314022351</v>
      </c>
    </row>
    <row r="126" spans="6:15" x14ac:dyDescent="0.25">
      <c r="F126" s="1" t="s">
        <v>160</v>
      </c>
      <c r="G126" s="168"/>
      <c r="H126" s="168"/>
      <c r="I126" s="168"/>
      <c r="J126" s="168"/>
      <c r="K126" s="168"/>
      <c r="L126" s="168"/>
      <c r="M126" s="168">
        <f>M114*M117</f>
        <v>505080.18907737185</v>
      </c>
    </row>
    <row r="127" spans="6:15" x14ac:dyDescent="0.25">
      <c r="F127" s="1" t="s">
        <v>145</v>
      </c>
      <c r="G127" s="6">
        <f>G120</f>
        <v>231434.08550097758</v>
      </c>
      <c r="H127" s="6">
        <f>H121</f>
        <v>252999.78075091357</v>
      </c>
      <c r="I127" s="6">
        <f>I122</f>
        <v>223185.87804481041</v>
      </c>
      <c r="J127" s="6">
        <f>J123</f>
        <v>488611.80046154308</v>
      </c>
      <c r="K127" s="161">
        <f>K124</f>
        <v>480898.344610748</v>
      </c>
      <c r="L127" s="6">
        <f>L125</f>
        <v>623249.07314022351</v>
      </c>
      <c r="M127" s="6">
        <f>M126</f>
        <v>505080.18907737185</v>
      </c>
      <c r="N127" s="168">
        <f>SUM(G127:L127)</f>
        <v>2300378.9625092163</v>
      </c>
      <c r="O127" s="173">
        <f>M127+N127</f>
        <v>2805459.151586588</v>
      </c>
    </row>
    <row r="129" spans="6:15" x14ac:dyDescent="0.25">
      <c r="G129" s="420" t="s">
        <v>149</v>
      </c>
      <c r="H129" s="421"/>
      <c r="I129" s="421"/>
      <c r="J129" s="421"/>
      <c r="K129" s="421"/>
      <c r="L129" s="421"/>
    </row>
    <row r="130" spans="6:15" x14ac:dyDescent="0.25">
      <c r="F130" s="1" t="s">
        <v>140</v>
      </c>
      <c r="G130" s="6">
        <f>($G$108-$G$120-$G$151) * 90%</f>
        <v>493553.47745369864</v>
      </c>
      <c r="H130" s="6">
        <f>G130</f>
        <v>493553.47745369864</v>
      </c>
      <c r="I130" s="6">
        <f t="shared" ref="I130:L130" si="66">H130</f>
        <v>493553.47745369864</v>
      </c>
      <c r="J130" s="6">
        <f t="shared" si="66"/>
        <v>493553.47745369864</v>
      </c>
      <c r="K130" s="6">
        <f t="shared" si="66"/>
        <v>493553.47745369864</v>
      </c>
      <c r="L130" s="6">
        <f t="shared" si="66"/>
        <v>493553.47745369864</v>
      </c>
      <c r="M130" s="6">
        <f>L130</f>
        <v>493553.47745369864</v>
      </c>
    </row>
    <row r="131" spans="6:15" x14ac:dyDescent="0.25">
      <c r="F131" s="1" t="s">
        <v>141</v>
      </c>
      <c r="H131" s="6">
        <f>($H$109-$H$121-$H$142) * 90%</f>
        <v>763843.23785555712</v>
      </c>
      <c r="I131" s="6">
        <f>H131</f>
        <v>763843.23785555712</v>
      </c>
      <c r="J131" s="6">
        <f t="shared" ref="J131:M135" si="67">I131</f>
        <v>763843.23785555712</v>
      </c>
      <c r="K131" s="6">
        <f t="shared" si="67"/>
        <v>763843.23785555712</v>
      </c>
      <c r="L131" s="6">
        <f t="shared" si="67"/>
        <v>763843.23785555712</v>
      </c>
      <c r="M131" s="168">
        <f t="shared" si="67"/>
        <v>763843.23785555712</v>
      </c>
    </row>
    <row r="132" spans="6:15" x14ac:dyDescent="0.25">
      <c r="F132" s="1" t="s">
        <v>142</v>
      </c>
      <c r="I132" s="6">
        <f>(I110-I122)*90%</f>
        <v>825045.10094519553</v>
      </c>
      <c r="J132" s="6">
        <f>I132</f>
        <v>825045.10094519553</v>
      </c>
      <c r="K132" s="6">
        <f t="shared" ref="K132:L132" si="68">J132</f>
        <v>825045.10094519553</v>
      </c>
      <c r="L132" s="6">
        <f t="shared" si="68"/>
        <v>825045.10094519553</v>
      </c>
      <c r="M132" s="168">
        <f t="shared" si="67"/>
        <v>825045.10094519553</v>
      </c>
    </row>
    <row r="133" spans="6:15" x14ac:dyDescent="0.25">
      <c r="F133" s="1" t="s">
        <v>143</v>
      </c>
      <c r="J133" s="168">
        <f>(J111-J123)*90%</f>
        <v>1516965.3374369647</v>
      </c>
      <c r="K133" s="6">
        <f>J133</f>
        <v>1516965.3374369647</v>
      </c>
      <c r="L133" s="6">
        <f>K133</f>
        <v>1516965.3374369647</v>
      </c>
      <c r="M133" s="168">
        <f t="shared" si="67"/>
        <v>1516965.3374369647</v>
      </c>
    </row>
    <row r="134" spans="6:15" x14ac:dyDescent="0.25">
      <c r="F134" s="1" t="s">
        <v>144</v>
      </c>
      <c r="K134" s="168">
        <f>(K112-K124)*90%</f>
        <v>1656166.8931365144</v>
      </c>
      <c r="L134" s="6">
        <f>K134</f>
        <v>1656166.8931365144</v>
      </c>
      <c r="M134" s="168">
        <f t="shared" si="67"/>
        <v>1656166.8931365144</v>
      </c>
    </row>
    <row r="135" spans="6:15" x14ac:dyDescent="0.25">
      <c r="F135" s="1" t="s">
        <v>146</v>
      </c>
      <c r="L135" s="168">
        <f>(L113-L125)*90%</f>
        <v>1713740.9600101491</v>
      </c>
      <c r="M135" s="168">
        <f t="shared" si="67"/>
        <v>1713740.9600101491</v>
      </c>
    </row>
    <row r="136" spans="6:15" x14ac:dyDescent="0.25">
      <c r="F136" s="1" t="s">
        <v>160</v>
      </c>
      <c r="G136" s="168"/>
      <c r="H136" s="168"/>
      <c r="I136" s="168"/>
      <c r="J136" s="168"/>
      <c r="K136" s="168"/>
      <c r="L136" s="168"/>
      <c r="M136" s="168">
        <f>(M114-M126)*90%</f>
        <v>1077127.7842349438</v>
      </c>
    </row>
    <row r="137" spans="6:15" x14ac:dyDescent="0.25">
      <c r="F137" s="1" t="s">
        <v>145</v>
      </c>
      <c r="G137" s="6">
        <f>G130</f>
        <v>493553.47745369864</v>
      </c>
      <c r="H137" s="6">
        <f>H131</f>
        <v>763843.23785555712</v>
      </c>
      <c r="I137" s="6">
        <f>I132</f>
        <v>825045.10094519553</v>
      </c>
      <c r="J137" s="6">
        <f>J133</f>
        <v>1516965.3374369647</v>
      </c>
      <c r="K137" s="161">
        <f>K134</f>
        <v>1656166.8931365144</v>
      </c>
      <c r="L137" s="6">
        <f>L135</f>
        <v>1713740.9600101491</v>
      </c>
      <c r="M137" s="6">
        <f>M136</f>
        <v>1077127.7842349438</v>
      </c>
      <c r="N137" s="168">
        <f>SUM(G137:L137)</f>
        <v>6969315.0068380795</v>
      </c>
      <c r="O137" s="173">
        <f>M137+N137</f>
        <v>8046442.7910730233</v>
      </c>
    </row>
    <row r="139" spans="6:15" x14ac:dyDescent="0.25">
      <c r="G139" s="420" t="s">
        <v>150</v>
      </c>
      <c r="H139" s="421"/>
      <c r="I139" s="421"/>
      <c r="J139" s="421"/>
      <c r="K139" s="421"/>
      <c r="L139" s="421"/>
    </row>
    <row r="140" spans="6:15" x14ac:dyDescent="0.25">
      <c r="F140" s="1" t="s">
        <v>140</v>
      </c>
      <c r="G140" s="168">
        <f>($G$108-$G$120-$G$151) * 10%</f>
        <v>54839.275272633182</v>
      </c>
      <c r="H140" s="6">
        <f>G140</f>
        <v>54839.275272633182</v>
      </c>
      <c r="I140" s="6">
        <f t="shared" ref="I140:M146" si="69">H140</f>
        <v>54839.275272633182</v>
      </c>
      <c r="J140" s="6">
        <f t="shared" si="69"/>
        <v>54839.275272633182</v>
      </c>
      <c r="K140" s="6">
        <f t="shared" si="69"/>
        <v>54839.275272633182</v>
      </c>
      <c r="L140" s="6">
        <f t="shared" si="69"/>
        <v>54839.275272633182</v>
      </c>
      <c r="M140" s="168">
        <f>L140</f>
        <v>54839.275272633182</v>
      </c>
    </row>
    <row r="141" spans="6:15" x14ac:dyDescent="0.25">
      <c r="F141" s="160" t="s">
        <v>141</v>
      </c>
      <c r="G141" s="168"/>
      <c r="H141" s="168">
        <f>($H$109-$H$121-$H$142) * 10%</f>
        <v>84871.47087283968</v>
      </c>
      <c r="I141" s="168">
        <f>H141</f>
        <v>84871.47087283968</v>
      </c>
      <c r="J141" s="168">
        <f t="shared" si="69"/>
        <v>84871.47087283968</v>
      </c>
      <c r="K141" s="168">
        <f t="shared" si="69"/>
        <v>84871.47087283968</v>
      </c>
      <c r="L141" s="168">
        <f t="shared" si="69"/>
        <v>84871.47087283968</v>
      </c>
      <c r="M141" s="168">
        <f t="shared" si="69"/>
        <v>84871.47087283968</v>
      </c>
    </row>
    <row r="142" spans="6:15" x14ac:dyDescent="0.25">
      <c r="F142" s="160" t="s">
        <v>161</v>
      </c>
      <c r="H142" s="28">
        <v>2042000</v>
      </c>
      <c r="I142" s="6">
        <f>H142</f>
        <v>2042000</v>
      </c>
      <c r="J142" s="6">
        <f t="shared" ref="J142:L142" si="70">I142</f>
        <v>2042000</v>
      </c>
      <c r="K142" s="6">
        <f t="shared" si="70"/>
        <v>2042000</v>
      </c>
      <c r="L142" s="6">
        <f t="shared" si="70"/>
        <v>2042000</v>
      </c>
      <c r="M142" s="168">
        <f t="shared" si="69"/>
        <v>2042000</v>
      </c>
    </row>
    <row r="143" spans="6:15" x14ac:dyDescent="0.25">
      <c r="F143" s="1" t="s">
        <v>142</v>
      </c>
      <c r="I143" s="6">
        <f>I110-I122-I132</f>
        <v>91671.677882799529</v>
      </c>
      <c r="J143" s="6">
        <f>I143</f>
        <v>91671.677882799529</v>
      </c>
      <c r="K143" s="6">
        <f t="shared" ref="K143:L143" si="71">J143</f>
        <v>91671.677882799529</v>
      </c>
      <c r="L143" s="6">
        <f t="shared" si="71"/>
        <v>91671.677882799529</v>
      </c>
      <c r="M143" s="168">
        <f t="shared" si="69"/>
        <v>91671.677882799529</v>
      </c>
    </row>
    <row r="144" spans="6:15" x14ac:dyDescent="0.25">
      <c r="F144" s="1" t="s">
        <v>143</v>
      </c>
      <c r="J144" s="168">
        <f>J111-J123-J133</f>
        <v>168551.70415966283</v>
      </c>
      <c r="K144" s="6">
        <f>J144</f>
        <v>168551.70415966283</v>
      </c>
      <c r="L144" s="6">
        <f>K144</f>
        <v>168551.70415966283</v>
      </c>
      <c r="M144" s="168">
        <f t="shared" si="69"/>
        <v>168551.70415966283</v>
      </c>
    </row>
    <row r="145" spans="6:16" x14ac:dyDescent="0.25">
      <c r="F145" s="1" t="s">
        <v>144</v>
      </c>
      <c r="K145" s="168">
        <f>K112-K124-K134</f>
        <v>184018.54368183482</v>
      </c>
      <c r="L145" s="6">
        <f>K145</f>
        <v>184018.54368183482</v>
      </c>
      <c r="M145" s="168">
        <f t="shared" si="69"/>
        <v>184018.54368183482</v>
      </c>
    </row>
    <row r="146" spans="6:16" x14ac:dyDescent="0.25">
      <c r="F146" s="1" t="s">
        <v>146</v>
      </c>
      <c r="L146" s="168">
        <f>L113-L125-L135</f>
        <v>190415.66222334979</v>
      </c>
      <c r="M146" s="168">
        <f t="shared" si="69"/>
        <v>190415.66222334979</v>
      </c>
    </row>
    <row r="147" spans="6:16" x14ac:dyDescent="0.25">
      <c r="F147" s="1" t="s">
        <v>160</v>
      </c>
      <c r="G147" s="168"/>
      <c r="H147" s="168"/>
      <c r="I147" s="168"/>
      <c r="J147" s="168"/>
      <c r="K147" s="168"/>
      <c r="L147" s="168"/>
      <c r="M147" s="168">
        <f>M114-M126-M136</f>
        <v>119680.86491499376</v>
      </c>
    </row>
    <row r="148" spans="6:16" x14ac:dyDescent="0.25">
      <c r="F148" s="1" t="s">
        <v>145</v>
      </c>
      <c r="G148" s="6">
        <f>G140</f>
        <v>54839.275272633182</v>
      </c>
      <c r="H148" s="6">
        <f>H142+H141</f>
        <v>2126871.4708728399</v>
      </c>
      <c r="I148" s="6">
        <f>I143</f>
        <v>91671.677882799529</v>
      </c>
      <c r="J148" s="6">
        <f>J144</f>
        <v>168551.70415966283</v>
      </c>
      <c r="K148" s="161">
        <f>K145</f>
        <v>184018.54368183482</v>
      </c>
      <c r="L148" s="6">
        <f>L146</f>
        <v>190415.66222334979</v>
      </c>
      <c r="M148" s="6">
        <f>M147</f>
        <v>119680.86491499376</v>
      </c>
      <c r="N148" s="168">
        <f>SUM(G148:L148)</f>
        <v>2816368.3340931195</v>
      </c>
      <c r="O148" s="173">
        <f>M148+N148</f>
        <v>2936049.1990081132</v>
      </c>
    </row>
    <row r="150" spans="6:16" x14ac:dyDescent="0.25">
      <c r="G150" s="420" t="s">
        <v>151</v>
      </c>
      <c r="H150" s="421"/>
      <c r="I150" s="421"/>
      <c r="J150" s="421"/>
      <c r="K150" s="421"/>
      <c r="L150" s="421"/>
    </row>
    <row r="151" spans="6:16" x14ac:dyDescent="0.25">
      <c r="F151" s="1" t="s">
        <v>140</v>
      </c>
      <c r="G151" s="28">
        <v>922062</v>
      </c>
      <c r="H151" s="6">
        <f>G151</f>
        <v>922062</v>
      </c>
      <c r="I151" s="6">
        <f t="shared" ref="I151:L151" si="72">H151</f>
        <v>922062</v>
      </c>
      <c r="J151" s="6">
        <f t="shared" si="72"/>
        <v>922062</v>
      </c>
      <c r="K151" s="6">
        <f t="shared" si="72"/>
        <v>922062</v>
      </c>
      <c r="L151" s="6">
        <f t="shared" si="72"/>
        <v>922062</v>
      </c>
      <c r="M151" s="6">
        <f>L151</f>
        <v>922062</v>
      </c>
    </row>
    <row r="152" spans="6:16" x14ac:dyDescent="0.25">
      <c r="F152" s="1" t="s">
        <v>141</v>
      </c>
      <c r="H152" s="6">
        <v>0</v>
      </c>
      <c r="I152" s="6">
        <f>H152</f>
        <v>0</v>
      </c>
      <c r="J152" s="6">
        <f t="shared" ref="J152:M157" si="73">I152</f>
        <v>0</v>
      </c>
      <c r="K152" s="6">
        <f t="shared" si="73"/>
        <v>0</v>
      </c>
      <c r="L152" s="6">
        <f t="shared" si="73"/>
        <v>0</v>
      </c>
      <c r="M152" s="168">
        <f t="shared" si="73"/>
        <v>0</v>
      </c>
    </row>
    <row r="153" spans="6:16" x14ac:dyDescent="0.25">
      <c r="F153" s="1" t="s">
        <v>142</v>
      </c>
      <c r="I153" s="168">
        <f>H153</f>
        <v>0</v>
      </c>
      <c r="J153" s="6">
        <f>I153</f>
        <v>0</v>
      </c>
      <c r="K153" s="6">
        <f t="shared" ref="K153:L153" si="74">J153</f>
        <v>0</v>
      </c>
      <c r="L153" s="6">
        <f t="shared" si="74"/>
        <v>0</v>
      </c>
      <c r="M153" s="168">
        <f t="shared" si="73"/>
        <v>0</v>
      </c>
    </row>
    <row r="154" spans="6:16" x14ac:dyDescent="0.25">
      <c r="F154" s="1" t="s">
        <v>143</v>
      </c>
      <c r="J154" s="168">
        <f>I154</f>
        <v>0</v>
      </c>
      <c r="K154" s="6">
        <f>J154</f>
        <v>0</v>
      </c>
      <c r="L154" s="6">
        <f>K154</f>
        <v>0</v>
      </c>
      <c r="M154" s="168">
        <f t="shared" si="73"/>
        <v>0</v>
      </c>
    </row>
    <row r="155" spans="6:16" x14ac:dyDescent="0.25">
      <c r="F155" s="1" t="s">
        <v>144</v>
      </c>
      <c r="K155" s="168">
        <f>J155</f>
        <v>0</v>
      </c>
      <c r="L155" s="6">
        <f>K155</f>
        <v>0</v>
      </c>
      <c r="M155" s="168">
        <f t="shared" si="73"/>
        <v>0</v>
      </c>
    </row>
    <row r="156" spans="6:16" x14ac:dyDescent="0.25">
      <c r="F156" s="1" t="s">
        <v>146</v>
      </c>
      <c r="L156" s="168">
        <f>K156</f>
        <v>0</v>
      </c>
      <c r="M156" s="168">
        <f t="shared" si="73"/>
        <v>0</v>
      </c>
    </row>
    <row r="157" spans="6:16" x14ac:dyDescent="0.25">
      <c r="F157" s="1" t="s">
        <v>160</v>
      </c>
      <c r="G157" s="168"/>
      <c r="H157" s="168"/>
      <c r="I157" s="168"/>
      <c r="J157" s="168"/>
      <c r="K157" s="168"/>
      <c r="L157" s="168"/>
      <c r="M157" s="168">
        <f t="shared" si="73"/>
        <v>0</v>
      </c>
    </row>
    <row r="158" spans="6:16" x14ac:dyDescent="0.25">
      <c r="F158" s="1" t="s">
        <v>145</v>
      </c>
      <c r="G158" s="6">
        <f>G151</f>
        <v>922062</v>
      </c>
      <c r="H158" s="6">
        <f>H152</f>
        <v>0</v>
      </c>
      <c r="I158" s="6">
        <f>I153</f>
        <v>0</v>
      </c>
      <c r="J158" s="6">
        <f>J154</f>
        <v>0</v>
      </c>
      <c r="K158" s="161">
        <f>K155</f>
        <v>0</v>
      </c>
      <c r="L158" s="6">
        <f>L156</f>
        <v>0</v>
      </c>
      <c r="M158" s="168">
        <f>M156</f>
        <v>0</v>
      </c>
      <c r="N158" s="168">
        <f>SUM(G158:L158)</f>
        <v>922062</v>
      </c>
      <c r="O158" s="173">
        <f>M158+N158</f>
        <v>922062</v>
      </c>
    </row>
    <row r="159" spans="6:16" x14ac:dyDescent="0.25">
      <c r="N159" s="167">
        <f>SUM(N127:N158)</f>
        <v>13008124.303440416</v>
      </c>
      <c r="O159" s="167">
        <f>SUM(O127:O158)</f>
        <v>14710013.141667724</v>
      </c>
      <c r="P159" s="173">
        <f>O159-N159</f>
        <v>1701888.8382273074</v>
      </c>
    </row>
    <row r="162" spans="6:13" x14ac:dyDescent="0.25">
      <c r="F162" s="1" t="s">
        <v>140</v>
      </c>
      <c r="G162" s="28">
        <f>G151+G140+G130+G120</f>
        <v>1701888.8382273093</v>
      </c>
      <c r="H162" s="28">
        <f t="shared" ref="H162:M162" si="75">H151+H140+H130+H120</f>
        <v>1701888.8382273093</v>
      </c>
      <c r="I162" s="28">
        <f t="shared" si="75"/>
        <v>1701888.8382273093</v>
      </c>
      <c r="J162" s="28">
        <f t="shared" si="75"/>
        <v>1701888.8382273093</v>
      </c>
      <c r="K162" s="28">
        <f t="shared" si="75"/>
        <v>1701888.8382273093</v>
      </c>
      <c r="L162" s="28">
        <f t="shared" si="75"/>
        <v>1701888.8382273093</v>
      </c>
      <c r="M162" s="28">
        <f t="shared" si="75"/>
        <v>1701888.8382273093</v>
      </c>
    </row>
    <row r="163" spans="6:13" x14ac:dyDescent="0.25">
      <c r="F163" s="1" t="s">
        <v>141</v>
      </c>
      <c r="G163" s="28"/>
      <c r="H163" s="28">
        <f>H152+H141+H131+H121+H142</f>
        <v>3143714.4894793103</v>
      </c>
      <c r="I163" s="28">
        <f t="shared" ref="I163:M163" si="76">I152+I141+I131+I121+I142</f>
        <v>3143714.4894793103</v>
      </c>
      <c r="J163" s="28">
        <f t="shared" si="76"/>
        <v>3143714.4894793103</v>
      </c>
      <c r="K163" s="28">
        <f t="shared" si="76"/>
        <v>3143714.4894793103</v>
      </c>
      <c r="L163" s="28">
        <f t="shared" si="76"/>
        <v>3143714.4894793103</v>
      </c>
      <c r="M163" s="28">
        <f t="shared" si="76"/>
        <v>3143714.4894793103</v>
      </c>
    </row>
    <row r="164" spans="6:13" x14ac:dyDescent="0.25">
      <c r="F164" s="1" t="s">
        <v>142</v>
      </c>
      <c r="G164" s="28"/>
      <c r="H164" s="28"/>
      <c r="I164" s="28">
        <f>I153+I143+I132+I122</f>
        <v>1139902.6568728054</v>
      </c>
      <c r="J164" s="28">
        <f t="shared" ref="J164:M167" si="77">J153+J143+J132+J122</f>
        <v>1139902.6568728054</v>
      </c>
      <c r="K164" s="28">
        <f t="shared" si="77"/>
        <v>1139902.6568728054</v>
      </c>
      <c r="L164" s="28">
        <f t="shared" si="77"/>
        <v>1139902.6568728054</v>
      </c>
      <c r="M164" s="28">
        <f t="shared" si="77"/>
        <v>1139902.6568728054</v>
      </c>
    </row>
    <row r="165" spans="6:13" x14ac:dyDescent="0.25">
      <c r="F165" s="1" t="s">
        <v>143</v>
      </c>
      <c r="G165" s="28"/>
      <c r="H165" s="28"/>
      <c r="I165" s="28"/>
      <c r="J165" s="28">
        <f t="shared" si="77"/>
        <v>2174128.8420581706</v>
      </c>
      <c r="K165" s="28">
        <f t="shared" si="77"/>
        <v>2174128.8420581706</v>
      </c>
      <c r="L165" s="28">
        <f t="shared" si="77"/>
        <v>2174128.8420581706</v>
      </c>
      <c r="M165" s="28">
        <f t="shared" si="77"/>
        <v>2174128.8420581706</v>
      </c>
    </row>
    <row r="166" spans="6:13" x14ac:dyDescent="0.25">
      <c r="F166" s="1" t="s">
        <v>144</v>
      </c>
      <c r="G166" s="28"/>
      <c r="H166" s="28"/>
      <c r="I166" s="28"/>
      <c r="J166" s="28"/>
      <c r="K166" s="28">
        <f t="shared" si="77"/>
        <v>2321083.7814290971</v>
      </c>
      <c r="L166" s="28">
        <f t="shared" si="77"/>
        <v>2321083.7814290971</v>
      </c>
      <c r="M166" s="28">
        <f t="shared" si="77"/>
        <v>2321083.7814290971</v>
      </c>
    </row>
    <row r="167" spans="6:13" x14ac:dyDescent="0.25">
      <c r="F167" s="1" t="s">
        <v>146</v>
      </c>
      <c r="G167" s="28"/>
      <c r="H167" s="28"/>
      <c r="I167" s="28"/>
      <c r="J167" s="28"/>
      <c r="K167" s="28"/>
      <c r="L167" s="28">
        <f t="shared" si="77"/>
        <v>2527405.6953737224</v>
      </c>
      <c r="M167" s="28">
        <f t="shared" si="77"/>
        <v>2527405.6953737224</v>
      </c>
    </row>
    <row r="168" spans="6:13" x14ac:dyDescent="0.25">
      <c r="F168" s="1" t="s">
        <v>160</v>
      </c>
      <c r="G168" s="28"/>
      <c r="H168" s="28"/>
      <c r="I168" s="28"/>
      <c r="J168" s="28"/>
      <c r="K168" s="28"/>
      <c r="L168" s="28"/>
      <c r="M168" s="168">
        <f>G162</f>
        <v>1701888.8382273093</v>
      </c>
    </row>
    <row r="170" spans="6:13" x14ac:dyDescent="0.25">
      <c r="F170" s="160" t="s">
        <v>162</v>
      </c>
      <c r="G170" s="6">
        <f>G108-G162</f>
        <v>0</v>
      </c>
      <c r="H170" s="168">
        <f t="shared" ref="H170:H171" si="78">H108-H162</f>
        <v>0</v>
      </c>
      <c r="I170" s="168">
        <f t="shared" ref="I170:M170" si="79">I108-I162</f>
        <v>0</v>
      </c>
      <c r="J170" s="168">
        <f t="shared" si="79"/>
        <v>0</v>
      </c>
      <c r="K170" s="168">
        <f t="shared" si="79"/>
        <v>0</v>
      </c>
      <c r="L170" s="168">
        <f t="shared" si="79"/>
        <v>0</v>
      </c>
      <c r="M170" s="168">
        <f t="shared" si="79"/>
        <v>0</v>
      </c>
    </row>
    <row r="171" spans="6:13" x14ac:dyDescent="0.25">
      <c r="H171" s="168">
        <f t="shared" si="78"/>
        <v>0</v>
      </c>
      <c r="I171" s="168">
        <f t="shared" ref="I171:I172" si="80">I109-I163</f>
        <v>0</v>
      </c>
      <c r="J171" s="168">
        <f t="shared" ref="J171:M171" si="81">J109-J163</f>
        <v>0</v>
      </c>
      <c r="K171" s="168">
        <f t="shared" si="81"/>
        <v>0</v>
      </c>
      <c r="L171" s="168">
        <f t="shared" si="81"/>
        <v>0</v>
      </c>
      <c r="M171" s="168">
        <f t="shared" si="81"/>
        <v>0</v>
      </c>
    </row>
    <row r="172" spans="6:13" x14ac:dyDescent="0.25">
      <c r="I172" s="168">
        <f t="shared" si="80"/>
        <v>0</v>
      </c>
      <c r="J172" s="168">
        <f t="shared" ref="J172:M176" si="82">J110-J164</f>
        <v>0</v>
      </c>
      <c r="K172" s="168">
        <f t="shared" si="82"/>
        <v>0</v>
      </c>
      <c r="L172" s="168">
        <f t="shared" si="82"/>
        <v>0</v>
      </c>
      <c r="M172" s="168">
        <f t="shared" si="82"/>
        <v>0</v>
      </c>
    </row>
    <row r="173" spans="6:13" x14ac:dyDescent="0.25">
      <c r="J173" s="168">
        <f t="shared" si="82"/>
        <v>0</v>
      </c>
      <c r="K173" s="168">
        <f t="shared" si="82"/>
        <v>0</v>
      </c>
      <c r="L173" s="168">
        <f t="shared" si="82"/>
        <v>0</v>
      </c>
      <c r="M173" s="168">
        <f t="shared" si="82"/>
        <v>0</v>
      </c>
    </row>
    <row r="174" spans="6:13" x14ac:dyDescent="0.25">
      <c r="K174" s="168">
        <f t="shared" si="82"/>
        <v>0</v>
      </c>
      <c r="L174" s="168">
        <f t="shared" si="82"/>
        <v>0</v>
      </c>
      <c r="M174" s="168">
        <f t="shared" si="82"/>
        <v>0</v>
      </c>
    </row>
    <row r="175" spans="6:13" x14ac:dyDescent="0.25">
      <c r="L175" s="168">
        <f t="shared" si="82"/>
        <v>0</v>
      </c>
      <c r="M175" s="168">
        <f t="shared" si="82"/>
        <v>0</v>
      </c>
    </row>
    <row r="176" spans="6:13" x14ac:dyDescent="0.25">
      <c r="M176" s="168">
        <f t="shared" si="82"/>
        <v>0</v>
      </c>
    </row>
  </sheetData>
  <mergeCells count="5">
    <mergeCell ref="G150:L150"/>
    <mergeCell ref="G106:L106"/>
    <mergeCell ref="G119:L119"/>
    <mergeCell ref="G129:L129"/>
    <mergeCell ref="G139:L139"/>
  </mergeCells>
  <phoneticPr fontId="0" type="noConversion"/>
  <printOptions horizontalCentered="1"/>
  <pageMargins left="0.19685039370078741" right="0.19685039370078741" top="0.31496062992125984" bottom="0.35433070866141736" header="0.51181102362204722" footer="0.15748031496062992"/>
  <pageSetup paperSize="17" scale="65" fitToHeight="3" orientation="landscape" verticalDpi="300" r:id="rId1"/>
  <headerFooter alignWithMargins="0">
    <oddFooter>&amp;L&amp;A&amp;R&amp;P</oddFooter>
  </headerFooter>
  <rowBreaks count="1" manualBreakCount="1">
    <brk id="86" max="2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0"/>
  <sheetViews>
    <sheetView workbookViewId="0">
      <selection activeCell="Q10" sqref="Q10"/>
    </sheetView>
  </sheetViews>
  <sheetFormatPr defaultRowHeight="13.2" x14ac:dyDescent="0.25"/>
  <cols>
    <col min="1" max="1" width="11" customWidth="1"/>
    <col min="2" max="2" width="15" style="6" customWidth="1"/>
    <col min="3" max="4" width="14.109375" style="6" bestFit="1" customWidth="1"/>
    <col min="5" max="5" width="14.109375" style="6" customWidth="1"/>
    <col min="6" max="6" width="17.5546875" style="6" customWidth="1"/>
    <col min="7" max="7" width="12.5546875" style="6" customWidth="1"/>
    <col min="8" max="8" width="12.6640625" style="6" bestFit="1" customWidth="1"/>
    <col min="9" max="9" width="4.6640625" style="6" customWidth="1"/>
    <col min="10" max="10" width="11.6640625" style="6" bestFit="1" customWidth="1"/>
    <col min="11" max="11" width="10.6640625" style="6" bestFit="1" customWidth="1"/>
    <col min="12" max="13" width="9.109375" style="6"/>
  </cols>
  <sheetData>
    <row r="2" spans="1:14" ht="54.6" customHeight="1" x14ac:dyDescent="0.25">
      <c r="B2" s="9" t="str">
        <f>'Rate Class Energy Model'!H3</f>
        <v>Residential</v>
      </c>
      <c r="C2" s="9" t="str">
        <f>'Rate Class Energy Model'!I3</f>
        <v>GS&lt;50</v>
      </c>
      <c r="D2" s="9" t="str">
        <f>'Rate Class Energy Model'!J3</f>
        <v>GS&gt;50</v>
      </c>
      <c r="E2" s="9" t="str">
        <f>'Rate Class Energy Model'!K3</f>
        <v>Sentinels</v>
      </c>
      <c r="F2" s="9" t="str">
        <f>'Rate Class Energy Model'!L3</f>
        <v>Streetlights</v>
      </c>
      <c r="G2" s="9" t="str">
        <f>'Rate Class Energy Model'!M3</f>
        <v>USL</v>
      </c>
      <c r="H2" s="6" t="s">
        <v>9</v>
      </c>
      <c r="J2" s="83" t="s">
        <v>72</v>
      </c>
    </row>
    <row r="3" spans="1:14" x14ac:dyDescent="0.25">
      <c r="A3" s="4">
        <v>2006</v>
      </c>
      <c r="B3" s="155">
        <f>'[5]Consumption Data '!$F$59</f>
        <v>12867</v>
      </c>
      <c r="C3" s="155">
        <f>'[5]Consumption Data '!$J$59</f>
        <v>797</v>
      </c>
      <c r="D3" s="155">
        <f>'[5]Consumption Data '!$O$59</f>
        <v>80</v>
      </c>
      <c r="E3" s="155">
        <f>'[5]Consumption Data '!$Y$59</f>
        <v>189</v>
      </c>
      <c r="F3" s="155">
        <f>'[5]Consumption Data '!$T$59</f>
        <v>2371</v>
      </c>
      <c r="G3" s="155">
        <f>'[5]Consumption Data '!$AC$59</f>
        <v>90</v>
      </c>
      <c r="H3" s="37">
        <f t="shared" ref="H3" si="0">SUM(B3:G3)</f>
        <v>16394</v>
      </c>
      <c r="J3" s="6">
        <f>B3+C3+D3</f>
        <v>13744</v>
      </c>
      <c r="K3"/>
    </row>
    <row r="4" spans="1:14" x14ac:dyDescent="0.25">
      <c r="A4" s="4">
        <v>2007</v>
      </c>
      <c r="B4" s="38">
        <f>'[5]Consumption Data '!$F$71</f>
        <v>12991</v>
      </c>
      <c r="C4" s="38">
        <f>'[5]Consumption Data '!$J$71</f>
        <v>819</v>
      </c>
      <c r="D4" s="38">
        <f>'[5]Consumption Data '!$O$71</f>
        <v>71</v>
      </c>
      <c r="E4" s="38">
        <f>'[5]Consumption Data '!$Y$71</f>
        <v>186</v>
      </c>
      <c r="F4" s="38">
        <f>'[5]Consumption Data '!$T$71</f>
        <v>2489</v>
      </c>
      <c r="G4" s="38">
        <f>'[5]Consumption Data '!$AC$71</f>
        <v>89</v>
      </c>
      <c r="H4" s="37">
        <f t="shared" ref="H4:H18" si="1">SUM(B4:G4)</f>
        <v>16645</v>
      </c>
      <c r="J4" s="168">
        <f t="shared" ref="J4:J18" si="2">B4+C4+D4</f>
        <v>13881</v>
      </c>
      <c r="K4" s="168"/>
      <c r="L4" s="168"/>
      <c r="M4" s="168"/>
      <c r="N4" s="168"/>
    </row>
    <row r="5" spans="1:14" x14ac:dyDescent="0.25">
      <c r="A5" s="4">
        <v>2008</v>
      </c>
      <c r="B5" s="38">
        <f>'[5]Consumption Data '!$F$83</f>
        <v>13277</v>
      </c>
      <c r="C5" s="38">
        <f>'[5]Consumption Data '!$J$83</f>
        <v>836</v>
      </c>
      <c r="D5" s="38">
        <f>'[5]Consumption Data '!$O$83</f>
        <v>73</v>
      </c>
      <c r="E5" s="38">
        <f>'[5]Consumption Data '!$Y$83</f>
        <v>186</v>
      </c>
      <c r="F5" s="38">
        <f>'[5]Consumption Data '!$T$83</f>
        <v>2588</v>
      </c>
      <c r="G5" s="38">
        <f>'[5]Consumption Data '!$AC$83</f>
        <v>84</v>
      </c>
      <c r="H5" s="37">
        <f t="shared" si="1"/>
        <v>17044</v>
      </c>
      <c r="J5" s="168">
        <f t="shared" si="2"/>
        <v>14186</v>
      </c>
      <c r="K5" s="168"/>
      <c r="L5" s="168"/>
      <c r="M5" s="168"/>
      <c r="N5" s="168"/>
    </row>
    <row r="6" spans="1:14" x14ac:dyDescent="0.25">
      <c r="A6" s="4">
        <v>2009</v>
      </c>
      <c r="B6" s="38">
        <f>'[5]Consumption Data '!$F$95</f>
        <v>13533</v>
      </c>
      <c r="C6" s="38">
        <f>'[5]Consumption Data '!$J$95</f>
        <v>855</v>
      </c>
      <c r="D6" s="38">
        <f>'[5]Consumption Data '!$O$95</f>
        <v>72</v>
      </c>
      <c r="E6" s="38">
        <f>'[5]Consumption Data '!$Y$95</f>
        <v>193</v>
      </c>
      <c r="F6" s="38">
        <f>'[5]Consumption Data '!$T$95</f>
        <v>2625</v>
      </c>
      <c r="G6" s="38">
        <f>'[5]Consumption Data '!$AC$95</f>
        <v>83</v>
      </c>
      <c r="H6" s="37">
        <f t="shared" si="1"/>
        <v>17361</v>
      </c>
      <c r="J6" s="168">
        <f t="shared" si="2"/>
        <v>14460</v>
      </c>
      <c r="K6" s="168"/>
      <c r="L6" s="168"/>
      <c r="M6" s="168"/>
      <c r="N6" s="168"/>
    </row>
    <row r="7" spans="1:14" x14ac:dyDescent="0.25">
      <c r="A7" s="4">
        <v>2010</v>
      </c>
      <c r="B7" s="38">
        <f>'[5]Consumption Data '!$F$107</f>
        <v>13651</v>
      </c>
      <c r="C7" s="38">
        <f>'[5]Consumption Data '!$J$107</f>
        <v>865</v>
      </c>
      <c r="D7" s="38">
        <f>'[5]Consumption Data '!$O$107</f>
        <v>68</v>
      </c>
      <c r="E7" s="38">
        <f>'[5]Consumption Data '!$Y$107</f>
        <v>201</v>
      </c>
      <c r="F7" s="38">
        <f>'[5]Consumption Data '!$T$107</f>
        <v>2685</v>
      </c>
      <c r="G7" s="38">
        <f>'[5]Consumption Data '!$AC$107</f>
        <v>82</v>
      </c>
      <c r="H7" s="37">
        <f t="shared" si="1"/>
        <v>17552</v>
      </c>
      <c r="J7" s="168">
        <f t="shared" si="2"/>
        <v>14584</v>
      </c>
      <c r="K7" s="168"/>
      <c r="L7" s="168"/>
      <c r="M7" s="168"/>
      <c r="N7" s="168"/>
    </row>
    <row r="8" spans="1:14" x14ac:dyDescent="0.25">
      <c r="A8" s="4">
        <v>2011</v>
      </c>
      <c r="B8" s="38">
        <f>'[5]Consumption Data '!$F$119</f>
        <v>13779</v>
      </c>
      <c r="C8" s="38">
        <f>'[5]Consumption Data '!$J$119</f>
        <v>896</v>
      </c>
      <c r="D8" s="38">
        <f>'[5]Consumption Data '!$O$119</f>
        <v>67</v>
      </c>
      <c r="E8" s="38">
        <f>'[5]Consumption Data '!$Y$119</f>
        <v>225</v>
      </c>
      <c r="F8" s="38">
        <f>'[5]Consumption Data '!$T$119</f>
        <v>2728</v>
      </c>
      <c r="G8" s="38">
        <f>'[5]Consumption Data '!$AC$119</f>
        <v>81</v>
      </c>
      <c r="H8" s="37">
        <f t="shared" si="1"/>
        <v>17776</v>
      </c>
      <c r="J8" s="168">
        <f t="shared" si="2"/>
        <v>14742</v>
      </c>
      <c r="K8" s="168"/>
      <c r="L8" s="168"/>
      <c r="M8" s="168"/>
      <c r="N8" s="168"/>
    </row>
    <row r="9" spans="1:14" x14ac:dyDescent="0.25">
      <c r="A9" s="4">
        <v>2012</v>
      </c>
      <c r="B9" s="38">
        <f>'[6]Customer Numbers'!$B$18</f>
        <v>13942.916666666666</v>
      </c>
      <c r="C9" s="38">
        <f>'[6]Customer Numbers'!$C$18</f>
        <v>913.75</v>
      </c>
      <c r="D9" s="38">
        <f>'[6]Customer Numbers'!$E$18</f>
        <v>67.916666666666671</v>
      </c>
      <c r="E9" s="38">
        <f>'[6]Customer Numbers'!$F$18</f>
        <v>172.08333333333334</v>
      </c>
      <c r="F9" s="38">
        <f>'[6]Customer Numbers'!$G$18</f>
        <v>2728</v>
      </c>
      <c r="G9" s="38">
        <f>'[6]Customer Numbers'!$D$18</f>
        <v>78.666666666666671</v>
      </c>
      <c r="H9" s="37">
        <f t="shared" si="1"/>
        <v>17903.333333333332</v>
      </c>
      <c r="J9" s="168">
        <f t="shared" si="2"/>
        <v>14924.583333333332</v>
      </c>
      <c r="K9" s="168"/>
      <c r="L9" s="168"/>
      <c r="M9" s="168"/>
      <c r="N9" s="168"/>
    </row>
    <row r="10" spans="1:14" x14ac:dyDescent="0.25">
      <c r="A10" s="4">
        <v>2013</v>
      </c>
      <c r="B10" s="38">
        <f>'[6]Customer Numbers'!$B$36</f>
        <v>14181</v>
      </c>
      <c r="C10" s="38">
        <f>'[6]Customer Numbers'!$C$36</f>
        <v>949.25</v>
      </c>
      <c r="D10" s="38">
        <f>'[6]Customer Numbers'!$E$36</f>
        <v>67</v>
      </c>
      <c r="E10" s="38">
        <f>'[6]Customer Numbers'!$F$36</f>
        <v>168</v>
      </c>
      <c r="F10" s="38">
        <f>'[6]Customer Numbers'!$G$36</f>
        <v>2843.3333333333335</v>
      </c>
      <c r="G10" s="38">
        <f>'[6]Customer Numbers'!$D$36</f>
        <v>77.583333333333329</v>
      </c>
      <c r="H10" s="37">
        <f t="shared" si="1"/>
        <v>18286.166666666664</v>
      </c>
      <c r="J10" s="168">
        <f t="shared" si="2"/>
        <v>15197.25</v>
      </c>
      <c r="K10" s="168"/>
      <c r="L10" s="168"/>
      <c r="M10" s="168"/>
      <c r="N10" s="168"/>
    </row>
    <row r="11" spans="1:14" x14ac:dyDescent="0.25">
      <c r="A11" s="4">
        <v>2014</v>
      </c>
      <c r="B11" s="38">
        <f>'[6]Customer Numbers'!$B$54</f>
        <v>14509.166666666666</v>
      </c>
      <c r="C11" s="38">
        <f>'[6]Customer Numbers'!$C$54</f>
        <v>991.25</v>
      </c>
      <c r="D11" s="38">
        <f>'[6]Customer Numbers'!$E$54</f>
        <v>67.166666666666671</v>
      </c>
      <c r="E11" s="38">
        <f>'[6]Customer Numbers'!$F$54</f>
        <v>169.41666666666666</v>
      </c>
      <c r="F11" s="38">
        <f>'[6]Customer Numbers'!$G$54</f>
        <v>2923.3333333333335</v>
      </c>
      <c r="G11" s="38">
        <f>'[6]Customer Numbers'!$D$54</f>
        <v>75.583333333333329</v>
      </c>
      <c r="H11" s="37">
        <f t="shared" si="1"/>
        <v>18735.916666666664</v>
      </c>
      <c r="J11" s="168">
        <f t="shared" si="2"/>
        <v>15567.583333333332</v>
      </c>
      <c r="K11" s="168"/>
      <c r="L11" s="168"/>
      <c r="M11" s="168"/>
      <c r="N11" s="168"/>
    </row>
    <row r="12" spans="1:14" x14ac:dyDescent="0.25">
      <c r="A12" s="4">
        <v>2015</v>
      </c>
      <c r="B12" s="38">
        <f>'[6]Customer Numbers'!$B$72</f>
        <v>14861.583333333334</v>
      </c>
      <c r="C12" s="38">
        <f>'[6]Customer Numbers'!$C$72</f>
        <v>1000.5833333333334</v>
      </c>
      <c r="D12" s="38">
        <f>'[6]Customer Numbers'!$E$72</f>
        <v>71.5</v>
      </c>
      <c r="E12" s="38">
        <f>'[6]Customer Numbers'!$F$72</f>
        <v>165.75</v>
      </c>
      <c r="F12" s="38">
        <f>'[6]Customer Numbers'!$G$72</f>
        <v>2897.6666666666665</v>
      </c>
      <c r="G12" s="38">
        <f>'[6]Customer Numbers'!$D$72</f>
        <v>76</v>
      </c>
      <c r="H12" s="37">
        <f t="shared" si="1"/>
        <v>19073.083333333336</v>
      </c>
      <c r="J12" s="168">
        <f t="shared" si="2"/>
        <v>15933.666666666668</v>
      </c>
      <c r="K12" s="168"/>
      <c r="L12" s="168"/>
      <c r="M12" s="168"/>
      <c r="N12" s="168"/>
    </row>
    <row r="13" spans="1:14" x14ac:dyDescent="0.25">
      <c r="A13" s="4">
        <v>2016</v>
      </c>
      <c r="B13" s="22">
        <f>ROUND((B39+B40)/2,0)</f>
        <v>15419</v>
      </c>
      <c r="C13" s="22">
        <f>ROUND(C12*$C$33,0)</f>
        <v>1026</v>
      </c>
      <c r="D13" s="22">
        <f>D12</f>
        <v>71.5</v>
      </c>
      <c r="E13" s="22">
        <f>ROUND( E12*$E$33,0)</f>
        <v>163</v>
      </c>
      <c r="F13" s="22">
        <f>ROUND( F12*$F$33,0)</f>
        <v>2963</v>
      </c>
      <c r="G13" s="22">
        <f>ROUND( G12*$G$33,0)</f>
        <v>75</v>
      </c>
      <c r="H13" s="22">
        <f t="shared" si="1"/>
        <v>19717.5</v>
      </c>
      <c r="I13" s="195"/>
      <c r="J13" s="168">
        <f t="shared" si="2"/>
        <v>16516.5</v>
      </c>
      <c r="K13" s="6">
        <f>AVERAGE('Purchased Power Model '!G123:G134)</f>
        <v>16517.000000000004</v>
      </c>
      <c r="L13" s="6">
        <v>53.692307692307693</v>
      </c>
      <c r="M13" s="168"/>
    </row>
    <row r="14" spans="1:14" x14ac:dyDescent="0.25">
      <c r="A14" s="4">
        <v>2017</v>
      </c>
      <c r="B14" s="22">
        <f t="shared" ref="B14:B18" si="3">ROUND((B40+B41)/2,0)</f>
        <v>15930</v>
      </c>
      <c r="C14" s="22">
        <f t="shared" ref="C14:C18" si="4">ROUND(C13*$C$33,0)</f>
        <v>1052</v>
      </c>
      <c r="D14" s="22">
        <f t="shared" ref="D14:D18" si="5">D13</f>
        <v>71.5</v>
      </c>
      <c r="E14" s="22">
        <f t="shared" ref="E14:E18" si="6">ROUND( E13*$E$33,0)</f>
        <v>161</v>
      </c>
      <c r="F14" s="22">
        <f t="shared" ref="F14:F18" si="7">ROUND( F13*$F$33,0)</f>
        <v>3030</v>
      </c>
      <c r="G14" s="22">
        <f t="shared" ref="G14:G18" si="8">ROUND( G13*$G$33,0)</f>
        <v>74</v>
      </c>
      <c r="H14" s="22">
        <f t="shared" si="1"/>
        <v>20318.5</v>
      </c>
      <c r="I14" s="195"/>
      <c r="J14" s="168">
        <f t="shared" si="2"/>
        <v>17053.5</v>
      </c>
      <c r="K14" s="6">
        <f>AVERAGE('Purchased Power Model '!G135:G146)</f>
        <v>17054.000000000018</v>
      </c>
      <c r="L14" s="6">
        <v>37.183431952663469</v>
      </c>
      <c r="M14" s="168"/>
    </row>
    <row r="15" spans="1:14" x14ac:dyDescent="0.25">
      <c r="A15" s="4">
        <v>2018</v>
      </c>
      <c r="B15" s="22">
        <f t="shared" si="3"/>
        <v>16676</v>
      </c>
      <c r="C15" s="22">
        <f t="shared" si="4"/>
        <v>1079</v>
      </c>
      <c r="D15" s="22">
        <f t="shared" si="5"/>
        <v>71.5</v>
      </c>
      <c r="E15" s="22">
        <f t="shared" si="6"/>
        <v>159</v>
      </c>
      <c r="F15" s="22">
        <f t="shared" si="7"/>
        <v>3098</v>
      </c>
      <c r="G15" s="22">
        <f t="shared" si="8"/>
        <v>73</v>
      </c>
      <c r="H15" s="22">
        <f t="shared" si="1"/>
        <v>21156.5</v>
      </c>
      <c r="I15" s="195"/>
      <c r="J15" s="168">
        <f t="shared" si="2"/>
        <v>17826.5</v>
      </c>
      <c r="K15" s="6">
        <f>AVERAGE('Purchased Power Model '!G147:G158)</f>
        <v>17826.99999999996</v>
      </c>
      <c r="L15" s="168">
        <v>87.460172963123085</v>
      </c>
      <c r="M15" s="168"/>
    </row>
    <row r="16" spans="1:14" x14ac:dyDescent="0.25">
      <c r="A16" s="4">
        <v>2019</v>
      </c>
      <c r="B16" s="22">
        <f t="shared" si="3"/>
        <v>17824</v>
      </c>
      <c r="C16" s="22">
        <f t="shared" si="4"/>
        <v>1107</v>
      </c>
      <c r="D16" s="22">
        <f t="shared" si="5"/>
        <v>71.5</v>
      </c>
      <c r="E16" s="22">
        <f t="shared" si="6"/>
        <v>157</v>
      </c>
      <c r="F16" s="22">
        <f t="shared" si="7"/>
        <v>3168</v>
      </c>
      <c r="G16" s="22">
        <f t="shared" si="8"/>
        <v>72</v>
      </c>
      <c r="H16" s="22">
        <f t="shared" si="1"/>
        <v>22399.5</v>
      </c>
      <c r="I16" s="195"/>
      <c r="J16" s="168">
        <f t="shared" si="2"/>
        <v>19002.5</v>
      </c>
      <c r="K16" s="167">
        <f>AVERAGE('Purchased Power Model '!G159:G170)</f>
        <v>19002.999999999989</v>
      </c>
      <c r="L16" s="168">
        <v>106.91831518505542</v>
      </c>
      <c r="M16" s="168"/>
    </row>
    <row r="17" spans="1:13" x14ac:dyDescent="0.25">
      <c r="A17" s="4">
        <v>2020</v>
      </c>
      <c r="B17" s="22">
        <f t="shared" si="3"/>
        <v>18877</v>
      </c>
      <c r="C17" s="22">
        <f t="shared" si="4"/>
        <v>1135</v>
      </c>
      <c r="D17" s="22">
        <f t="shared" si="5"/>
        <v>71.5</v>
      </c>
      <c r="E17" s="22">
        <f t="shared" si="6"/>
        <v>155</v>
      </c>
      <c r="F17" s="22">
        <f t="shared" si="7"/>
        <v>3239</v>
      </c>
      <c r="G17" s="22">
        <f t="shared" si="8"/>
        <v>71</v>
      </c>
      <c r="H17" s="22">
        <f t="shared" si="1"/>
        <v>23548.5</v>
      </c>
      <c r="I17" s="195"/>
      <c r="J17" s="168">
        <f t="shared" si="2"/>
        <v>20083.5</v>
      </c>
      <c r="K17" s="168">
        <f>AVERAGE('Purchased Power Model '!G171:G182)</f>
        <v>20083.999999999996</v>
      </c>
      <c r="L17" s="168">
        <v>75.838348689567795</v>
      </c>
      <c r="M17" s="168"/>
    </row>
    <row r="18" spans="1:13" x14ac:dyDescent="0.25">
      <c r="A18" s="4">
        <v>2021</v>
      </c>
      <c r="B18" s="22">
        <f t="shared" si="3"/>
        <v>19853</v>
      </c>
      <c r="C18" s="22">
        <f t="shared" si="4"/>
        <v>1164</v>
      </c>
      <c r="D18" s="22">
        <f t="shared" si="5"/>
        <v>71.5</v>
      </c>
      <c r="E18" s="22">
        <f t="shared" si="6"/>
        <v>153</v>
      </c>
      <c r="F18" s="22">
        <f t="shared" si="7"/>
        <v>3312</v>
      </c>
      <c r="G18" s="22">
        <f t="shared" si="8"/>
        <v>70</v>
      </c>
      <c r="H18" s="22">
        <f t="shared" si="1"/>
        <v>24623.5</v>
      </c>
      <c r="I18" s="195"/>
      <c r="J18" s="168">
        <f t="shared" si="2"/>
        <v>21088.5</v>
      </c>
      <c r="K18" s="168">
        <f>AVERAGE('Purchased Power Model '!G183:G194)</f>
        <v>21088.999999999964</v>
      </c>
      <c r="L18" s="168">
        <v>90.444474185745435</v>
      </c>
      <c r="M18" s="168"/>
    </row>
    <row r="19" spans="1:13" x14ac:dyDescent="0.25">
      <c r="A19" s="21"/>
    </row>
    <row r="20" spans="1:13" x14ac:dyDescent="0.25">
      <c r="A20" s="20" t="s">
        <v>40</v>
      </c>
      <c r="B20" s="5"/>
      <c r="C20" s="5"/>
      <c r="D20" s="5"/>
      <c r="E20" s="5"/>
      <c r="F20" s="5"/>
      <c r="G20" s="5"/>
    </row>
    <row r="21" spans="1:13" x14ac:dyDescent="0.25">
      <c r="A21" s="4">
        <v>2006</v>
      </c>
      <c r="B21" s="5"/>
      <c r="C21" s="5"/>
      <c r="D21" s="5"/>
      <c r="E21" s="5"/>
      <c r="F21" s="5"/>
      <c r="G21" s="5"/>
    </row>
    <row r="22" spans="1:13" x14ac:dyDescent="0.25">
      <c r="A22" s="4">
        <v>2007</v>
      </c>
      <c r="B22" s="25">
        <f t="shared" ref="B22:G22" si="9">B4/B3</f>
        <v>1.0096370560348178</v>
      </c>
      <c r="C22" s="25">
        <f t="shared" si="9"/>
        <v>1.0276035131744039</v>
      </c>
      <c r="D22" s="25">
        <f t="shared" si="9"/>
        <v>0.88749999999999996</v>
      </c>
      <c r="E22" s="25">
        <f t="shared" si="9"/>
        <v>0.98412698412698407</v>
      </c>
      <c r="F22" s="25">
        <f t="shared" si="9"/>
        <v>1.0497680303669339</v>
      </c>
      <c r="G22" s="25">
        <f t="shared" si="9"/>
        <v>0.98888888888888893</v>
      </c>
    </row>
    <row r="23" spans="1:13" x14ac:dyDescent="0.25">
      <c r="A23" s="4">
        <v>2008</v>
      </c>
      <c r="B23" s="25">
        <f t="shared" ref="B23:G30" si="10">B5/B4</f>
        <v>1.0220152413209145</v>
      </c>
      <c r="C23" s="25">
        <f t="shared" si="10"/>
        <v>1.0207570207570207</v>
      </c>
      <c r="D23" s="25">
        <f t="shared" si="10"/>
        <v>1.028169014084507</v>
      </c>
      <c r="E23" s="25">
        <f t="shared" si="10"/>
        <v>1</v>
      </c>
      <c r="F23" s="25">
        <f t="shared" si="10"/>
        <v>1.0397750100441945</v>
      </c>
      <c r="G23" s="25">
        <f t="shared" si="10"/>
        <v>0.9438202247191011</v>
      </c>
    </row>
    <row r="24" spans="1:13" x14ac:dyDescent="0.25">
      <c r="A24" s="4">
        <v>2009</v>
      </c>
      <c r="B24" s="25">
        <f t="shared" si="10"/>
        <v>1.0192814641861867</v>
      </c>
      <c r="C24" s="25">
        <f t="shared" si="10"/>
        <v>1.0227272727272727</v>
      </c>
      <c r="D24" s="25">
        <f t="shared" si="10"/>
        <v>0.98630136986301364</v>
      </c>
      <c r="E24" s="25">
        <f t="shared" si="10"/>
        <v>1.0376344086021505</v>
      </c>
      <c r="F24" s="25">
        <f t="shared" si="10"/>
        <v>1.0142967542503865</v>
      </c>
      <c r="G24" s="25">
        <f t="shared" si="10"/>
        <v>0.98809523809523814</v>
      </c>
    </row>
    <row r="25" spans="1:13" x14ac:dyDescent="0.25">
      <c r="A25" s="4">
        <v>2010</v>
      </c>
      <c r="B25" s="25">
        <f t="shared" si="10"/>
        <v>1.0087194265868618</v>
      </c>
      <c r="C25" s="25">
        <f t="shared" si="10"/>
        <v>1.0116959064327486</v>
      </c>
      <c r="D25" s="25">
        <f t="shared" si="10"/>
        <v>0.94444444444444442</v>
      </c>
      <c r="E25" s="25">
        <f t="shared" si="10"/>
        <v>1.0414507772020725</v>
      </c>
      <c r="F25" s="25">
        <f t="shared" si="10"/>
        <v>1.0228571428571429</v>
      </c>
      <c r="G25" s="25">
        <f t="shared" si="10"/>
        <v>0.98795180722891562</v>
      </c>
    </row>
    <row r="26" spans="1:13" x14ac:dyDescent="0.25">
      <c r="A26" s="4">
        <v>2011</v>
      </c>
      <c r="B26" s="25">
        <f t="shared" si="10"/>
        <v>1.0093766024467072</v>
      </c>
      <c r="C26" s="25">
        <f t="shared" si="10"/>
        <v>1.0358381502890173</v>
      </c>
      <c r="D26" s="25">
        <f t="shared" si="10"/>
        <v>0.98529411764705888</v>
      </c>
      <c r="E26" s="25">
        <f t="shared" si="10"/>
        <v>1.1194029850746268</v>
      </c>
      <c r="F26" s="25">
        <f t="shared" si="10"/>
        <v>1.0160148975791434</v>
      </c>
      <c r="G26" s="25">
        <f t="shared" si="10"/>
        <v>0.98780487804878048</v>
      </c>
    </row>
    <row r="27" spans="1:13" x14ac:dyDescent="0.25">
      <c r="A27" s="4">
        <v>2012</v>
      </c>
      <c r="B27" s="25">
        <f t="shared" si="10"/>
        <v>1.0118961221181992</v>
      </c>
      <c r="C27" s="25">
        <f t="shared" si="10"/>
        <v>1.0198102678571428</v>
      </c>
      <c r="D27" s="25">
        <f t="shared" si="10"/>
        <v>1.013681592039801</v>
      </c>
      <c r="E27" s="25">
        <f t="shared" si="10"/>
        <v>0.76481481481481484</v>
      </c>
      <c r="F27" s="25">
        <f t="shared" si="10"/>
        <v>1</v>
      </c>
      <c r="G27" s="25">
        <f t="shared" si="10"/>
        <v>0.9711934156378601</v>
      </c>
    </row>
    <row r="28" spans="1:13" x14ac:dyDescent="0.25">
      <c r="A28" s="4">
        <v>2013</v>
      </c>
      <c r="B28" s="25">
        <f t="shared" si="10"/>
        <v>1.0170755760093237</v>
      </c>
      <c r="C28" s="25">
        <f t="shared" si="10"/>
        <v>1.0388508891928865</v>
      </c>
      <c r="D28" s="25">
        <f t="shared" si="10"/>
        <v>0.98650306748466254</v>
      </c>
      <c r="E28" s="25">
        <f t="shared" si="10"/>
        <v>0.9762711864406779</v>
      </c>
      <c r="F28" s="25">
        <f t="shared" si="10"/>
        <v>1.04227761485826</v>
      </c>
      <c r="G28" s="25">
        <f t="shared" si="10"/>
        <v>0.9862288135593219</v>
      </c>
    </row>
    <row r="29" spans="1:13" x14ac:dyDescent="0.25">
      <c r="A29" s="4">
        <v>2014</v>
      </c>
      <c r="B29" s="25">
        <f t="shared" si="10"/>
        <v>1.0231412923395153</v>
      </c>
      <c r="C29" s="25">
        <f t="shared" si="10"/>
        <v>1.0442454569396893</v>
      </c>
      <c r="D29" s="25">
        <f t="shared" si="10"/>
        <v>1.0024875621890548</v>
      </c>
      <c r="E29" s="25">
        <f t="shared" si="10"/>
        <v>1.0084325396825395</v>
      </c>
      <c r="F29" s="25">
        <f t="shared" si="10"/>
        <v>1.0281359906213365</v>
      </c>
      <c r="G29" s="25">
        <f t="shared" si="10"/>
        <v>0.97422126745435011</v>
      </c>
    </row>
    <row r="30" spans="1:13" x14ac:dyDescent="0.25">
      <c r="A30" s="4">
        <v>2015</v>
      </c>
      <c r="B30" s="25">
        <f t="shared" si="10"/>
        <v>1.0242892424329448</v>
      </c>
      <c r="C30" s="25">
        <f t="shared" si="10"/>
        <v>1.0094157208911307</v>
      </c>
      <c r="D30" s="25">
        <f t="shared" si="10"/>
        <v>1.064516129032258</v>
      </c>
      <c r="E30" s="25">
        <f t="shared" si="10"/>
        <v>0.97835710772257756</v>
      </c>
      <c r="F30" s="25">
        <f t="shared" si="10"/>
        <v>0.99122006841505117</v>
      </c>
      <c r="G30" s="25">
        <f t="shared" si="10"/>
        <v>1.0055126791620728</v>
      </c>
    </row>
    <row r="31" spans="1:13" x14ac:dyDescent="0.25">
      <c r="A31" s="4"/>
      <c r="B31" s="154"/>
      <c r="C31" s="25"/>
      <c r="D31" s="25"/>
      <c r="E31" s="25"/>
      <c r="F31" s="25"/>
      <c r="G31" s="25"/>
    </row>
    <row r="32" spans="1:13" x14ac:dyDescent="0.25">
      <c r="A32" s="4"/>
      <c r="B32" s="154"/>
      <c r="C32" s="25"/>
      <c r="D32" s="25"/>
      <c r="E32" s="25"/>
      <c r="F32" s="25"/>
      <c r="G32" s="25"/>
    </row>
    <row r="33" spans="1:7" x14ac:dyDescent="0.25">
      <c r="A33" t="s">
        <v>14</v>
      </c>
      <c r="B33" s="26">
        <f>GEOMEAN(B22:B30)</f>
        <v>1.0161415213865281</v>
      </c>
      <c r="C33" s="26">
        <f t="shared" ref="C33:G33" si="11">GEOMEAN(C22:C30)</f>
        <v>1.0255981195976365</v>
      </c>
      <c r="D33" s="26">
        <f t="shared" si="11"/>
        <v>0.98759654435261568</v>
      </c>
      <c r="E33" s="26">
        <f t="shared" si="11"/>
        <v>0.98552069413068044</v>
      </c>
      <c r="F33" s="26">
        <f t="shared" si="11"/>
        <v>1.0225384612578565</v>
      </c>
      <c r="G33" s="26">
        <f t="shared" si="11"/>
        <v>0.98138910301941573</v>
      </c>
    </row>
    <row r="34" spans="1:7" x14ac:dyDescent="0.25">
      <c r="B34" s="26"/>
      <c r="C34" s="26"/>
      <c r="D34" s="26"/>
      <c r="E34" s="26"/>
      <c r="F34" s="26"/>
      <c r="G34" s="26"/>
    </row>
    <row r="36" spans="1:7" x14ac:dyDescent="0.25">
      <c r="A36" s="4"/>
      <c r="B36" s="26"/>
      <c r="C36" s="26"/>
      <c r="D36" s="26"/>
      <c r="E36" s="26"/>
      <c r="F36" s="26"/>
      <c r="G36" s="26"/>
    </row>
    <row r="37" spans="1:7" x14ac:dyDescent="0.25">
      <c r="A37" s="4"/>
      <c r="B37" s="26"/>
      <c r="C37" s="26"/>
      <c r="D37" s="26"/>
      <c r="E37" s="26"/>
      <c r="F37" s="26"/>
      <c r="G37" s="26"/>
    </row>
    <row r="38" spans="1:7" x14ac:dyDescent="0.25">
      <c r="A38" s="170" t="s">
        <v>155</v>
      </c>
      <c r="B38" s="422" t="s">
        <v>58</v>
      </c>
      <c r="C38" s="422"/>
      <c r="D38" s="26"/>
      <c r="E38" s="26"/>
      <c r="F38" s="26"/>
      <c r="G38" s="26"/>
    </row>
    <row r="39" spans="1:7" x14ac:dyDescent="0.25">
      <c r="A39" s="39">
        <v>2015</v>
      </c>
      <c r="B39" s="38">
        <f>'[6]Customer Numbers'!$B$71</f>
        <v>15082</v>
      </c>
      <c r="C39" s="171" t="s">
        <v>156</v>
      </c>
      <c r="E39" s="26"/>
      <c r="F39" s="26"/>
      <c r="G39" s="26"/>
    </row>
    <row r="40" spans="1:7" x14ac:dyDescent="0.25">
      <c r="A40" s="39">
        <v>2016</v>
      </c>
      <c r="B40" s="169">
        <f>B39+C40</f>
        <v>15756</v>
      </c>
      <c r="C40" s="169">
        <f>[10]Sheet1!$D$6</f>
        <v>674</v>
      </c>
      <c r="D40" s="26"/>
      <c r="E40" s="26"/>
      <c r="F40" s="26">
        <f>C40/12</f>
        <v>56.166666666666664</v>
      </c>
      <c r="G40" s="26"/>
    </row>
    <row r="41" spans="1:7" x14ac:dyDescent="0.25">
      <c r="A41" s="39">
        <v>2017</v>
      </c>
      <c r="B41" s="169">
        <f t="shared" ref="B41:B45" si="12">B40+C41</f>
        <v>16104</v>
      </c>
      <c r="C41" s="169">
        <f>[10]Sheet1!$E$6</f>
        <v>348</v>
      </c>
      <c r="D41" s="26"/>
      <c r="E41" s="26"/>
      <c r="F41" s="26">
        <f t="shared" ref="F41:F46" si="13">C41/12</f>
        <v>29</v>
      </c>
      <c r="G41" s="26"/>
    </row>
    <row r="42" spans="1:7" x14ac:dyDescent="0.25">
      <c r="A42" s="39">
        <v>2018</v>
      </c>
      <c r="B42" s="169">
        <f t="shared" si="12"/>
        <v>17248</v>
      </c>
      <c r="C42" s="169">
        <f>ROUND([10]Sheet1!$F$6,0)</f>
        <v>1144</v>
      </c>
      <c r="D42" s="26"/>
      <c r="E42" s="26"/>
      <c r="F42" s="26">
        <f t="shared" si="13"/>
        <v>95.333333333333329</v>
      </c>
      <c r="G42" s="26"/>
    </row>
    <row r="43" spans="1:7" x14ac:dyDescent="0.25">
      <c r="A43" s="39">
        <v>2019</v>
      </c>
      <c r="B43" s="169">
        <f t="shared" si="12"/>
        <v>18399</v>
      </c>
      <c r="C43" s="169">
        <f>ROUND([10]Sheet1!$G$6,0)</f>
        <v>1151</v>
      </c>
      <c r="D43" s="26"/>
      <c r="E43" s="26"/>
      <c r="F43" s="26">
        <f t="shared" si="13"/>
        <v>95.916666666666671</v>
      </c>
      <c r="G43" s="26"/>
    </row>
    <row r="44" spans="1:7" x14ac:dyDescent="0.25">
      <c r="A44" s="39">
        <v>2020</v>
      </c>
      <c r="B44" s="169">
        <f t="shared" si="12"/>
        <v>19354</v>
      </c>
      <c r="C44" s="169">
        <f>ROUND([10]Sheet1!$H$6,0)</f>
        <v>955</v>
      </c>
      <c r="D44" s="26"/>
      <c r="E44" s="26"/>
      <c r="F44" s="26">
        <f t="shared" si="13"/>
        <v>79.583333333333329</v>
      </c>
      <c r="G44" s="26"/>
    </row>
    <row r="45" spans="1:7" x14ac:dyDescent="0.25">
      <c r="A45" s="39">
        <v>2021</v>
      </c>
      <c r="B45" s="169">
        <f t="shared" si="12"/>
        <v>20351</v>
      </c>
      <c r="C45" s="169">
        <f>ROUND([10]Sheet1!$I$6,0)</f>
        <v>997</v>
      </c>
      <c r="D45" s="26"/>
      <c r="E45" s="26"/>
      <c r="F45" s="26">
        <f t="shared" si="13"/>
        <v>83.083333333333329</v>
      </c>
      <c r="G45" s="26"/>
    </row>
    <row r="46" spans="1:7" x14ac:dyDescent="0.25">
      <c r="B46" s="169">
        <f>B45-B39</f>
        <v>5269</v>
      </c>
      <c r="C46" s="169">
        <f>SUM(C40:C45)</f>
        <v>5269</v>
      </c>
      <c r="D46" s="26"/>
      <c r="E46" s="26"/>
      <c r="F46" s="26">
        <f t="shared" si="13"/>
        <v>439.08333333333331</v>
      </c>
      <c r="G46" s="26"/>
    </row>
    <row r="47" spans="1:7" x14ac:dyDescent="0.25">
      <c r="B47" s="26"/>
      <c r="C47" s="26"/>
      <c r="D47" s="26"/>
      <c r="E47" s="26"/>
      <c r="F47" s="26"/>
      <c r="G47" s="26"/>
    </row>
    <row r="48" spans="1:7" x14ac:dyDescent="0.25">
      <c r="B48" s="26"/>
      <c r="C48" s="26"/>
      <c r="D48" s="26"/>
      <c r="E48" s="26"/>
      <c r="F48" s="26"/>
      <c r="G48" s="26"/>
    </row>
    <row r="49" spans="2:7" x14ac:dyDescent="0.25">
      <c r="B49" s="26"/>
      <c r="C49" s="26"/>
      <c r="D49" s="26"/>
      <c r="E49" s="26"/>
      <c r="F49" s="26"/>
      <c r="G49" s="26"/>
    </row>
    <row r="50" spans="2:7" x14ac:dyDescent="0.25">
      <c r="B50" s="26"/>
      <c r="C50" s="26"/>
      <c r="D50" s="26"/>
      <c r="E50" s="26"/>
      <c r="F50" s="26"/>
      <c r="G50" s="26"/>
    </row>
    <row r="51" spans="2:7" x14ac:dyDescent="0.25">
      <c r="B51" s="26"/>
      <c r="C51" s="26"/>
      <c r="D51" s="26"/>
      <c r="E51" s="26"/>
      <c r="F51" s="26"/>
      <c r="G51" s="26"/>
    </row>
    <row r="52" spans="2:7" x14ac:dyDescent="0.25">
      <c r="B52" s="26"/>
      <c r="C52" s="26"/>
      <c r="D52" s="26"/>
      <c r="E52" s="26"/>
      <c r="F52" s="26"/>
      <c r="G52" s="26"/>
    </row>
    <row r="53" spans="2:7" x14ac:dyDescent="0.25">
      <c r="B53" s="26"/>
      <c r="C53" s="26"/>
      <c r="D53" s="26"/>
      <c r="E53" s="26"/>
      <c r="F53" s="26"/>
      <c r="G53" s="26"/>
    </row>
    <row r="54" spans="2:7" x14ac:dyDescent="0.25">
      <c r="B54" s="26"/>
      <c r="C54" s="26"/>
      <c r="D54" s="26"/>
      <c r="E54" s="26"/>
      <c r="F54" s="26"/>
      <c r="G54" s="26"/>
    </row>
    <row r="55" spans="2:7" x14ac:dyDescent="0.25">
      <c r="B55" s="26"/>
      <c r="C55" s="26"/>
      <c r="D55" s="26"/>
      <c r="E55" s="26"/>
      <c r="F55" s="26"/>
      <c r="G55" s="26"/>
    </row>
    <row r="56" spans="2:7" x14ac:dyDescent="0.25">
      <c r="B56" s="26"/>
      <c r="C56" s="26"/>
      <c r="D56" s="26"/>
      <c r="E56" s="26"/>
      <c r="F56" s="26"/>
      <c r="G56" s="26"/>
    </row>
    <row r="57" spans="2:7" x14ac:dyDescent="0.25">
      <c r="B57" s="26"/>
      <c r="C57" s="26"/>
      <c r="D57" s="26"/>
      <c r="E57" s="26"/>
      <c r="F57" s="26"/>
      <c r="G57" s="26"/>
    </row>
    <row r="58" spans="2:7" x14ac:dyDescent="0.25">
      <c r="B58" s="26"/>
      <c r="C58" s="26"/>
      <c r="D58" s="26"/>
      <c r="E58" s="26"/>
      <c r="F58" s="26"/>
      <c r="G58" s="26"/>
    </row>
    <row r="59" spans="2:7" x14ac:dyDescent="0.25">
      <c r="B59" s="26"/>
      <c r="C59" s="26"/>
      <c r="D59" s="26"/>
      <c r="E59" s="26"/>
      <c r="F59" s="26"/>
      <c r="G59" s="26"/>
    </row>
    <row r="60" spans="2:7" x14ac:dyDescent="0.25">
      <c r="B60" s="26"/>
      <c r="C60" s="26"/>
      <c r="D60" s="26"/>
      <c r="E60" s="26"/>
      <c r="F60" s="26"/>
      <c r="G60" s="26"/>
    </row>
    <row r="61" spans="2:7" x14ac:dyDescent="0.25">
      <c r="B61" s="26"/>
      <c r="C61" s="26"/>
      <c r="D61" s="26"/>
      <c r="E61" s="26"/>
      <c r="F61" s="26"/>
      <c r="G61" s="26"/>
    </row>
    <row r="62" spans="2:7" x14ac:dyDescent="0.25">
      <c r="B62" s="26"/>
      <c r="C62" s="26"/>
      <c r="F62" s="26"/>
      <c r="G62" s="26"/>
    </row>
    <row r="68" spans="2:7" x14ac:dyDescent="0.25">
      <c r="D68" s="27"/>
      <c r="E68" s="27"/>
    </row>
    <row r="69" spans="2:7" x14ac:dyDescent="0.25">
      <c r="B69" s="27"/>
      <c r="C69" s="27"/>
      <c r="D69" s="27"/>
      <c r="E69" s="27"/>
      <c r="F69" s="27"/>
      <c r="G69" s="27"/>
    </row>
    <row r="70" spans="2:7" x14ac:dyDescent="0.25">
      <c r="B70" s="27"/>
      <c r="C70" s="27"/>
      <c r="F70" s="27"/>
      <c r="G70" s="27"/>
    </row>
    <row r="88" spans="2:7" x14ac:dyDescent="0.25">
      <c r="D88" s="16"/>
      <c r="E88" s="16"/>
    </row>
    <row r="89" spans="2:7" x14ac:dyDescent="0.25">
      <c r="B89" s="16"/>
      <c r="C89" s="16"/>
      <c r="D89" s="16"/>
      <c r="E89" s="16"/>
      <c r="F89" s="16"/>
      <c r="G89" s="16"/>
    </row>
    <row r="90" spans="2:7" x14ac:dyDescent="0.25">
      <c r="B90" s="16"/>
      <c r="C90" s="16"/>
      <c r="F90" s="16"/>
      <c r="G90" s="16"/>
    </row>
  </sheetData>
  <mergeCells count="1">
    <mergeCell ref="B38:C38"/>
  </mergeCells>
  <phoneticPr fontId="0" type="noConversion"/>
  <pageMargins left="0.39370078740157483" right="0.74803149606299213" top="0.74803149606299213" bottom="0.74803149606299213" header="0.51181102362204722" footer="0.51181102362204722"/>
  <pageSetup scale="83" orientation="landscape" verticalDpi="300" r:id="rId1"/>
  <headerFooter alignWithMargins="0">
    <oddFooter>&amp;L&amp;A&amp;R&amp;P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workbookViewId="0">
      <selection sqref="A1:E31"/>
    </sheetView>
  </sheetViews>
  <sheetFormatPr defaultRowHeight="13.2" x14ac:dyDescent="0.25"/>
  <cols>
    <col min="1" max="1" width="11" customWidth="1"/>
    <col min="2" max="2" width="14.109375" style="6" bestFit="1" customWidth="1"/>
    <col min="3" max="3" width="14.109375" style="6" customWidth="1"/>
    <col min="4" max="4" width="17.6640625" style="6" customWidth="1"/>
    <col min="5" max="6" width="12.6640625" style="6" bestFit="1" customWidth="1"/>
    <col min="7" max="7" width="11.6640625" bestFit="1" customWidth="1"/>
    <col min="8" max="8" width="10.6640625" bestFit="1" customWidth="1"/>
  </cols>
  <sheetData>
    <row r="1" spans="1:6" ht="42" customHeight="1" x14ac:dyDescent="0.25">
      <c r="B1" s="8" t="str">
        <f>'Rate Class Customer Model'!D2</f>
        <v>GS&gt;50</v>
      </c>
      <c r="C1" s="8" t="str">
        <f>'Rate Class Customer Model'!E2</f>
        <v>Sentinels</v>
      </c>
      <c r="D1" s="8" t="str">
        <f>'Rate Class Customer Model'!F2</f>
        <v>Streetlights</v>
      </c>
      <c r="E1" s="6" t="s">
        <v>9</v>
      </c>
    </row>
    <row r="2" spans="1:6" x14ac:dyDescent="0.25">
      <c r="A2" s="30">
        <v>2006</v>
      </c>
      <c r="B2" s="45">
        <f>SUM('[5]Consumption Data '!$N$54:$N$65)</f>
        <v>118310</v>
      </c>
      <c r="C2" s="62">
        <v>367</v>
      </c>
      <c r="D2" s="45">
        <v>4014</v>
      </c>
      <c r="E2" s="6">
        <f t="shared" ref="E2:E17" si="0">SUM(B2:D2)</f>
        <v>122691</v>
      </c>
    </row>
    <row r="3" spans="1:6" x14ac:dyDescent="0.25">
      <c r="A3" s="30">
        <v>2007</v>
      </c>
      <c r="B3" s="45">
        <f>SUM('[5]Consumption Data '!$N$66:$N$77)</f>
        <v>116956</v>
      </c>
      <c r="C3" s="62">
        <v>351</v>
      </c>
      <c r="D3" s="45">
        <v>4153</v>
      </c>
      <c r="E3" s="6">
        <f t="shared" si="0"/>
        <v>121460</v>
      </c>
    </row>
    <row r="4" spans="1:6" x14ac:dyDescent="0.25">
      <c r="A4" s="30">
        <v>2008</v>
      </c>
      <c r="B4" s="45">
        <f>SUM('[5]Consumption Data '!$N$78:$N$89)</f>
        <v>134692.85</v>
      </c>
      <c r="C4" s="62">
        <v>345.03227777777778</v>
      </c>
      <c r="D4" s="45">
        <v>4260.83</v>
      </c>
      <c r="E4" s="6">
        <f t="shared" si="0"/>
        <v>139298.71227777778</v>
      </c>
    </row>
    <row r="5" spans="1:6" x14ac:dyDescent="0.25">
      <c r="A5" s="30">
        <v>2009</v>
      </c>
      <c r="B5" s="45">
        <f>SUM('[5]Consumption Data '!$N$90:$N$101)</f>
        <v>136122.29</v>
      </c>
      <c r="C5" s="62">
        <v>338.94749999999999</v>
      </c>
      <c r="D5" s="45">
        <v>4370.32</v>
      </c>
      <c r="E5" s="6">
        <f t="shared" si="0"/>
        <v>140831.55750000002</v>
      </c>
    </row>
    <row r="6" spans="1:6" x14ac:dyDescent="0.25">
      <c r="A6" s="30">
        <v>2010</v>
      </c>
      <c r="B6" s="45">
        <f>SUM('[5]Consumption Data '!$N$102:$N$113)</f>
        <v>144502.21</v>
      </c>
      <c r="C6" s="62">
        <v>324.17422222222223</v>
      </c>
      <c r="D6" s="45">
        <v>4389.05</v>
      </c>
      <c r="E6" s="178">
        <f t="shared" si="0"/>
        <v>149215.43422222219</v>
      </c>
    </row>
    <row r="7" spans="1:6" x14ac:dyDescent="0.25">
      <c r="A7" s="30">
        <v>2011</v>
      </c>
      <c r="B7" s="45">
        <f>SUM('[5]Consumption Data '!$N$114:$N$125)</f>
        <v>139425.35999999999</v>
      </c>
      <c r="C7" s="62">
        <v>306.31894444444447</v>
      </c>
      <c r="D7" s="45">
        <v>4416</v>
      </c>
      <c r="E7" s="178">
        <f t="shared" si="0"/>
        <v>144147.67894444443</v>
      </c>
    </row>
    <row r="8" spans="1:6" x14ac:dyDescent="0.25">
      <c r="A8" s="30">
        <v>2012</v>
      </c>
      <c r="B8" s="45">
        <f>[6]KW!$B$66</f>
        <v>144982</v>
      </c>
      <c r="C8" s="62">
        <f>[6]KW!$C$66</f>
        <v>315</v>
      </c>
      <c r="D8" s="45">
        <f>[6]KW!$D$66</f>
        <v>4424</v>
      </c>
      <c r="E8" s="178">
        <f t="shared" si="0"/>
        <v>149721</v>
      </c>
    </row>
    <row r="9" spans="1:6" x14ac:dyDescent="0.25">
      <c r="A9" s="30">
        <v>2013</v>
      </c>
      <c r="B9" s="45">
        <f>[6]KW!$B$49</f>
        <v>130935</v>
      </c>
      <c r="C9" s="62">
        <f>[6]KW!$C$49</f>
        <v>283</v>
      </c>
      <c r="D9" s="45">
        <f>[6]KW!$D$49</f>
        <v>4149</v>
      </c>
      <c r="E9" s="178">
        <f t="shared" si="0"/>
        <v>135367</v>
      </c>
    </row>
    <row r="10" spans="1:6" x14ac:dyDescent="0.25">
      <c r="A10" s="30">
        <v>2014</v>
      </c>
      <c r="B10" s="45">
        <f>[6]KW!$B$32</f>
        <v>135393.63999999998</v>
      </c>
      <c r="C10" s="62">
        <f>[6]KW!$C$32</f>
        <v>299.94344444444442</v>
      </c>
      <c r="D10" s="45">
        <f>[6]KW!$D$32</f>
        <v>4581.3899999999994</v>
      </c>
      <c r="E10" s="178">
        <f t="shared" si="0"/>
        <v>140274.97344444442</v>
      </c>
    </row>
    <row r="11" spans="1:6" x14ac:dyDescent="0.25">
      <c r="A11" s="30">
        <v>2015</v>
      </c>
      <c r="B11" s="153">
        <f>[6]KW!$B$15</f>
        <v>141986.79999999999</v>
      </c>
      <c r="C11" s="62">
        <f>[6]KW!$C$15</f>
        <v>287.601</v>
      </c>
      <c r="D11" s="45">
        <f>[6]KW!$D$15</f>
        <v>3139.7699999999995</v>
      </c>
      <c r="E11" s="178">
        <f t="shared" si="0"/>
        <v>145414.17099999997</v>
      </c>
    </row>
    <row r="12" spans="1:6" x14ac:dyDescent="0.25">
      <c r="A12" s="30">
        <v>2016</v>
      </c>
      <c r="B12" s="31">
        <f>'Rate Class Energy Model'!J71*'Rate Class Load Model'!$B$31</f>
        <v>154174.11191583652</v>
      </c>
      <c r="C12" s="31">
        <f>'Rate Class Energy Model'!K71*'Rate Class Load Model'!$C$31</f>
        <v>279.72691784487739</v>
      </c>
      <c r="D12" s="31">
        <f>'Rate Class Energy Model'!L71*'Rate Class Load Model'!$D$31</f>
        <v>1854.1136637654336</v>
      </c>
      <c r="E12" s="178">
        <f t="shared" si="0"/>
        <v>156307.95249744682</v>
      </c>
    </row>
    <row r="13" spans="1:6" x14ac:dyDescent="0.25">
      <c r="A13" s="30">
        <v>2017</v>
      </c>
      <c r="B13" s="31">
        <f>'Rate Class Energy Model'!J72*'Rate Class Load Model'!$B$31</f>
        <v>21524.223052472713</v>
      </c>
      <c r="C13" s="31">
        <f>'Rate Class Energy Model'!K72*'Rate Class Load Model'!$C$31</f>
        <v>273.18749568630062</v>
      </c>
      <c r="D13" s="31">
        <f>'Rate Class Energy Model'!L72*'Rate Class Load Model'!$D$31</f>
        <v>1888.5449751821914</v>
      </c>
      <c r="E13" s="178">
        <f t="shared" si="0"/>
        <v>23685.955523341203</v>
      </c>
    </row>
    <row r="14" spans="1:6" x14ac:dyDescent="0.25">
      <c r="A14" s="30">
        <v>2018</v>
      </c>
      <c r="B14" s="31">
        <f>'Rate Class Energy Model'!J73*'Rate Class Load Model'!$B$31</f>
        <v>22546.275460075296</v>
      </c>
      <c r="C14" s="31">
        <f>'Rate Class Energy Model'!K73*'Rate Class Load Model'!$C$31</f>
        <v>266.7597799525692</v>
      </c>
      <c r="D14" s="31">
        <f>'Rate Class Energy Model'!L73*'Rate Class Load Model'!$D$31</f>
        <v>1922.816312314983</v>
      </c>
      <c r="E14" s="178">
        <f t="shared" si="0"/>
        <v>24735.851552342847</v>
      </c>
      <c r="F14" s="178"/>
    </row>
    <row r="15" spans="1:6" x14ac:dyDescent="0.25">
      <c r="A15" s="30">
        <v>2019</v>
      </c>
      <c r="B15" s="31">
        <f>'Rate Class Energy Model'!J74*'Rate Class Load Model'!$B$31</f>
        <v>23630.290366255074</v>
      </c>
      <c r="C15" s="31">
        <f>'Rate Class Energy Model'!K74*'Rate Class Load Model'!$C$31</f>
        <v>260.44208520547357</v>
      </c>
      <c r="D15" s="31">
        <f>'Rate Class Energy Model'!L74*'Rate Class Load Model'!$D$31</f>
        <v>1957.943398007352</v>
      </c>
      <c r="E15" s="178">
        <f t="shared" si="0"/>
        <v>25848.675849467898</v>
      </c>
      <c r="F15" s="178"/>
    </row>
    <row r="16" spans="1:6" x14ac:dyDescent="0.25">
      <c r="A16" s="30">
        <v>2020</v>
      </c>
      <c r="B16" s="31">
        <f>'Rate Class Energy Model'!J75*'Rate Class Load Model'!$B$31</f>
        <v>24704.013192385257</v>
      </c>
      <c r="C16" s="31">
        <f>'Rate Class Energy Model'!K75*'Rate Class Load Model'!$C$31</f>
        <v>254.23274978782581</v>
      </c>
      <c r="D16" s="31">
        <f>'Rate Class Energy Model'!L75*'Rate Class Load Model'!$D$31</f>
        <v>1992.8619408429151</v>
      </c>
      <c r="E16" s="178">
        <f t="shared" si="0"/>
        <v>26951.107883015997</v>
      </c>
      <c r="F16" s="178"/>
    </row>
    <row r="17" spans="1:6" x14ac:dyDescent="0.25">
      <c r="A17" s="30">
        <v>2021</v>
      </c>
      <c r="B17" s="31">
        <f>'Rate Class Energy Model'!J76*'Rate Class Load Model'!$B$31</f>
        <v>25898.611037952385</v>
      </c>
      <c r="C17" s="31">
        <f>'Rate Class Energy Model'!K76*'Rate Class Load Model'!$C$31</f>
        <v>248.13013550173892</v>
      </c>
      <c r="D17" s="31">
        <f>'Rate Class Energy Model'!L76*'Rate Class Load Model'!$D$31</f>
        <v>2028.5655614962407</v>
      </c>
      <c r="E17" s="178">
        <f t="shared" si="0"/>
        <v>28175.306734950365</v>
      </c>
      <c r="F17" s="178"/>
    </row>
    <row r="18" spans="1:6" x14ac:dyDescent="0.25">
      <c r="A18" s="21"/>
    </row>
    <row r="19" spans="1:6" x14ac:dyDescent="0.25">
      <c r="A19" s="20" t="s">
        <v>56</v>
      </c>
      <c r="B19" s="5"/>
      <c r="C19" s="5"/>
      <c r="D19" s="5"/>
    </row>
    <row r="20" spans="1:6" x14ac:dyDescent="0.25">
      <c r="A20" s="4">
        <v>2006</v>
      </c>
      <c r="B20" s="29">
        <f>B2/'Rate Class Energy Model'!J8</f>
        <v>2.9703058541336548E-3</v>
      </c>
      <c r="C20" s="29">
        <f>C2/'Rate Class Energy Model'!K8</f>
        <v>2.7830650114886745E-3</v>
      </c>
      <c r="D20" s="29">
        <f>D2/'Rate Class Energy Model'!L8</f>
        <v>2.7768592297017403E-3</v>
      </c>
    </row>
    <row r="21" spans="1:6" x14ac:dyDescent="0.25">
      <c r="A21" s="4">
        <v>2007</v>
      </c>
      <c r="B21" s="29">
        <f>B3/'Rate Class Energy Model'!J9</f>
        <v>2.9744228021109562E-3</v>
      </c>
      <c r="C21" s="29">
        <f>C3/'Rate Class Energy Model'!K9</f>
        <v>2.7775359853130861E-3</v>
      </c>
      <c r="D21" s="29">
        <f>D3/'Rate Class Energy Model'!L9</f>
        <v>2.7761678722575066E-3</v>
      </c>
    </row>
    <row r="22" spans="1:6" x14ac:dyDescent="0.25">
      <c r="A22" s="4">
        <v>2008</v>
      </c>
      <c r="B22" s="29">
        <f>B4/'Rate Class Energy Model'!J10</f>
        <v>2.9753615781794329E-3</v>
      </c>
      <c r="C22" s="29">
        <f>C4/'Rate Class Energy Model'!K10</f>
        <v>2.7777777777777779E-3</v>
      </c>
      <c r="D22" s="29">
        <f>D4/'Rate Class Energy Model'!L10</f>
        <v>2.7777777777777775E-3</v>
      </c>
    </row>
    <row r="23" spans="1:6" x14ac:dyDescent="0.25">
      <c r="A23" s="4">
        <v>2009</v>
      </c>
      <c r="B23" s="29">
        <f>B5/'Rate Class Energy Model'!J11</f>
        <v>2.8673466943822815E-3</v>
      </c>
      <c r="C23" s="29">
        <f>C5/'Rate Class Energy Model'!K11</f>
        <v>2.7777777777777775E-3</v>
      </c>
      <c r="D23" s="29">
        <f>D5/'Rate Class Energy Model'!L11</f>
        <v>2.7714426097188959E-3</v>
      </c>
    </row>
    <row r="24" spans="1:6" x14ac:dyDescent="0.25">
      <c r="A24" s="4">
        <v>2010</v>
      </c>
      <c r="B24" s="29">
        <f>B6/'Rate Class Energy Model'!J12</f>
        <v>2.8262406241067509E-3</v>
      </c>
      <c r="C24" s="29">
        <f>C6/'Rate Class Energy Model'!K12</f>
        <v>2.7777777777777779E-3</v>
      </c>
      <c r="D24" s="29">
        <f>D6/'Rate Class Energy Model'!L12</f>
        <v>2.7777777777777779E-3</v>
      </c>
    </row>
    <row r="25" spans="1:6" x14ac:dyDescent="0.25">
      <c r="A25" s="4">
        <v>2011</v>
      </c>
      <c r="B25" s="29">
        <f>B7/'Rate Class Energy Model'!J13</f>
        <v>2.7928816654166065E-3</v>
      </c>
      <c r="C25" s="29">
        <f>C7/'Rate Class Energy Model'!K13</f>
        <v>2.7786344880638991E-3</v>
      </c>
      <c r="D25" s="29">
        <f>D7/'Rate Class Energy Model'!L13</f>
        <v>3.0301171204080647E-3</v>
      </c>
    </row>
    <row r="26" spans="1:6" x14ac:dyDescent="0.25">
      <c r="A26" s="4">
        <v>2012</v>
      </c>
      <c r="B26" s="29">
        <f>B8/'Rate Class Energy Model'!J14</f>
        <v>2.8351067335104876E-3</v>
      </c>
      <c r="C26" s="29">
        <f>C8/'Rate Class Energy Model'!K14</f>
        <v>2.7787614696998322E-3</v>
      </c>
      <c r="D26" s="29">
        <f>D8/'Rate Class Energy Model'!L14</f>
        <v>2.8183570646069605E-3</v>
      </c>
    </row>
    <row r="27" spans="1:6" x14ac:dyDescent="0.25">
      <c r="A27" s="4">
        <v>2013</v>
      </c>
      <c r="B27" s="29">
        <f>B9/'Rate Class Energy Model'!J15</f>
        <v>2.5712995330362158E-3</v>
      </c>
      <c r="C27" s="29">
        <f>C9/'Rate Class Energy Model'!K15</f>
        <v>2.7787614696998322E-3</v>
      </c>
      <c r="D27" s="29">
        <f>D9/'Rate Class Energy Model'!L15</f>
        <v>2.8183570646069605E-3</v>
      </c>
    </row>
    <row r="28" spans="1:6" x14ac:dyDescent="0.25">
      <c r="A28" s="4">
        <v>2014</v>
      </c>
      <c r="B28" s="29">
        <f>B10/'Rate Class Energy Model'!J16</f>
        <v>2.6761726332885198E-3</v>
      </c>
      <c r="C28" s="29">
        <f>C10/'Rate Class Energy Model'!K16</f>
        <v>2.7777685168035231E-3</v>
      </c>
      <c r="D28" s="29">
        <f>D10/'Rate Class Energy Model'!L16</f>
        <v>2.8183570646069605E-3</v>
      </c>
    </row>
    <row r="29" spans="1:6" x14ac:dyDescent="0.25">
      <c r="A29" s="4">
        <v>2015</v>
      </c>
      <c r="B29" s="29">
        <f>B11/'Rate Class Energy Model'!J17</f>
        <v>2.598764234956277E-3</v>
      </c>
      <c r="C29" s="29">
        <f>C11/'Rate Class Energy Model'!K17</f>
        <v>2.7777874362540566E-3</v>
      </c>
      <c r="D29" s="29">
        <f>D11/'Rate Class Energy Model'!L17</f>
        <v>2.8377125277013562E-3</v>
      </c>
    </row>
    <row r="31" spans="1:6" x14ac:dyDescent="0.25">
      <c r="A31" t="s">
        <v>13</v>
      </c>
      <c r="B31" s="29">
        <f>AVERAGE(B20:B29)</f>
        <v>2.8087902353121181E-3</v>
      </c>
      <c r="C31" s="29">
        <f t="shared" ref="C31:D31" si="1">AVERAGE(C20:C29)</f>
        <v>2.778564771065624E-3</v>
      </c>
      <c r="D31" s="29">
        <f t="shared" si="1"/>
        <v>2.8202926109163998E-3</v>
      </c>
    </row>
    <row r="38" spans="2:4" x14ac:dyDescent="0.25">
      <c r="B38" s="27"/>
      <c r="C38" s="27"/>
      <c r="D38" s="27"/>
    </row>
    <row r="39" spans="2:4" x14ac:dyDescent="0.25">
      <c r="B39" s="27"/>
      <c r="C39" s="27"/>
      <c r="D39" s="27"/>
    </row>
    <row r="58" spans="2:4" x14ac:dyDescent="0.25">
      <c r="B58" s="16"/>
      <c r="C58" s="16"/>
      <c r="D58" s="16"/>
    </row>
    <row r="59" spans="2:4" x14ac:dyDescent="0.25">
      <c r="B59" s="16"/>
      <c r="C59" s="16"/>
      <c r="D59" s="16"/>
    </row>
  </sheetData>
  <phoneticPr fontId="0" type="noConversion"/>
  <pageMargins left="0.39370078740157483" right="0.74803149606299213" top="0.74803149606299213" bottom="0.74803149606299213" header="0.51181102362204722" footer="0.51181102362204722"/>
  <pageSetup orientation="portrait" verticalDpi="300" r:id="rId1"/>
  <headerFooter alignWithMargins="0"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Exhibit 3 Tables</vt:lpstr>
      <vt:lpstr>Summary</vt:lpstr>
      <vt:lpstr>Purchased Power Model </vt:lpstr>
      <vt:lpstr>Residential</vt:lpstr>
      <vt:lpstr>GS&lt; 50 kW</vt:lpstr>
      <vt:lpstr>GS &gt; 50 kW</vt:lpstr>
      <vt:lpstr>Rate Class Energy Model</vt:lpstr>
      <vt:lpstr>Rate Class Customer Model</vt:lpstr>
      <vt:lpstr>Rate Class Load Model</vt:lpstr>
      <vt:lpstr>Weather Analysis</vt:lpstr>
      <vt:lpstr>2016 COP Forecast</vt:lpstr>
      <vt:lpstr>2017 COP Forecast</vt:lpstr>
      <vt:lpstr>'2016 COP Forecast'!Print_Area</vt:lpstr>
      <vt:lpstr>'2017 COP Forecast'!Print_Area</vt:lpstr>
      <vt:lpstr>'GS &gt; 50 kW'!Print_Area</vt:lpstr>
      <vt:lpstr>'GS&lt; 50 kW'!Print_Area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Residential!Print_Area</vt:lpstr>
      <vt:lpstr>Summary!Print_Area</vt:lpstr>
      <vt:lpstr>'Weather Analysis'!Print_Area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Brenda Pinke</cp:lastModifiedBy>
  <cp:lastPrinted>2016-11-22T21:09:26Z</cp:lastPrinted>
  <dcterms:created xsi:type="dcterms:W3CDTF">2008-02-06T18:24:44Z</dcterms:created>
  <dcterms:modified xsi:type="dcterms:W3CDTF">2017-05-09T19:47:31Z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